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https://psbbcpa.sharepoint.com/sites/SolertiaFilesystem/Documents/3000 Entreprises/3100 Clients/Les avocats et not de l'etat queb (LANEQ)/Mandat d'expert en rémunération/Phase 2 - Arbitrage/Calculateur rétro/"/>
    </mc:Choice>
  </mc:AlternateContent>
  <xr:revisionPtr revIDLastSave="101" documentId="8_{6CA676C7-D9DA-4EC6-9C2B-81C3B2A6679F}" xr6:coauthVersionLast="47" xr6:coauthVersionMax="47" xr10:uidLastSave="{4391D4DC-4EC2-4F68-AE66-4EEC19CFFA83}"/>
  <workbookProtection workbookAlgorithmName="SHA-512" workbookHashValue="EpS+8o8USZcFUCRWlwe6TIJNFhN4omxWaAQ2MvMDqf7kzFJRMoLjvHcBHbxQAESckGEPu0n/DZRgeQ6Cn4+/LQ==" workbookSaltValue="dudVl1EA/dt8X+6uzuexwg==" workbookSpinCount="100000" lockStructure="1"/>
  <bookViews>
    <workbookView xWindow="-120" yWindow="-120" windowWidth="29040" windowHeight="15840" tabRatio="513" xr2:uid="{319F158C-E537-4E96-BB45-1D2B41B746AC}"/>
  </bookViews>
  <sheets>
    <sheet name="Calculateur" sheetId="10" r:id="rId1"/>
    <sheet name="Calcul de l'échelon de départ" sheetId="16" state="hidden" r:id="rId2"/>
    <sheet name="35h" sheetId="12" state="hidden" r:id="rId3"/>
    <sheet name="37,5h" sheetId="13" state="hidden" r:id="rId4"/>
    <sheet name="40h" sheetId="14" state="hidden" r:id="rId5"/>
    <sheet name="Infos (référence seul.)" sheetId="1" state="hidden" r:id="rId6"/>
    <sheet name="Échelle (référence seul.)" sheetId="2" state="hidden" r:id="rId7"/>
  </sheets>
  <definedNames>
    <definedName name="Conversion_date">'Calcul de l''échelon de départ'!$G$47:$H$65</definedName>
    <definedName name="Échelons">'Infos (référence seul.)'!$B$15:$B$34</definedName>
    <definedName name="heure_tot">'Calcul de l''échelon de départ'!$Q$7</definedName>
    <definedName name="idemp">Calculateur!$E$9</definedName>
    <definedName name="over_idemp_date">'Calcul de l''échelon de départ'!$J$1</definedName>
    <definedName name="over_prem_date">'Calcul de l''échelon de départ'!$J$72</definedName>
    <definedName name="Ratio_int">'Calcul de l''échelon de départ'!$X$44</definedName>
    <definedName name="Taux_horaire">'Calcul de l''échelon de départ'!$O$37:$O$39</definedName>
    <definedName name="_xlnm.Print_Area" localSheetId="2">'35h'!$C$1:$N$157</definedName>
    <definedName name="_xlnm.Print_Area" localSheetId="0">Calculateur!$C$1:$T$45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6" i="10" l="1"/>
  <c r="C41" i="10" s="1"/>
  <c r="E15" i="10"/>
  <c r="O32" i="16"/>
  <c r="O29" i="16"/>
  <c r="R29" i="16"/>
  <c r="R44" i="16"/>
  <c r="P44" i="16"/>
  <c r="L46" i="16" l="1"/>
  <c r="C4" i="16"/>
  <c r="K7" i="16"/>
  <c r="G65" i="16"/>
  <c r="G64" i="16"/>
  <c r="G63" i="16"/>
  <c r="G62" i="16"/>
  <c r="G61" i="16"/>
  <c r="G60" i="16"/>
  <c r="G59" i="16"/>
  <c r="G58" i="16"/>
  <c r="G57" i="16"/>
  <c r="G56" i="16"/>
  <c r="G55" i="16"/>
  <c r="G54" i="16"/>
  <c r="G53" i="16"/>
  <c r="K8" i="16"/>
  <c r="K9" i="16"/>
  <c r="K10" i="16"/>
  <c r="K11" i="16"/>
  <c r="K12" i="16"/>
  <c r="D4" i="16"/>
  <c r="M26" i="16"/>
  <c r="J7" i="16"/>
  <c r="K42" i="10"/>
  <c r="J42" i="10"/>
  <c r="P42" i="10" a="1"/>
  <c r="P42" i="10" s="1"/>
  <c r="J46" i="16" l="1"/>
  <c r="J48" i="16" s="1"/>
  <c r="O2" i="16"/>
  <c r="L42" i="10"/>
  <c r="J51" i="16" l="1"/>
  <c r="J66" i="16"/>
  <c r="J49" i="16"/>
  <c r="J50" i="16"/>
  <c r="J47" i="16"/>
  <c r="J61" i="16"/>
  <c r="J56" i="16"/>
  <c r="J54" i="16"/>
  <c r="J64" i="16"/>
  <c r="J58" i="16"/>
  <c r="J55" i="16"/>
  <c r="J59" i="16"/>
  <c r="J62" i="16"/>
  <c r="J52" i="16"/>
  <c r="J57" i="16"/>
  <c r="J60" i="16"/>
  <c r="J63" i="16"/>
  <c r="J53" i="16"/>
  <c r="J65" i="16"/>
  <c r="H120" i="12"/>
  <c r="M119" i="14"/>
  <c r="N119" i="14" s="1"/>
  <c r="O119" i="14" s="1"/>
  <c r="L119" i="14"/>
  <c r="K119" i="14"/>
  <c r="J119" i="14"/>
  <c r="I119" i="14"/>
  <c r="H119" i="14"/>
  <c r="G119" i="14"/>
  <c r="F119" i="14"/>
  <c r="O120" i="12"/>
  <c r="N120" i="12"/>
  <c r="M120" i="12"/>
  <c r="L120" i="12"/>
  <c r="K120" i="12"/>
  <c r="J120" i="12"/>
  <c r="I120" i="12"/>
  <c r="G120" i="12"/>
  <c r="F120" i="12"/>
  <c r="O89" i="12" l="1"/>
  <c r="N89" i="12"/>
  <c r="M89" i="12"/>
  <c r="L89" i="12"/>
  <c r="K89" i="12"/>
  <c r="J89" i="12"/>
  <c r="I89" i="12"/>
  <c r="H89" i="12"/>
  <c r="G89" i="12"/>
  <c r="F89" i="12"/>
  <c r="O23" i="16" l="1"/>
  <c r="O19" i="16"/>
  <c r="O18" i="16"/>
  <c r="O17" i="16"/>
  <c r="P26" i="16" s="1"/>
  <c r="O24" i="16" l="1"/>
  <c r="E12" i="10" s="1"/>
  <c r="D19" i="10" l="1"/>
  <c r="G14" i="16" l="1"/>
  <c r="K14" i="16" s="1"/>
  <c r="G15" i="16"/>
  <c r="K15" i="16" s="1"/>
  <c r="G16" i="16"/>
  <c r="K16" i="16" s="1"/>
  <c r="G17" i="16"/>
  <c r="K17" i="16" s="1"/>
  <c r="G18" i="16"/>
  <c r="K18" i="16" s="1"/>
  <c r="G19" i="16"/>
  <c r="K19" i="16" s="1"/>
  <c r="G20" i="16"/>
  <c r="K20" i="16" s="1"/>
  <c r="G21" i="16"/>
  <c r="K21" i="16" s="1"/>
  <c r="G22" i="16"/>
  <c r="K22" i="16" s="1"/>
  <c r="G23" i="16"/>
  <c r="K23" i="16" s="1"/>
  <c r="G24" i="16"/>
  <c r="K24" i="16" s="1"/>
  <c r="G25" i="16"/>
  <c r="K25" i="16" s="1"/>
  <c r="G13" i="16"/>
  <c r="K13" i="16" s="1"/>
  <c r="O4" i="16"/>
  <c r="B31" i="1"/>
  <c r="B32" i="1" s="1"/>
  <c r="B33" i="1" s="1"/>
  <c r="B19" i="1"/>
  <c r="B20" i="1" s="1"/>
  <c r="B21" i="1" s="1"/>
  <c r="B22" i="1" s="1"/>
  <c r="B23" i="1" s="1"/>
  <c r="B24" i="1" s="1"/>
  <c r="B25" i="1" s="1"/>
  <c r="B26" i="1" s="1"/>
  <c r="B27" i="1" s="1"/>
  <c r="B28" i="1" s="1"/>
  <c r="B29" i="1" s="1"/>
  <c r="B30" i="1" s="1"/>
  <c r="B18" i="1"/>
  <c r="N151" i="14" l="1"/>
  <c r="O151" i="14" s="1"/>
  <c r="N132" i="14"/>
  <c r="O132" i="14" s="1"/>
  <c r="N131" i="14"/>
  <c r="O131" i="14" s="1"/>
  <c r="N130" i="14"/>
  <c r="O130" i="14" s="1"/>
  <c r="N100" i="14"/>
  <c r="O100" i="14" s="1"/>
  <c r="N99" i="14"/>
  <c r="O99" i="14" s="1"/>
  <c r="N98" i="14"/>
  <c r="O98" i="14" s="1"/>
  <c r="N69" i="14"/>
  <c r="O69" i="14" s="1"/>
  <c r="N68" i="14"/>
  <c r="O68" i="14" s="1"/>
  <c r="N67" i="14"/>
  <c r="O67" i="14" s="1"/>
  <c r="N38" i="14"/>
  <c r="O38" i="14" s="1"/>
  <c r="N37" i="14"/>
  <c r="O37" i="14" s="1"/>
  <c r="N36" i="14"/>
  <c r="O36" i="14" s="1"/>
  <c r="N7" i="14"/>
  <c r="O7" i="14" s="1"/>
  <c r="N6" i="14"/>
  <c r="O6" i="14" s="1"/>
  <c r="N5" i="14"/>
  <c r="O5" i="14" s="1"/>
  <c r="N132" i="13"/>
  <c r="O132" i="13" s="1"/>
  <c r="N131" i="13"/>
  <c r="O131" i="13" s="1"/>
  <c r="N130" i="13"/>
  <c r="O130" i="13" s="1"/>
  <c r="N100" i="13"/>
  <c r="O100" i="13" s="1"/>
  <c r="N99" i="13"/>
  <c r="O99" i="13" s="1"/>
  <c r="N98" i="13"/>
  <c r="O98" i="13" s="1"/>
  <c r="N69" i="13"/>
  <c r="O69" i="13" s="1"/>
  <c r="N68" i="13"/>
  <c r="O68" i="13" s="1"/>
  <c r="N67" i="13"/>
  <c r="O67" i="13" s="1"/>
  <c r="N38" i="13"/>
  <c r="O38" i="13" s="1"/>
  <c r="N37" i="13"/>
  <c r="O37" i="13" s="1"/>
  <c r="N36" i="13"/>
  <c r="O36" i="13" s="1"/>
  <c r="N7" i="13"/>
  <c r="O7" i="13" s="1"/>
  <c r="N6" i="13"/>
  <c r="O6" i="13" s="1"/>
  <c r="N5" i="13"/>
  <c r="O5" i="13" s="1"/>
  <c r="O6" i="16"/>
  <c r="E150" i="14"/>
  <c r="E149" i="14"/>
  <c r="E148" i="14"/>
  <c r="E147" i="14"/>
  <c r="E146" i="14"/>
  <c r="E145" i="14"/>
  <c r="E144" i="14"/>
  <c r="E143" i="14"/>
  <c r="E142" i="14"/>
  <c r="E141" i="14"/>
  <c r="E140" i="14"/>
  <c r="E139" i="14"/>
  <c r="E138" i="14"/>
  <c r="E137" i="14"/>
  <c r="E136" i="14"/>
  <c r="E135" i="14"/>
  <c r="E134" i="14"/>
  <c r="E133" i="14"/>
  <c r="E131" i="14"/>
  <c r="E118" i="14"/>
  <c r="E117" i="14"/>
  <c r="E116" i="14"/>
  <c r="E115" i="14"/>
  <c r="E114" i="14"/>
  <c r="E113" i="14"/>
  <c r="E112" i="14"/>
  <c r="E111" i="14"/>
  <c r="E110" i="14"/>
  <c r="E109" i="14"/>
  <c r="E108" i="14"/>
  <c r="E107" i="14"/>
  <c r="E106" i="14"/>
  <c r="E105" i="14"/>
  <c r="E104" i="14"/>
  <c r="E103" i="14"/>
  <c r="E102" i="14"/>
  <c r="E101" i="14"/>
  <c r="E99" i="14"/>
  <c r="E87" i="14"/>
  <c r="E86" i="14"/>
  <c r="E85" i="14"/>
  <c r="E84" i="14"/>
  <c r="E83" i="14"/>
  <c r="E82" i="14"/>
  <c r="E81" i="14"/>
  <c r="E80" i="14"/>
  <c r="E79" i="14"/>
  <c r="E78" i="14"/>
  <c r="E77" i="14"/>
  <c r="E76" i="14"/>
  <c r="E75" i="14"/>
  <c r="E74" i="14"/>
  <c r="E73" i="14"/>
  <c r="E72" i="14"/>
  <c r="E71" i="14"/>
  <c r="E70" i="14"/>
  <c r="E68" i="14"/>
  <c r="E56" i="14"/>
  <c r="E55" i="14"/>
  <c r="E54" i="14"/>
  <c r="E53" i="14"/>
  <c r="E52" i="14"/>
  <c r="E51" i="14"/>
  <c r="E50" i="14"/>
  <c r="E49" i="14"/>
  <c r="E48" i="14"/>
  <c r="E47" i="14"/>
  <c r="E46" i="14"/>
  <c r="E45" i="14"/>
  <c r="E44" i="14"/>
  <c r="E43" i="14"/>
  <c r="E42" i="14"/>
  <c r="E41" i="14"/>
  <c r="E40" i="14"/>
  <c r="E39" i="14"/>
  <c r="E37" i="14"/>
  <c r="E25" i="14"/>
  <c r="E24" i="14"/>
  <c r="E23" i="14"/>
  <c r="E22" i="14"/>
  <c r="E21" i="14"/>
  <c r="E20" i="14"/>
  <c r="E19" i="14"/>
  <c r="E18" i="14"/>
  <c r="E17" i="14"/>
  <c r="E16" i="14"/>
  <c r="E15" i="14"/>
  <c r="E14" i="14"/>
  <c r="E13" i="14"/>
  <c r="E12" i="14"/>
  <c r="E11" i="14"/>
  <c r="E10" i="14"/>
  <c r="E9" i="14"/>
  <c r="E8" i="14"/>
  <c r="E6" i="14"/>
  <c r="E150" i="13"/>
  <c r="E149" i="13"/>
  <c r="E148" i="13"/>
  <c r="E147" i="13"/>
  <c r="E146" i="13"/>
  <c r="E145" i="13"/>
  <c r="E144" i="13"/>
  <c r="E143" i="13"/>
  <c r="E142" i="13"/>
  <c r="E141" i="13"/>
  <c r="E140" i="13"/>
  <c r="E139" i="13"/>
  <c r="E138" i="13"/>
  <c r="E137" i="13"/>
  <c r="E136" i="13"/>
  <c r="E135" i="13"/>
  <c r="E134" i="13"/>
  <c r="E133" i="13"/>
  <c r="E131" i="13"/>
  <c r="E118" i="13"/>
  <c r="E117" i="13"/>
  <c r="E116" i="13"/>
  <c r="E115" i="13"/>
  <c r="E114" i="13"/>
  <c r="E113" i="13"/>
  <c r="E112" i="13"/>
  <c r="E111" i="13"/>
  <c r="E110" i="13"/>
  <c r="E109" i="13"/>
  <c r="E108" i="13"/>
  <c r="E107" i="13"/>
  <c r="E106" i="13"/>
  <c r="E105" i="13"/>
  <c r="E104" i="13"/>
  <c r="E103" i="13"/>
  <c r="E102" i="13"/>
  <c r="E101" i="13"/>
  <c r="E99" i="13"/>
  <c r="E87" i="13"/>
  <c r="E86" i="13"/>
  <c r="E85" i="13"/>
  <c r="E84" i="13"/>
  <c r="E83" i="13"/>
  <c r="E82" i="13"/>
  <c r="E81" i="13"/>
  <c r="E80" i="13"/>
  <c r="E79" i="13"/>
  <c r="E78" i="13"/>
  <c r="E77" i="13"/>
  <c r="E76" i="13"/>
  <c r="E75" i="13"/>
  <c r="E74" i="13"/>
  <c r="E73" i="13"/>
  <c r="E72" i="13"/>
  <c r="E71" i="13"/>
  <c r="E70" i="13"/>
  <c r="E68" i="13"/>
  <c r="E56" i="13"/>
  <c r="E55" i="13"/>
  <c r="E54" i="13"/>
  <c r="E53" i="13"/>
  <c r="E52" i="13"/>
  <c r="E51" i="13"/>
  <c r="E50" i="13"/>
  <c r="E49" i="13"/>
  <c r="E48" i="13"/>
  <c r="E47" i="13"/>
  <c r="E46" i="13"/>
  <c r="E45" i="13"/>
  <c r="E44" i="13"/>
  <c r="E43" i="13"/>
  <c r="E42" i="13"/>
  <c r="E41" i="13"/>
  <c r="E40" i="13"/>
  <c r="E39" i="13"/>
  <c r="E37" i="13"/>
  <c r="E25" i="13"/>
  <c r="E24" i="13"/>
  <c r="E23" i="13"/>
  <c r="E22" i="13"/>
  <c r="E21" i="13"/>
  <c r="E20" i="13"/>
  <c r="E19" i="13"/>
  <c r="E18" i="13"/>
  <c r="E17" i="13"/>
  <c r="E16" i="13"/>
  <c r="E15" i="13"/>
  <c r="E14" i="13"/>
  <c r="E13" i="13"/>
  <c r="E12" i="13"/>
  <c r="E11" i="13"/>
  <c r="E10" i="13"/>
  <c r="E9" i="13"/>
  <c r="E8" i="13"/>
  <c r="E6" i="13"/>
  <c r="D119" i="13"/>
  <c r="D151" i="13"/>
  <c r="L152" i="14"/>
  <c r="F152" i="14"/>
  <c r="M150" i="14"/>
  <c r="N150" i="14" s="1"/>
  <c r="O150" i="14" s="1"/>
  <c r="L150" i="14"/>
  <c r="M149" i="14"/>
  <c r="N149" i="14" s="1"/>
  <c r="O149" i="14" s="1"/>
  <c r="I149" i="13"/>
  <c r="H149" i="13"/>
  <c r="F149" i="14"/>
  <c r="L148" i="14"/>
  <c r="F148" i="14"/>
  <c r="L146" i="14"/>
  <c r="I146" i="13"/>
  <c r="H146" i="13"/>
  <c r="M145" i="14"/>
  <c r="N145" i="14" s="1"/>
  <c r="O145" i="14" s="1"/>
  <c r="L145" i="14"/>
  <c r="M144" i="14"/>
  <c r="N144" i="14" s="1"/>
  <c r="O144" i="14" s="1"/>
  <c r="F144" i="13"/>
  <c r="L143" i="14"/>
  <c r="F143" i="14"/>
  <c r="M142" i="14"/>
  <c r="N142" i="14" s="1"/>
  <c r="O142" i="14" s="1"/>
  <c r="L142" i="14"/>
  <c r="M141" i="14"/>
  <c r="N141" i="14" s="1"/>
  <c r="O141" i="14" s="1"/>
  <c r="I141" i="13"/>
  <c r="H141" i="13"/>
  <c r="L140" i="14"/>
  <c r="F140" i="14"/>
  <c r="H138" i="13"/>
  <c r="M137" i="14"/>
  <c r="N137" i="14" s="1"/>
  <c r="O137" i="14" s="1"/>
  <c r="L137" i="14"/>
  <c r="H136" i="13"/>
  <c r="F135" i="14"/>
  <c r="M134" i="14"/>
  <c r="N134" i="14" s="1"/>
  <c r="O134" i="14" s="1"/>
  <c r="M120" i="14"/>
  <c r="N120" i="14" s="1"/>
  <c r="O120" i="14" s="1"/>
  <c r="L120" i="13"/>
  <c r="K120" i="13"/>
  <c r="J120" i="13"/>
  <c r="I120" i="13"/>
  <c r="H120" i="13"/>
  <c r="G120" i="14"/>
  <c r="F120" i="13"/>
  <c r="I117" i="13"/>
  <c r="H117" i="13"/>
  <c r="F117" i="14"/>
  <c r="M116" i="14"/>
  <c r="N116" i="14" s="1"/>
  <c r="O116" i="14" s="1"/>
  <c r="G114" i="14"/>
  <c r="F114" i="14"/>
  <c r="G111" i="14"/>
  <c r="F110" i="13"/>
  <c r="I109" i="13"/>
  <c r="F109" i="14"/>
  <c r="M108" i="14"/>
  <c r="N108" i="14" s="1"/>
  <c r="O108" i="14" s="1"/>
  <c r="G106" i="14"/>
  <c r="F106" i="14"/>
  <c r="F104" i="13"/>
  <c r="G103" i="14"/>
  <c r="F102" i="13"/>
  <c r="F101" i="14"/>
  <c r="H86" i="14"/>
  <c r="G86" i="14"/>
  <c r="H84" i="13"/>
  <c r="F84" i="14"/>
  <c r="J82" i="14"/>
  <c r="I82" i="14"/>
  <c r="I81" i="14"/>
  <c r="H81" i="14"/>
  <c r="I80" i="14"/>
  <c r="H80" i="14"/>
  <c r="I79" i="14"/>
  <c r="H79" i="14"/>
  <c r="I78" i="14"/>
  <c r="H78" i="14"/>
  <c r="I77" i="14"/>
  <c r="H77" i="14"/>
  <c r="I76" i="14"/>
  <c r="H76" i="14"/>
  <c r="I75" i="14"/>
  <c r="H75" i="14"/>
  <c r="I74" i="14"/>
  <c r="H74" i="14"/>
  <c r="I73" i="14"/>
  <c r="H73" i="14"/>
  <c r="I72" i="14"/>
  <c r="H72" i="14"/>
  <c r="I71" i="14"/>
  <c r="H71" i="14"/>
  <c r="I70" i="14"/>
  <c r="H70" i="14"/>
  <c r="K58" i="14"/>
  <c r="J58" i="14"/>
  <c r="K56" i="14"/>
  <c r="K57" i="14" s="1"/>
  <c r="J56" i="14"/>
  <c r="J57" i="14" s="1"/>
  <c r="I56" i="13"/>
  <c r="I57" i="13" s="1"/>
  <c r="G56" i="14"/>
  <c r="G57" i="14" s="1"/>
  <c r="K55" i="14"/>
  <c r="J55" i="14"/>
  <c r="G55" i="14"/>
  <c r="K54" i="14"/>
  <c r="J54" i="14"/>
  <c r="G54" i="14"/>
  <c r="K53" i="14"/>
  <c r="J53" i="14"/>
  <c r="G53" i="14"/>
  <c r="K52" i="14"/>
  <c r="J52" i="14"/>
  <c r="G52" i="14"/>
  <c r="K51" i="14"/>
  <c r="J51" i="14"/>
  <c r="G51" i="14"/>
  <c r="F51" i="13"/>
  <c r="K50" i="14"/>
  <c r="J50" i="14"/>
  <c r="I50" i="13"/>
  <c r="G50" i="14"/>
  <c r="K49" i="14"/>
  <c r="J49" i="14"/>
  <c r="G49" i="14"/>
  <c r="K48" i="14"/>
  <c r="J48" i="14"/>
  <c r="G48" i="14"/>
  <c r="K47" i="14"/>
  <c r="J47" i="14"/>
  <c r="G47" i="14"/>
  <c r="K46" i="14"/>
  <c r="J46" i="14"/>
  <c r="G46" i="14"/>
  <c r="K45" i="14"/>
  <c r="J45" i="14"/>
  <c r="G45" i="14"/>
  <c r="K44" i="14"/>
  <c r="J44" i="14"/>
  <c r="G44" i="14"/>
  <c r="K43" i="14"/>
  <c r="J43" i="14"/>
  <c r="H43" i="13"/>
  <c r="G43" i="14"/>
  <c r="F43" i="13"/>
  <c r="K42" i="14"/>
  <c r="J42" i="14"/>
  <c r="G42" i="14"/>
  <c r="K41" i="14"/>
  <c r="J41" i="14"/>
  <c r="G41" i="14"/>
  <c r="K40" i="14"/>
  <c r="J40" i="14"/>
  <c r="G40" i="14"/>
  <c r="K39" i="14"/>
  <c r="J39" i="14"/>
  <c r="G39" i="14"/>
  <c r="M27" i="14"/>
  <c r="N27" i="14" s="1"/>
  <c r="O27" i="14" s="1"/>
  <c r="L27" i="14"/>
  <c r="I27" i="14"/>
  <c r="M25" i="14"/>
  <c r="M26" i="14" s="1"/>
  <c r="N26" i="14" s="1"/>
  <c r="O26" i="14" s="1"/>
  <c r="L25" i="14"/>
  <c r="L26" i="14" s="1"/>
  <c r="I25" i="14"/>
  <c r="I26" i="14" s="1"/>
  <c r="H25" i="13"/>
  <c r="H26" i="13" s="1"/>
  <c r="M24" i="14"/>
  <c r="N24" i="14" s="1"/>
  <c r="O24" i="14" s="1"/>
  <c r="L24" i="14"/>
  <c r="I24" i="14"/>
  <c r="M23" i="14"/>
  <c r="N23" i="14" s="1"/>
  <c r="O23" i="14" s="1"/>
  <c r="L23" i="14"/>
  <c r="I23" i="14"/>
  <c r="H23" i="13"/>
  <c r="M22" i="14"/>
  <c r="N22" i="14" s="1"/>
  <c r="O22" i="14" s="1"/>
  <c r="L22" i="14"/>
  <c r="I22" i="14"/>
  <c r="M21" i="14"/>
  <c r="N21" i="14" s="1"/>
  <c r="O21" i="14" s="1"/>
  <c r="L21" i="14"/>
  <c r="I21" i="14"/>
  <c r="M20" i="14"/>
  <c r="N20" i="14" s="1"/>
  <c r="O20" i="14" s="1"/>
  <c r="L20" i="14"/>
  <c r="I20" i="14"/>
  <c r="M19" i="14"/>
  <c r="N19" i="14" s="1"/>
  <c r="O19" i="14" s="1"/>
  <c r="L19" i="14"/>
  <c r="I19" i="14"/>
  <c r="M18" i="14"/>
  <c r="N18" i="14" s="1"/>
  <c r="O18" i="14" s="1"/>
  <c r="L18" i="14"/>
  <c r="I18" i="14"/>
  <c r="L17" i="14"/>
  <c r="I17" i="14"/>
  <c r="M16" i="14"/>
  <c r="N16" i="14" s="1"/>
  <c r="O16" i="14" s="1"/>
  <c r="L16" i="14"/>
  <c r="I16" i="14"/>
  <c r="M15" i="14"/>
  <c r="N15" i="14" s="1"/>
  <c r="O15" i="14" s="1"/>
  <c r="L15" i="14"/>
  <c r="I15" i="14"/>
  <c r="F15" i="13"/>
  <c r="M14" i="14"/>
  <c r="N14" i="14" s="1"/>
  <c r="O14" i="14" s="1"/>
  <c r="L14" i="14"/>
  <c r="I14" i="14"/>
  <c r="M13" i="14"/>
  <c r="N13" i="14" s="1"/>
  <c r="O13" i="14" s="1"/>
  <c r="L13" i="14"/>
  <c r="I13" i="14"/>
  <c r="M12" i="14"/>
  <c r="N12" i="14" s="1"/>
  <c r="O12" i="14" s="1"/>
  <c r="L12" i="14"/>
  <c r="I12" i="14"/>
  <c r="F12" i="13"/>
  <c r="M11" i="14"/>
  <c r="N11" i="14" s="1"/>
  <c r="O11" i="14" s="1"/>
  <c r="L11" i="14"/>
  <c r="I11" i="14"/>
  <c r="M10" i="14"/>
  <c r="N10" i="14" s="1"/>
  <c r="O10" i="14" s="1"/>
  <c r="L10" i="14"/>
  <c r="I10" i="14"/>
  <c r="M9" i="14"/>
  <c r="N9" i="14" s="1"/>
  <c r="O9" i="14" s="1"/>
  <c r="L9" i="14"/>
  <c r="I9" i="14"/>
  <c r="M8" i="14"/>
  <c r="N8" i="14" s="1"/>
  <c r="O8" i="14" s="1"/>
  <c r="L8" i="14"/>
  <c r="I8" i="14"/>
  <c r="M120" i="13" l="1"/>
  <c r="N120" i="13" s="1"/>
  <c r="O120" i="13" s="1"/>
  <c r="M17" i="14"/>
  <c r="N17" i="14" s="1"/>
  <c r="O17" i="14" s="1"/>
  <c r="M83" i="14"/>
  <c r="N83" i="14" s="1"/>
  <c r="O83" i="14" s="1"/>
  <c r="M103" i="14"/>
  <c r="N103" i="14" s="1"/>
  <c r="O103" i="14" s="1"/>
  <c r="M111" i="14"/>
  <c r="N111" i="14" s="1"/>
  <c r="O111" i="14" s="1"/>
  <c r="G120" i="13"/>
  <c r="N25" i="14"/>
  <c r="O25" i="14" s="1"/>
  <c r="O11" i="16"/>
  <c r="O10" i="16"/>
  <c r="F148" i="13"/>
  <c r="H74" i="13"/>
  <c r="M145" i="13"/>
  <c r="N145" i="13" s="1"/>
  <c r="O145" i="13" s="1"/>
  <c r="L25" i="13"/>
  <c r="L26" i="13" s="1"/>
  <c r="L148" i="13"/>
  <c r="M14" i="13"/>
  <c r="N14" i="13" s="1"/>
  <c r="O14" i="13" s="1"/>
  <c r="M25" i="13"/>
  <c r="F51" i="14"/>
  <c r="J47" i="13"/>
  <c r="I56" i="14"/>
  <c r="I57" i="14" s="1"/>
  <c r="K47" i="13"/>
  <c r="G56" i="13"/>
  <c r="G57" i="13" s="1"/>
  <c r="L17" i="13"/>
  <c r="J39" i="13"/>
  <c r="G48" i="13"/>
  <c r="I74" i="13"/>
  <c r="L137" i="13"/>
  <c r="F102" i="14"/>
  <c r="F106" i="13"/>
  <c r="F114" i="13"/>
  <c r="I9" i="13"/>
  <c r="M17" i="13"/>
  <c r="N17" i="13" s="1"/>
  <c r="O17" i="13" s="1"/>
  <c r="K39" i="13"/>
  <c r="G50" i="13"/>
  <c r="H75" i="13"/>
  <c r="M137" i="13"/>
  <c r="N137" i="13" s="1"/>
  <c r="O137" i="13" s="1"/>
  <c r="M150" i="13"/>
  <c r="F104" i="14"/>
  <c r="I17" i="13"/>
  <c r="L9" i="13"/>
  <c r="I20" i="13"/>
  <c r="G40" i="13"/>
  <c r="K52" i="13"/>
  <c r="I82" i="13"/>
  <c r="F140" i="13"/>
  <c r="F152" i="13"/>
  <c r="I109" i="14"/>
  <c r="M9" i="13"/>
  <c r="N9" i="13" s="1"/>
  <c r="O9" i="13" s="1"/>
  <c r="L22" i="13"/>
  <c r="G42" i="13"/>
  <c r="J53" i="13"/>
  <c r="J82" i="13"/>
  <c r="M142" i="13"/>
  <c r="N142" i="13" s="1"/>
  <c r="O142" i="13" s="1"/>
  <c r="F144" i="14"/>
  <c r="I12" i="13"/>
  <c r="M22" i="13"/>
  <c r="N22" i="13" s="1"/>
  <c r="O22" i="13" s="1"/>
  <c r="K44" i="13"/>
  <c r="J55" i="13"/>
  <c r="G103" i="13"/>
  <c r="F143" i="13"/>
  <c r="F15" i="14"/>
  <c r="L14" i="13"/>
  <c r="I25" i="13"/>
  <c r="I26" i="13" s="1"/>
  <c r="J45" i="13"/>
  <c r="K55" i="13"/>
  <c r="M103" i="13"/>
  <c r="N103" i="13" s="1"/>
  <c r="O103" i="13" s="1"/>
  <c r="L145" i="13"/>
  <c r="J22" i="14"/>
  <c r="J22" i="13"/>
  <c r="H24" i="14"/>
  <c r="H24" i="13"/>
  <c r="L39" i="14"/>
  <c r="L39" i="13"/>
  <c r="F45" i="14"/>
  <c r="F45" i="13"/>
  <c r="H51" i="13"/>
  <c r="H51" i="14"/>
  <c r="L56" i="14"/>
  <c r="L57" i="14" s="1"/>
  <c r="L56" i="13"/>
  <c r="L57" i="13" s="1"/>
  <c r="M73" i="14"/>
  <c r="N73" i="14" s="1"/>
  <c r="O73" i="14" s="1"/>
  <c r="M73" i="13"/>
  <c r="N73" i="13" s="1"/>
  <c r="O73" i="13" s="1"/>
  <c r="K75" i="14"/>
  <c r="K75" i="13"/>
  <c r="F80" i="14"/>
  <c r="F80" i="13"/>
  <c r="K83" i="14"/>
  <c r="K83" i="13"/>
  <c r="J103" i="14"/>
  <c r="J103" i="13"/>
  <c r="K137" i="14"/>
  <c r="K137" i="13"/>
  <c r="H140" i="14"/>
  <c r="H140" i="13"/>
  <c r="M143" i="14"/>
  <c r="N143" i="14" s="1"/>
  <c r="O143" i="14" s="1"/>
  <c r="M143" i="13"/>
  <c r="N143" i="13" s="1"/>
  <c r="O143" i="13" s="1"/>
  <c r="F150" i="14"/>
  <c r="F150" i="13"/>
  <c r="F151" i="13" s="1"/>
  <c r="M11" i="13"/>
  <c r="N11" i="13" s="1"/>
  <c r="O11" i="13" s="1"/>
  <c r="G10" i="14"/>
  <c r="G10" i="13"/>
  <c r="K14" i="14"/>
  <c r="K14" i="13"/>
  <c r="H17" i="14"/>
  <c r="H17" i="13"/>
  <c r="M39" i="14"/>
  <c r="N39" i="14" s="1"/>
  <c r="O39" i="14" s="1"/>
  <c r="M39" i="13"/>
  <c r="N39" i="13" s="1"/>
  <c r="O39" i="13" s="1"/>
  <c r="M55" i="14"/>
  <c r="N55" i="14" s="1"/>
  <c r="O55" i="14" s="1"/>
  <c r="M55" i="13"/>
  <c r="N55" i="13" s="1"/>
  <c r="O55" i="13" s="1"/>
  <c r="M74" i="14"/>
  <c r="N74" i="14" s="1"/>
  <c r="O74" i="14" s="1"/>
  <c r="M74" i="13"/>
  <c r="N74" i="13" s="1"/>
  <c r="O74" i="13" s="1"/>
  <c r="J77" i="14"/>
  <c r="J77" i="13"/>
  <c r="L83" i="14"/>
  <c r="L83" i="13"/>
  <c r="I87" i="14"/>
  <c r="I88" i="14" s="1"/>
  <c r="I87" i="13"/>
  <c r="I88" i="13" s="1"/>
  <c r="M101" i="14"/>
  <c r="N101" i="14" s="1"/>
  <c r="O101" i="14" s="1"/>
  <c r="M101" i="13"/>
  <c r="N101" i="13" s="1"/>
  <c r="O101" i="13" s="1"/>
  <c r="H106" i="14"/>
  <c r="H106" i="13"/>
  <c r="L110" i="14"/>
  <c r="L110" i="13"/>
  <c r="H114" i="14"/>
  <c r="H114" i="13"/>
  <c r="G45" i="13"/>
  <c r="J50" i="13"/>
  <c r="I70" i="13"/>
  <c r="K15" i="14"/>
  <c r="K15" i="13"/>
  <c r="G19" i="14"/>
  <c r="G19" i="13"/>
  <c r="K23" i="14"/>
  <c r="K23" i="13"/>
  <c r="F47" i="14"/>
  <c r="F47" i="13"/>
  <c r="L76" i="14"/>
  <c r="L76" i="13"/>
  <c r="I89" i="14"/>
  <c r="I89" i="13"/>
  <c r="K104" i="14"/>
  <c r="K104" i="13"/>
  <c r="H107" i="13"/>
  <c r="H107" i="14"/>
  <c r="L111" i="14"/>
  <c r="L111" i="13"/>
  <c r="G116" i="14"/>
  <c r="G116" i="13"/>
  <c r="I15" i="13"/>
  <c r="L20" i="13"/>
  <c r="K42" i="13"/>
  <c r="K50" i="13"/>
  <c r="H79" i="13"/>
  <c r="K8" i="14"/>
  <c r="K8" i="13"/>
  <c r="J9" i="14"/>
  <c r="J9" i="13"/>
  <c r="H11" i="14"/>
  <c r="H11" i="13"/>
  <c r="G12" i="14"/>
  <c r="G12" i="13"/>
  <c r="F13" i="14"/>
  <c r="F13" i="13"/>
  <c r="K16" i="14"/>
  <c r="K16" i="13"/>
  <c r="J17" i="14"/>
  <c r="J17" i="13"/>
  <c r="H19" i="14"/>
  <c r="H19" i="13"/>
  <c r="G20" i="14"/>
  <c r="G20" i="13"/>
  <c r="F21" i="14"/>
  <c r="F21" i="13"/>
  <c r="K24" i="14"/>
  <c r="K24" i="13"/>
  <c r="K25" i="14"/>
  <c r="K26" i="14" s="1"/>
  <c r="K25" i="13"/>
  <c r="K26" i="13" s="1"/>
  <c r="J27" i="14"/>
  <c r="J27" i="13"/>
  <c r="F40" i="14"/>
  <c r="F40" i="13"/>
  <c r="M41" i="14"/>
  <c r="N41" i="14" s="1"/>
  <c r="O41" i="14" s="1"/>
  <c r="M41" i="13"/>
  <c r="N41" i="13" s="1"/>
  <c r="O41" i="13" s="1"/>
  <c r="L42" i="14"/>
  <c r="L42" i="13"/>
  <c r="I45" i="13"/>
  <c r="I45" i="14"/>
  <c r="H46" i="14"/>
  <c r="H46" i="13"/>
  <c r="F48" i="14"/>
  <c r="F48" i="13"/>
  <c r="M49" i="14"/>
  <c r="N49" i="14" s="1"/>
  <c r="O49" i="14" s="1"/>
  <c r="M49" i="13"/>
  <c r="N49" i="13" s="1"/>
  <c r="O49" i="13" s="1"/>
  <c r="L50" i="14"/>
  <c r="L50" i="13"/>
  <c r="I53" i="13"/>
  <c r="I53" i="14"/>
  <c r="H54" i="14"/>
  <c r="H54" i="13"/>
  <c r="F58" i="14"/>
  <c r="F58" i="13"/>
  <c r="K70" i="14"/>
  <c r="K70" i="13"/>
  <c r="J71" i="14"/>
  <c r="J71" i="13"/>
  <c r="G74" i="14"/>
  <c r="G74" i="13"/>
  <c r="F75" i="14"/>
  <c r="F75" i="13"/>
  <c r="M76" i="14"/>
  <c r="N76" i="14" s="1"/>
  <c r="O76" i="14" s="1"/>
  <c r="M76" i="13"/>
  <c r="N76" i="13" s="1"/>
  <c r="O76" i="13" s="1"/>
  <c r="L77" i="14"/>
  <c r="L77" i="13"/>
  <c r="K78" i="14"/>
  <c r="K78" i="13"/>
  <c r="J79" i="14"/>
  <c r="J79" i="13"/>
  <c r="G82" i="14"/>
  <c r="G82" i="13"/>
  <c r="F83" i="14"/>
  <c r="F83" i="13"/>
  <c r="M84" i="14"/>
  <c r="N84" i="14" s="1"/>
  <c r="O84" i="14" s="1"/>
  <c r="M84" i="13"/>
  <c r="N84" i="13" s="1"/>
  <c r="O84" i="13" s="1"/>
  <c r="L85" i="14"/>
  <c r="L85" i="13"/>
  <c r="K86" i="14"/>
  <c r="K86" i="13"/>
  <c r="K87" i="14"/>
  <c r="K88" i="14" s="1"/>
  <c r="K87" i="13"/>
  <c r="K88" i="13" s="1"/>
  <c r="J89" i="14"/>
  <c r="J89" i="13"/>
  <c r="G101" i="14"/>
  <c r="G101" i="13"/>
  <c r="L104" i="14"/>
  <c r="L104" i="13"/>
  <c r="K105" i="14"/>
  <c r="K105" i="13"/>
  <c r="J106" i="14"/>
  <c r="J106" i="13"/>
  <c r="I107" i="13"/>
  <c r="I107" i="14"/>
  <c r="H108" i="14"/>
  <c r="H108" i="13"/>
  <c r="G109" i="14"/>
  <c r="G109" i="13"/>
  <c r="L112" i="14"/>
  <c r="L112" i="13"/>
  <c r="K113" i="14"/>
  <c r="K113" i="13"/>
  <c r="J114" i="14"/>
  <c r="J114" i="13"/>
  <c r="I115" i="13"/>
  <c r="I115" i="14"/>
  <c r="H116" i="14"/>
  <c r="H116" i="13"/>
  <c r="G117" i="14"/>
  <c r="G117" i="13"/>
  <c r="G118" i="14"/>
  <c r="G118" i="13"/>
  <c r="G119" i="13" s="1"/>
  <c r="F120" i="14"/>
  <c r="J133" i="14"/>
  <c r="J133" i="13"/>
  <c r="I134" i="14"/>
  <c r="I134" i="13"/>
  <c r="H135" i="14"/>
  <c r="H135" i="13"/>
  <c r="G136" i="14"/>
  <c r="G136" i="13"/>
  <c r="F137" i="14"/>
  <c r="F137" i="13"/>
  <c r="M138" i="14"/>
  <c r="N138" i="14" s="1"/>
  <c r="O138" i="14" s="1"/>
  <c r="M138" i="13"/>
  <c r="N138" i="13" s="1"/>
  <c r="O138" i="13" s="1"/>
  <c r="L139" i="14"/>
  <c r="L139" i="13"/>
  <c r="K140" i="14"/>
  <c r="K140" i="13"/>
  <c r="J141" i="14"/>
  <c r="J141" i="13"/>
  <c r="I142" i="14"/>
  <c r="I142" i="13"/>
  <c r="H143" i="14"/>
  <c r="H143" i="13"/>
  <c r="G144" i="14"/>
  <c r="G144" i="13"/>
  <c r="F145" i="14"/>
  <c r="F145" i="13"/>
  <c r="M146" i="14"/>
  <c r="N146" i="14" s="1"/>
  <c r="O146" i="14" s="1"/>
  <c r="M146" i="13"/>
  <c r="N146" i="13" s="1"/>
  <c r="O146" i="13" s="1"/>
  <c r="L147" i="14"/>
  <c r="L147" i="13"/>
  <c r="K148" i="14"/>
  <c r="K148" i="13"/>
  <c r="J149" i="14"/>
  <c r="J149" i="13"/>
  <c r="I150" i="14"/>
  <c r="I150" i="13"/>
  <c r="I151" i="13" s="1"/>
  <c r="H152" i="14"/>
  <c r="H152" i="13"/>
  <c r="I10" i="13"/>
  <c r="M12" i="13"/>
  <c r="N12" i="13" s="1"/>
  <c r="O12" i="13" s="1"/>
  <c r="L15" i="13"/>
  <c r="I18" i="13"/>
  <c r="M20" i="13"/>
  <c r="N20" i="13" s="1"/>
  <c r="O20" i="13" s="1"/>
  <c r="L23" i="13"/>
  <c r="I27" i="13"/>
  <c r="J40" i="13"/>
  <c r="G43" i="13"/>
  <c r="K45" i="13"/>
  <c r="J48" i="13"/>
  <c r="G51" i="13"/>
  <c r="K53" i="13"/>
  <c r="J56" i="13"/>
  <c r="J57" i="13" s="1"/>
  <c r="I71" i="13"/>
  <c r="I75" i="13"/>
  <c r="I79" i="13"/>
  <c r="F84" i="13"/>
  <c r="G106" i="13"/>
  <c r="F117" i="13"/>
  <c r="L140" i="13"/>
  <c r="F110" i="14"/>
  <c r="M46" i="14"/>
  <c r="N46" i="14" s="1"/>
  <c r="O46" i="14" s="1"/>
  <c r="M46" i="13"/>
  <c r="N46" i="13" s="1"/>
  <c r="O46" i="13" s="1"/>
  <c r="L47" i="14"/>
  <c r="L47" i="13"/>
  <c r="F53" i="14"/>
  <c r="F53" i="13"/>
  <c r="M81" i="14"/>
  <c r="N81" i="14" s="1"/>
  <c r="O81" i="14" s="1"/>
  <c r="M81" i="13"/>
  <c r="N81" i="13" s="1"/>
  <c r="O81" i="13" s="1"/>
  <c r="I85" i="14"/>
  <c r="I85" i="13"/>
  <c r="L109" i="14"/>
  <c r="L109" i="13"/>
  <c r="H113" i="14"/>
  <c r="H113" i="13"/>
  <c r="L117" i="14"/>
  <c r="L117" i="13"/>
  <c r="M135" i="14"/>
  <c r="N135" i="14" s="1"/>
  <c r="O135" i="14" s="1"/>
  <c r="M135" i="13"/>
  <c r="N135" i="13" s="1"/>
  <c r="O135" i="13" s="1"/>
  <c r="I139" i="13"/>
  <c r="I139" i="14"/>
  <c r="F142" i="14"/>
  <c r="F142" i="13"/>
  <c r="L144" i="14"/>
  <c r="L144" i="13"/>
  <c r="J146" i="14"/>
  <c r="J146" i="13"/>
  <c r="H148" i="14"/>
  <c r="H148" i="13"/>
  <c r="M152" i="14"/>
  <c r="N152" i="14" s="1"/>
  <c r="O152" i="14" s="1"/>
  <c r="M152" i="13"/>
  <c r="N152" i="13" s="1"/>
  <c r="O152" i="13" s="1"/>
  <c r="M19" i="13"/>
  <c r="N19" i="13" s="1"/>
  <c r="O19" i="13" s="1"/>
  <c r="F19" i="14"/>
  <c r="F19" i="13"/>
  <c r="K22" i="14"/>
  <c r="K22" i="13"/>
  <c r="H44" i="14"/>
  <c r="H44" i="13"/>
  <c r="M47" i="14"/>
  <c r="N47" i="14" s="1"/>
  <c r="O47" i="14" s="1"/>
  <c r="M47" i="13"/>
  <c r="N47" i="13" s="1"/>
  <c r="O47" i="13" s="1"/>
  <c r="H52" i="14"/>
  <c r="H52" i="13"/>
  <c r="I86" i="13"/>
  <c r="I86" i="14"/>
  <c r="K103" i="14"/>
  <c r="K103" i="13"/>
  <c r="F108" i="14"/>
  <c r="F108" i="13"/>
  <c r="J112" i="14"/>
  <c r="J112" i="13"/>
  <c r="F116" i="14"/>
  <c r="F116" i="13"/>
  <c r="G53" i="13"/>
  <c r="J16" i="14"/>
  <c r="J16" i="13"/>
  <c r="H45" i="13"/>
  <c r="H45" i="14"/>
  <c r="M58" i="14"/>
  <c r="N58" i="14" s="1"/>
  <c r="O58" i="14" s="1"/>
  <c r="M58" i="13"/>
  <c r="N58" i="13" s="1"/>
  <c r="O58" i="13" s="1"/>
  <c r="M75" i="14"/>
  <c r="N75" i="14" s="1"/>
  <c r="O75" i="14" s="1"/>
  <c r="M75" i="13"/>
  <c r="N75" i="13" s="1"/>
  <c r="O75" i="13" s="1"/>
  <c r="K77" i="14"/>
  <c r="K77" i="13"/>
  <c r="G81" i="14"/>
  <c r="G81" i="13"/>
  <c r="K85" i="14"/>
  <c r="K85" i="13"/>
  <c r="L103" i="14"/>
  <c r="L103" i="13"/>
  <c r="M110" i="14"/>
  <c r="N110" i="14" s="1"/>
  <c r="O110" i="14" s="1"/>
  <c r="M110" i="13"/>
  <c r="N110" i="13" s="1"/>
  <c r="O110" i="13" s="1"/>
  <c r="K9" i="14"/>
  <c r="K9" i="13"/>
  <c r="J10" i="14"/>
  <c r="J10" i="13"/>
  <c r="H12" i="14"/>
  <c r="H12" i="13"/>
  <c r="G13" i="14"/>
  <c r="G13" i="13"/>
  <c r="F14" i="14"/>
  <c r="F14" i="13"/>
  <c r="K17" i="14"/>
  <c r="K17" i="13"/>
  <c r="J18" i="14"/>
  <c r="J18" i="13"/>
  <c r="H20" i="14"/>
  <c r="H20" i="13"/>
  <c r="G21" i="14"/>
  <c r="G21" i="13"/>
  <c r="F22" i="14"/>
  <c r="F22" i="13"/>
  <c r="K27" i="14"/>
  <c r="K27" i="13"/>
  <c r="H39" i="14"/>
  <c r="H39" i="13"/>
  <c r="F41" i="14"/>
  <c r="F41" i="13"/>
  <c r="M42" i="14"/>
  <c r="N42" i="14" s="1"/>
  <c r="O42" i="14" s="1"/>
  <c r="M42" i="13"/>
  <c r="N42" i="13" s="1"/>
  <c r="O42" i="13" s="1"/>
  <c r="L43" i="14"/>
  <c r="L43" i="13"/>
  <c r="I46" i="14"/>
  <c r="I46" i="13"/>
  <c r="H47" i="14"/>
  <c r="H47" i="13"/>
  <c r="F49" i="14"/>
  <c r="F49" i="13"/>
  <c r="M50" i="14"/>
  <c r="N50" i="14" s="1"/>
  <c r="O50" i="14" s="1"/>
  <c r="M50" i="13"/>
  <c r="N50" i="13" s="1"/>
  <c r="O50" i="13" s="1"/>
  <c r="L51" i="14"/>
  <c r="L51" i="13"/>
  <c r="I54" i="14"/>
  <c r="I54" i="13"/>
  <c r="H55" i="14"/>
  <c r="H55" i="13"/>
  <c r="H56" i="14"/>
  <c r="H57" i="14" s="1"/>
  <c r="H56" i="13"/>
  <c r="H57" i="13" s="1"/>
  <c r="G58" i="14"/>
  <c r="G58" i="13"/>
  <c r="L70" i="14"/>
  <c r="L70" i="13"/>
  <c r="K71" i="14"/>
  <c r="K71" i="13"/>
  <c r="J72" i="14"/>
  <c r="J72" i="13"/>
  <c r="G75" i="14"/>
  <c r="G75" i="13"/>
  <c r="F76" i="14"/>
  <c r="F76" i="13"/>
  <c r="M77" i="14"/>
  <c r="N77" i="14" s="1"/>
  <c r="O77" i="14" s="1"/>
  <c r="M77" i="13"/>
  <c r="N77" i="13" s="1"/>
  <c r="O77" i="13" s="1"/>
  <c r="L78" i="14"/>
  <c r="L78" i="13"/>
  <c r="K79" i="14"/>
  <c r="K79" i="13"/>
  <c r="J80" i="14"/>
  <c r="J80" i="13"/>
  <c r="H82" i="14"/>
  <c r="H82" i="13"/>
  <c r="G83" i="14"/>
  <c r="G83" i="13"/>
  <c r="M85" i="14"/>
  <c r="N85" i="14" s="1"/>
  <c r="O85" i="14" s="1"/>
  <c r="M85" i="13"/>
  <c r="N85" i="13" s="1"/>
  <c r="O85" i="13" s="1"/>
  <c r="L86" i="14"/>
  <c r="L86" i="13"/>
  <c r="L87" i="14"/>
  <c r="L88" i="14" s="1"/>
  <c r="L87" i="13"/>
  <c r="L88" i="13" s="1"/>
  <c r="K89" i="14"/>
  <c r="K89" i="13"/>
  <c r="H101" i="13"/>
  <c r="H101" i="14"/>
  <c r="G102" i="14"/>
  <c r="G102" i="13"/>
  <c r="F103" i="14"/>
  <c r="F103" i="13"/>
  <c r="M104" i="14"/>
  <c r="N104" i="14" s="1"/>
  <c r="O104" i="14" s="1"/>
  <c r="M104" i="13"/>
  <c r="N104" i="13" s="1"/>
  <c r="O104" i="13" s="1"/>
  <c r="L105" i="14"/>
  <c r="L105" i="13"/>
  <c r="K106" i="14"/>
  <c r="K106" i="13"/>
  <c r="J107" i="14"/>
  <c r="J107" i="13"/>
  <c r="I108" i="14"/>
  <c r="I108" i="13"/>
  <c r="H109" i="13"/>
  <c r="H109" i="14"/>
  <c r="G110" i="14"/>
  <c r="G110" i="13"/>
  <c r="F111" i="14"/>
  <c r="F111" i="13"/>
  <c r="M112" i="14"/>
  <c r="N112" i="14" s="1"/>
  <c r="O112" i="14" s="1"/>
  <c r="M112" i="13"/>
  <c r="N112" i="13" s="1"/>
  <c r="O112" i="13" s="1"/>
  <c r="L113" i="14"/>
  <c r="L113" i="13"/>
  <c r="K114" i="14"/>
  <c r="K114" i="13"/>
  <c r="J115" i="14"/>
  <c r="J115" i="13"/>
  <c r="I116" i="14"/>
  <c r="I116" i="13"/>
  <c r="H118" i="14"/>
  <c r="H118" i="13"/>
  <c r="H119" i="13" s="1"/>
  <c r="K133" i="14"/>
  <c r="K133" i="13"/>
  <c r="J134" i="14"/>
  <c r="J134" i="13"/>
  <c r="I135" i="13"/>
  <c r="I135" i="14"/>
  <c r="G137" i="14"/>
  <c r="G137" i="13"/>
  <c r="F138" i="14"/>
  <c r="F138" i="13"/>
  <c r="M139" i="14"/>
  <c r="N139" i="14" s="1"/>
  <c r="O139" i="14" s="1"/>
  <c r="M139" i="13"/>
  <c r="N139" i="13" s="1"/>
  <c r="O139" i="13" s="1"/>
  <c r="K141" i="14"/>
  <c r="K141" i="13"/>
  <c r="J142" i="14"/>
  <c r="J142" i="13"/>
  <c r="I143" i="13"/>
  <c r="I143" i="14"/>
  <c r="H144" i="13"/>
  <c r="H144" i="14"/>
  <c r="G145" i="14"/>
  <c r="G145" i="13"/>
  <c r="F146" i="14"/>
  <c r="F146" i="13"/>
  <c r="M147" i="14"/>
  <c r="N147" i="14" s="1"/>
  <c r="O147" i="14" s="1"/>
  <c r="M147" i="13"/>
  <c r="N147" i="13" s="1"/>
  <c r="O147" i="13" s="1"/>
  <c r="K149" i="14"/>
  <c r="K149" i="13"/>
  <c r="J150" i="14"/>
  <c r="J150" i="13"/>
  <c r="J151" i="13" s="1"/>
  <c r="I152" i="14"/>
  <c r="I152" i="13"/>
  <c r="L10" i="13"/>
  <c r="I13" i="13"/>
  <c r="M15" i="13"/>
  <c r="N15" i="13" s="1"/>
  <c r="O15" i="13" s="1"/>
  <c r="L18" i="13"/>
  <c r="I21" i="13"/>
  <c r="M23" i="13"/>
  <c r="N23" i="13" s="1"/>
  <c r="O23" i="13" s="1"/>
  <c r="L27" i="13"/>
  <c r="K40" i="13"/>
  <c r="J43" i="13"/>
  <c r="G46" i="13"/>
  <c r="K48" i="13"/>
  <c r="J51" i="13"/>
  <c r="G54" i="13"/>
  <c r="K56" i="13"/>
  <c r="K57" i="13" s="1"/>
  <c r="H72" i="13"/>
  <c r="H76" i="13"/>
  <c r="H80" i="13"/>
  <c r="G86" i="13"/>
  <c r="M108" i="13"/>
  <c r="N108" i="13" s="1"/>
  <c r="O108" i="13" s="1"/>
  <c r="H23" i="14"/>
  <c r="H117" i="14"/>
  <c r="I42" i="14"/>
  <c r="I42" i="13"/>
  <c r="L55" i="14"/>
  <c r="L55" i="13"/>
  <c r="G71" i="14"/>
  <c r="G71" i="13"/>
  <c r="L74" i="14"/>
  <c r="L74" i="13"/>
  <c r="G79" i="14"/>
  <c r="G79" i="13"/>
  <c r="J84" i="14"/>
  <c r="J84" i="13"/>
  <c r="G89" i="14"/>
  <c r="G89" i="13"/>
  <c r="H105" i="14"/>
  <c r="H105" i="13"/>
  <c r="L136" i="14"/>
  <c r="L136" i="13"/>
  <c r="H78" i="13"/>
  <c r="F11" i="14"/>
  <c r="F11" i="13"/>
  <c r="J15" i="14"/>
  <c r="J15" i="13"/>
  <c r="J23" i="14"/>
  <c r="J23" i="13"/>
  <c r="F54" i="14"/>
  <c r="F54" i="13"/>
  <c r="L58" i="14"/>
  <c r="L58" i="13"/>
  <c r="F73" i="14"/>
  <c r="F73" i="13"/>
  <c r="L75" i="14"/>
  <c r="L75" i="13"/>
  <c r="G80" i="14"/>
  <c r="G80" i="13"/>
  <c r="K84" i="14"/>
  <c r="K84" i="13"/>
  <c r="H89" i="14"/>
  <c r="H89" i="13"/>
  <c r="L102" i="14"/>
  <c r="L102" i="13"/>
  <c r="G107" i="14"/>
  <c r="G107" i="13"/>
  <c r="I113" i="14"/>
  <c r="I113" i="13"/>
  <c r="M118" i="14"/>
  <c r="N118" i="14" s="1"/>
  <c r="O118" i="14" s="1"/>
  <c r="M118" i="13"/>
  <c r="J8" i="14"/>
  <c r="J8" i="13"/>
  <c r="G11" i="14"/>
  <c r="G11" i="13"/>
  <c r="H18" i="14"/>
  <c r="H18" i="13"/>
  <c r="L41" i="14"/>
  <c r="L41" i="13"/>
  <c r="L49" i="14"/>
  <c r="L49" i="13"/>
  <c r="I52" i="14"/>
  <c r="I52" i="13"/>
  <c r="H53" i="13"/>
  <c r="H53" i="14"/>
  <c r="F56" i="14"/>
  <c r="F57" i="14" s="1"/>
  <c r="F56" i="13"/>
  <c r="F57" i="13" s="1"/>
  <c r="F74" i="14"/>
  <c r="F74" i="13"/>
  <c r="J87" i="14"/>
  <c r="J88" i="14" s="1"/>
  <c r="J87" i="13"/>
  <c r="J88" i="13" s="1"/>
  <c r="M102" i="14"/>
  <c r="N102" i="14" s="1"/>
  <c r="O102" i="14" s="1"/>
  <c r="M102" i="13"/>
  <c r="N102" i="13" s="1"/>
  <c r="O102" i="13" s="1"/>
  <c r="I106" i="13"/>
  <c r="I106" i="14"/>
  <c r="I133" i="13"/>
  <c r="I133" i="14"/>
  <c r="G135" i="14"/>
  <c r="G135" i="13"/>
  <c r="L138" i="14"/>
  <c r="L138" i="13"/>
  <c r="L12" i="13"/>
  <c r="M116" i="13"/>
  <c r="N116" i="13" s="1"/>
  <c r="O116" i="13" s="1"/>
  <c r="J11" i="14"/>
  <c r="J11" i="13"/>
  <c r="H13" i="14"/>
  <c r="H13" i="13"/>
  <c r="G14" i="14"/>
  <c r="G14" i="13"/>
  <c r="K18" i="14"/>
  <c r="K18" i="13"/>
  <c r="J19" i="14"/>
  <c r="J19" i="13"/>
  <c r="H21" i="14"/>
  <c r="H21" i="13"/>
  <c r="G22" i="14"/>
  <c r="G22" i="13"/>
  <c r="F23" i="14"/>
  <c r="F23" i="13"/>
  <c r="I39" i="14"/>
  <c r="I39" i="13"/>
  <c r="H40" i="13"/>
  <c r="H40" i="14"/>
  <c r="F42" i="14"/>
  <c r="F42" i="13"/>
  <c r="M43" i="14"/>
  <c r="N43" i="14" s="1"/>
  <c r="O43" i="14" s="1"/>
  <c r="M43" i="13"/>
  <c r="N43" i="13" s="1"/>
  <c r="O43" i="13" s="1"/>
  <c r="L44" i="14"/>
  <c r="L44" i="13"/>
  <c r="I47" i="14"/>
  <c r="I47" i="13"/>
  <c r="H48" i="14"/>
  <c r="H48" i="13"/>
  <c r="F50" i="14"/>
  <c r="F50" i="13"/>
  <c r="M51" i="14"/>
  <c r="N51" i="14" s="1"/>
  <c r="O51" i="14" s="1"/>
  <c r="M51" i="13"/>
  <c r="N51" i="13" s="1"/>
  <c r="O51" i="13" s="1"/>
  <c r="L52" i="14"/>
  <c r="L52" i="13"/>
  <c r="I55" i="14"/>
  <c r="I55" i="13"/>
  <c r="H58" i="14"/>
  <c r="H58" i="13"/>
  <c r="M70" i="14"/>
  <c r="N70" i="14" s="1"/>
  <c r="O70" i="14" s="1"/>
  <c r="M70" i="13"/>
  <c r="N70" i="13" s="1"/>
  <c r="O70" i="13" s="1"/>
  <c r="L71" i="14"/>
  <c r="L71" i="13"/>
  <c r="K72" i="14"/>
  <c r="K72" i="13"/>
  <c r="J73" i="14"/>
  <c r="J73" i="13"/>
  <c r="G76" i="14"/>
  <c r="G76" i="13"/>
  <c r="F77" i="14"/>
  <c r="F77" i="13"/>
  <c r="M78" i="14"/>
  <c r="N78" i="14" s="1"/>
  <c r="O78" i="14" s="1"/>
  <c r="M78" i="13"/>
  <c r="N78" i="13" s="1"/>
  <c r="O78" i="13" s="1"/>
  <c r="L79" i="14"/>
  <c r="L79" i="13"/>
  <c r="K80" i="14"/>
  <c r="K80" i="13"/>
  <c r="J81" i="14"/>
  <c r="J81" i="13"/>
  <c r="H83" i="14"/>
  <c r="H83" i="13"/>
  <c r="G84" i="14"/>
  <c r="G84" i="13"/>
  <c r="F85" i="14"/>
  <c r="F85" i="13"/>
  <c r="M86" i="14"/>
  <c r="N86" i="14" s="1"/>
  <c r="O86" i="14" s="1"/>
  <c r="M86" i="13"/>
  <c r="N86" i="13" s="1"/>
  <c r="O86" i="13" s="1"/>
  <c r="M87" i="14"/>
  <c r="M87" i="13"/>
  <c r="L89" i="14"/>
  <c r="L89" i="13"/>
  <c r="I101" i="13"/>
  <c r="I101" i="14"/>
  <c r="H102" i="14"/>
  <c r="H102" i="13"/>
  <c r="M105" i="14"/>
  <c r="N105" i="14" s="1"/>
  <c r="O105" i="14" s="1"/>
  <c r="M105" i="13"/>
  <c r="N105" i="13" s="1"/>
  <c r="O105" i="13" s="1"/>
  <c r="L106" i="14"/>
  <c r="L106" i="13"/>
  <c r="K107" i="14"/>
  <c r="K107" i="13"/>
  <c r="J108" i="14"/>
  <c r="J108" i="13"/>
  <c r="H110" i="14"/>
  <c r="H110" i="13"/>
  <c r="F112" i="14"/>
  <c r="F112" i="13"/>
  <c r="M113" i="14"/>
  <c r="N113" i="14" s="1"/>
  <c r="O113" i="14" s="1"/>
  <c r="M113" i="13"/>
  <c r="N113" i="13" s="1"/>
  <c r="O113" i="13" s="1"/>
  <c r="L114" i="14"/>
  <c r="L114" i="13"/>
  <c r="K115" i="14"/>
  <c r="K115" i="13"/>
  <c r="J116" i="14"/>
  <c r="J116" i="13"/>
  <c r="I118" i="14"/>
  <c r="I118" i="13"/>
  <c r="I119" i="13" s="1"/>
  <c r="H120" i="14"/>
  <c r="L133" i="14"/>
  <c r="L133" i="13"/>
  <c r="K134" i="14"/>
  <c r="K134" i="13"/>
  <c r="J135" i="14"/>
  <c r="J135" i="13"/>
  <c r="I136" i="13"/>
  <c r="I136" i="14"/>
  <c r="H137" i="14"/>
  <c r="H137" i="13"/>
  <c r="G138" i="14"/>
  <c r="G138" i="13"/>
  <c r="F139" i="13"/>
  <c r="F139" i="14"/>
  <c r="M140" i="14"/>
  <c r="N140" i="14" s="1"/>
  <c r="O140" i="14" s="1"/>
  <c r="M140" i="13"/>
  <c r="N140" i="13" s="1"/>
  <c r="O140" i="13" s="1"/>
  <c r="L141" i="14"/>
  <c r="L141" i="13"/>
  <c r="K142" i="14"/>
  <c r="K142" i="13"/>
  <c r="J143" i="14"/>
  <c r="J143" i="13"/>
  <c r="I144" i="13"/>
  <c r="I144" i="14"/>
  <c r="H145" i="14"/>
  <c r="H145" i="13"/>
  <c r="G146" i="14"/>
  <c r="G146" i="13"/>
  <c r="F147" i="13"/>
  <c r="F147" i="14"/>
  <c r="M148" i="14"/>
  <c r="N148" i="14" s="1"/>
  <c r="O148" i="14" s="1"/>
  <c r="M148" i="13"/>
  <c r="N148" i="13" s="1"/>
  <c r="O148" i="13" s="1"/>
  <c r="L149" i="14"/>
  <c r="L149" i="13"/>
  <c r="I8" i="13"/>
  <c r="M10" i="13"/>
  <c r="N10" i="13" s="1"/>
  <c r="O10" i="13" s="1"/>
  <c r="L13" i="13"/>
  <c r="I16" i="13"/>
  <c r="M18" i="13"/>
  <c r="N18" i="13" s="1"/>
  <c r="O18" i="13" s="1"/>
  <c r="L21" i="13"/>
  <c r="I24" i="13"/>
  <c r="M27" i="13"/>
  <c r="N27" i="13" s="1"/>
  <c r="O27" i="13" s="1"/>
  <c r="G41" i="13"/>
  <c r="K43" i="13"/>
  <c r="J46" i="13"/>
  <c r="G49" i="13"/>
  <c r="K51" i="13"/>
  <c r="J54" i="13"/>
  <c r="J58" i="13"/>
  <c r="I72" i="13"/>
  <c r="I76" i="13"/>
  <c r="I80" i="13"/>
  <c r="H86" i="13"/>
  <c r="F109" i="13"/>
  <c r="H25" i="14"/>
  <c r="H26" i="14" s="1"/>
  <c r="I117" i="14"/>
  <c r="F10" i="14"/>
  <c r="F10" i="13"/>
  <c r="H16" i="14"/>
  <c r="H16" i="13"/>
  <c r="F18" i="14"/>
  <c r="F18" i="13"/>
  <c r="K21" i="14"/>
  <c r="K21" i="13"/>
  <c r="G27" i="14"/>
  <c r="G27" i="13"/>
  <c r="F72" i="14"/>
  <c r="F72" i="13"/>
  <c r="J76" i="14"/>
  <c r="J76" i="13"/>
  <c r="K102" i="14"/>
  <c r="K102" i="13"/>
  <c r="J111" i="14"/>
  <c r="J111" i="13"/>
  <c r="F115" i="14"/>
  <c r="F115" i="13"/>
  <c r="K120" i="14"/>
  <c r="F134" i="14"/>
  <c r="F134" i="13"/>
  <c r="J138" i="14"/>
  <c r="J138" i="13"/>
  <c r="G141" i="14"/>
  <c r="G141" i="13"/>
  <c r="K145" i="14"/>
  <c r="K145" i="13"/>
  <c r="I147" i="13"/>
  <c r="I147" i="14"/>
  <c r="G149" i="14"/>
  <c r="G149" i="13"/>
  <c r="H70" i="13"/>
  <c r="M82" i="14"/>
  <c r="N82" i="14" s="1"/>
  <c r="O82" i="14" s="1"/>
  <c r="M82" i="13"/>
  <c r="N82" i="13" s="1"/>
  <c r="O82" i="13" s="1"/>
  <c r="J85" i="14"/>
  <c r="J85" i="13"/>
  <c r="J104" i="14"/>
  <c r="J104" i="13"/>
  <c r="K111" i="14"/>
  <c r="K111" i="13"/>
  <c r="M136" i="14"/>
  <c r="N136" i="14" s="1"/>
  <c r="O136" i="14" s="1"/>
  <c r="M136" i="13"/>
  <c r="N136" i="13" s="1"/>
  <c r="O136" i="13" s="1"/>
  <c r="J42" i="13"/>
  <c r="I78" i="13"/>
  <c r="H10" i="14"/>
  <c r="H10" i="13"/>
  <c r="F20" i="14"/>
  <c r="F20" i="13"/>
  <c r="J25" i="14"/>
  <c r="J26" i="14" s="1"/>
  <c r="J25" i="13"/>
  <c r="J26" i="13" s="1"/>
  <c r="M48" i="14"/>
  <c r="N48" i="14" s="1"/>
  <c r="O48" i="14" s="1"/>
  <c r="M48" i="13"/>
  <c r="N48" i="13" s="1"/>
  <c r="O48" i="13" s="1"/>
  <c r="J70" i="14"/>
  <c r="J70" i="13"/>
  <c r="G73" i="14"/>
  <c r="G73" i="13"/>
  <c r="J78" i="14"/>
  <c r="J78" i="13"/>
  <c r="L84" i="14"/>
  <c r="L84" i="13"/>
  <c r="J105" i="14"/>
  <c r="J105" i="13"/>
  <c r="G108" i="14"/>
  <c r="G108" i="13"/>
  <c r="K112" i="14"/>
  <c r="K112" i="13"/>
  <c r="I114" i="13"/>
  <c r="I114" i="14"/>
  <c r="F118" i="13"/>
  <c r="F119" i="13" s="1"/>
  <c r="F118" i="14"/>
  <c r="H134" i="14"/>
  <c r="H134" i="13"/>
  <c r="F136" i="14"/>
  <c r="F136" i="13"/>
  <c r="J140" i="14"/>
  <c r="J140" i="13"/>
  <c r="H71" i="13"/>
  <c r="K10" i="14"/>
  <c r="K10" i="13"/>
  <c r="F8" i="14"/>
  <c r="F8" i="13"/>
  <c r="K11" i="14"/>
  <c r="K11" i="13"/>
  <c r="J12" i="14"/>
  <c r="J12" i="13"/>
  <c r="H14" i="14"/>
  <c r="H14" i="13"/>
  <c r="G15" i="14"/>
  <c r="G15" i="13"/>
  <c r="F16" i="14"/>
  <c r="F16" i="13"/>
  <c r="K19" i="14"/>
  <c r="K19" i="13"/>
  <c r="J20" i="14"/>
  <c r="J20" i="13"/>
  <c r="H22" i="14"/>
  <c r="H22" i="13"/>
  <c r="G23" i="14"/>
  <c r="G23" i="13"/>
  <c r="F24" i="14"/>
  <c r="F24" i="13"/>
  <c r="F25" i="14"/>
  <c r="F26" i="14" s="1"/>
  <c r="F25" i="13"/>
  <c r="F26" i="13" s="1"/>
  <c r="I40" i="13"/>
  <c r="I40" i="14"/>
  <c r="H41" i="14"/>
  <c r="H41" i="13"/>
  <c r="M44" i="14"/>
  <c r="N44" i="14" s="1"/>
  <c r="O44" i="14" s="1"/>
  <c r="M44" i="13"/>
  <c r="N44" i="13" s="1"/>
  <c r="O44" i="13" s="1"/>
  <c r="L45" i="14"/>
  <c r="L45" i="13"/>
  <c r="I48" i="14"/>
  <c r="I48" i="13"/>
  <c r="H49" i="14"/>
  <c r="H49" i="13"/>
  <c r="M52" i="14"/>
  <c r="N52" i="14" s="1"/>
  <c r="O52" i="14" s="1"/>
  <c r="M52" i="13"/>
  <c r="N52" i="13" s="1"/>
  <c r="O52" i="13" s="1"/>
  <c r="L53" i="14"/>
  <c r="L53" i="13"/>
  <c r="I58" i="14"/>
  <c r="I58" i="13"/>
  <c r="F70" i="14"/>
  <c r="F70" i="13"/>
  <c r="M71" i="14"/>
  <c r="N71" i="14" s="1"/>
  <c r="O71" i="14" s="1"/>
  <c r="M71" i="13"/>
  <c r="N71" i="13" s="1"/>
  <c r="O71" i="13" s="1"/>
  <c r="L72" i="14"/>
  <c r="L72" i="13"/>
  <c r="K73" i="14"/>
  <c r="K73" i="13"/>
  <c r="J74" i="14"/>
  <c r="J74" i="13"/>
  <c r="G77" i="14"/>
  <c r="G77" i="13"/>
  <c r="F78" i="14"/>
  <c r="F78" i="13"/>
  <c r="M79" i="14"/>
  <c r="N79" i="14" s="1"/>
  <c r="O79" i="14" s="1"/>
  <c r="M79" i="13"/>
  <c r="N79" i="13" s="1"/>
  <c r="O79" i="13" s="1"/>
  <c r="L80" i="14"/>
  <c r="L80" i="13"/>
  <c r="K81" i="14"/>
  <c r="K81" i="13"/>
  <c r="I83" i="14"/>
  <c r="I83" i="13"/>
  <c r="G85" i="14"/>
  <c r="G85" i="13"/>
  <c r="F86" i="14"/>
  <c r="F86" i="13"/>
  <c r="F87" i="14"/>
  <c r="F88" i="14" s="1"/>
  <c r="F87" i="13"/>
  <c r="F88" i="13" s="1"/>
  <c r="M89" i="14"/>
  <c r="N89" i="14" s="1"/>
  <c r="O89" i="14" s="1"/>
  <c r="M89" i="13"/>
  <c r="N89" i="13" s="1"/>
  <c r="O89" i="13" s="1"/>
  <c r="J101" i="14"/>
  <c r="J101" i="13"/>
  <c r="I102" i="14"/>
  <c r="I102" i="13"/>
  <c r="H103" i="14"/>
  <c r="H103" i="13"/>
  <c r="G104" i="14"/>
  <c r="G104" i="13"/>
  <c r="F105" i="14"/>
  <c r="F105" i="13"/>
  <c r="M106" i="14"/>
  <c r="N106" i="14" s="1"/>
  <c r="O106" i="14" s="1"/>
  <c r="M106" i="13"/>
  <c r="N106" i="13" s="1"/>
  <c r="O106" i="13" s="1"/>
  <c r="L107" i="14"/>
  <c r="L107" i="13"/>
  <c r="K108" i="14"/>
  <c r="K108" i="13"/>
  <c r="J109" i="14"/>
  <c r="J109" i="13"/>
  <c r="I110" i="14"/>
  <c r="I110" i="13"/>
  <c r="H111" i="14"/>
  <c r="H111" i="13"/>
  <c r="G112" i="14"/>
  <c r="G112" i="13"/>
  <c r="F113" i="14"/>
  <c r="F113" i="13"/>
  <c r="M114" i="14"/>
  <c r="N114" i="14" s="1"/>
  <c r="O114" i="14" s="1"/>
  <c r="M114" i="13"/>
  <c r="N114" i="13" s="1"/>
  <c r="O114" i="13" s="1"/>
  <c r="L115" i="14"/>
  <c r="L115" i="13"/>
  <c r="K116" i="14"/>
  <c r="K116" i="13"/>
  <c r="J117" i="14"/>
  <c r="J117" i="13"/>
  <c r="J118" i="14"/>
  <c r="J118" i="13"/>
  <c r="J119" i="13" s="1"/>
  <c r="I120" i="14"/>
  <c r="M133" i="14"/>
  <c r="N133" i="14" s="1"/>
  <c r="O133" i="14" s="1"/>
  <c r="M133" i="13"/>
  <c r="N133" i="13" s="1"/>
  <c r="O133" i="13" s="1"/>
  <c r="L134" i="14"/>
  <c r="L134" i="13"/>
  <c r="K135" i="14"/>
  <c r="K135" i="13"/>
  <c r="J136" i="14"/>
  <c r="J136" i="13"/>
  <c r="I137" i="14"/>
  <c r="I137" i="13"/>
  <c r="L8" i="13"/>
  <c r="I11" i="13"/>
  <c r="M13" i="13"/>
  <c r="N13" i="13" s="1"/>
  <c r="O13" i="13" s="1"/>
  <c r="L16" i="13"/>
  <c r="I19" i="13"/>
  <c r="M21" i="13"/>
  <c r="N21" i="13" s="1"/>
  <c r="O21" i="13" s="1"/>
  <c r="L24" i="13"/>
  <c r="J41" i="13"/>
  <c r="G44" i="13"/>
  <c r="K46" i="13"/>
  <c r="J49" i="13"/>
  <c r="G52" i="13"/>
  <c r="K54" i="13"/>
  <c r="K58" i="13"/>
  <c r="H73" i="13"/>
  <c r="H77" i="13"/>
  <c r="H81" i="13"/>
  <c r="G111" i="13"/>
  <c r="M134" i="13"/>
  <c r="N134" i="13" s="1"/>
  <c r="O134" i="13" s="1"/>
  <c r="F12" i="14"/>
  <c r="F43" i="14"/>
  <c r="H136" i="14"/>
  <c r="H8" i="14"/>
  <c r="H8" i="13"/>
  <c r="G9" i="14"/>
  <c r="G9" i="13"/>
  <c r="K13" i="14"/>
  <c r="K13" i="13"/>
  <c r="J14" i="14"/>
  <c r="J14" i="13"/>
  <c r="G17" i="14"/>
  <c r="G17" i="13"/>
  <c r="M54" i="14"/>
  <c r="N54" i="14" s="1"/>
  <c r="O54" i="14" s="1"/>
  <c r="M54" i="13"/>
  <c r="N54" i="13" s="1"/>
  <c r="O54" i="13" s="1"/>
  <c r="L82" i="14"/>
  <c r="L82" i="13"/>
  <c r="H87" i="14"/>
  <c r="H88" i="14" s="1"/>
  <c r="H87" i="13"/>
  <c r="H88" i="13" s="1"/>
  <c r="L101" i="14"/>
  <c r="L101" i="13"/>
  <c r="I104" i="13"/>
  <c r="I104" i="14"/>
  <c r="F107" i="14"/>
  <c r="F107" i="13"/>
  <c r="K110" i="14"/>
  <c r="K110" i="13"/>
  <c r="I112" i="13"/>
  <c r="I112" i="14"/>
  <c r="L118" i="14"/>
  <c r="L118" i="13"/>
  <c r="L119" i="13" s="1"/>
  <c r="G133" i="14"/>
  <c r="G133" i="13"/>
  <c r="I50" i="14"/>
  <c r="H9" i="14"/>
  <c r="H9" i="13"/>
  <c r="G18" i="14"/>
  <c r="G18" i="13"/>
  <c r="H27" i="14"/>
  <c r="H27" i="13"/>
  <c r="L40" i="14"/>
  <c r="L40" i="13"/>
  <c r="I43" i="14"/>
  <c r="I43" i="13"/>
  <c r="F46" i="14"/>
  <c r="F46" i="13"/>
  <c r="L48" i="14"/>
  <c r="L48" i="13"/>
  <c r="I51" i="14"/>
  <c r="I51" i="13"/>
  <c r="M56" i="14"/>
  <c r="M56" i="13"/>
  <c r="G72" i="14"/>
  <c r="G72" i="13"/>
  <c r="K76" i="14"/>
  <c r="K76" i="13"/>
  <c r="F81" i="14"/>
  <c r="F81" i="13"/>
  <c r="I105" i="14"/>
  <c r="I105" i="13"/>
  <c r="M109" i="14"/>
  <c r="N109" i="14" s="1"/>
  <c r="O109" i="14" s="1"/>
  <c r="M109" i="13"/>
  <c r="N109" i="13" s="1"/>
  <c r="O109" i="13" s="1"/>
  <c r="G115" i="14"/>
  <c r="G115" i="13"/>
  <c r="M117" i="14"/>
  <c r="N117" i="14" s="1"/>
  <c r="O117" i="14" s="1"/>
  <c r="M117" i="13"/>
  <c r="N117" i="13" s="1"/>
  <c r="O117" i="13" s="1"/>
  <c r="L120" i="14"/>
  <c r="H133" i="13"/>
  <c r="H133" i="14"/>
  <c r="G134" i="14"/>
  <c r="G134" i="13"/>
  <c r="K138" i="14"/>
  <c r="K138" i="13"/>
  <c r="G114" i="13"/>
  <c r="J24" i="14"/>
  <c r="J24" i="13"/>
  <c r="F39" i="14"/>
  <c r="F39" i="13"/>
  <c r="M40" i="14"/>
  <c r="N40" i="14" s="1"/>
  <c r="O40" i="14" s="1"/>
  <c r="M40" i="13"/>
  <c r="N40" i="13" s="1"/>
  <c r="O40" i="13" s="1"/>
  <c r="I44" i="14"/>
  <c r="I44" i="13"/>
  <c r="F55" i="14"/>
  <c r="F55" i="13"/>
  <c r="F82" i="14"/>
  <c r="F82" i="13"/>
  <c r="J86" i="14"/>
  <c r="J86" i="13"/>
  <c r="J113" i="14"/>
  <c r="J113" i="13"/>
  <c r="H115" i="13"/>
  <c r="H115" i="14"/>
  <c r="K139" i="14"/>
  <c r="K139" i="13"/>
  <c r="I23" i="13"/>
  <c r="M83" i="13"/>
  <c r="N83" i="13" s="1"/>
  <c r="O83" i="13" s="1"/>
  <c r="G8" i="14"/>
  <c r="G8" i="13"/>
  <c r="F9" i="14"/>
  <c r="F9" i="13"/>
  <c r="K12" i="14"/>
  <c r="K12" i="13"/>
  <c r="J13" i="14"/>
  <c r="J13" i="13"/>
  <c r="H15" i="14"/>
  <c r="H15" i="13"/>
  <c r="G16" i="14"/>
  <c r="G16" i="13"/>
  <c r="F17" i="14"/>
  <c r="F17" i="13"/>
  <c r="K20" i="14"/>
  <c r="K20" i="13"/>
  <c r="J21" i="14"/>
  <c r="J21" i="13"/>
  <c r="G24" i="14"/>
  <c r="G24" i="13"/>
  <c r="G25" i="14"/>
  <c r="G26" i="14" s="1"/>
  <c r="G25" i="13"/>
  <c r="G26" i="13" s="1"/>
  <c r="F27" i="14"/>
  <c r="F27" i="13"/>
  <c r="I41" i="14"/>
  <c r="I41" i="13"/>
  <c r="H42" i="14"/>
  <c r="H42" i="13"/>
  <c r="F44" i="14"/>
  <c r="F44" i="13"/>
  <c r="M45" i="14"/>
  <c r="N45" i="14" s="1"/>
  <c r="O45" i="14" s="1"/>
  <c r="M45" i="13"/>
  <c r="N45" i="13" s="1"/>
  <c r="O45" i="13" s="1"/>
  <c r="L46" i="14"/>
  <c r="L46" i="13"/>
  <c r="I49" i="14"/>
  <c r="I49" i="13"/>
  <c r="H50" i="14"/>
  <c r="H50" i="13"/>
  <c r="F52" i="14"/>
  <c r="F52" i="13"/>
  <c r="M53" i="14"/>
  <c r="N53" i="14" s="1"/>
  <c r="O53" i="14" s="1"/>
  <c r="M53" i="13"/>
  <c r="N53" i="13" s="1"/>
  <c r="O53" i="13" s="1"/>
  <c r="L54" i="14"/>
  <c r="L54" i="13"/>
  <c r="G70" i="14"/>
  <c r="G70" i="13"/>
  <c r="F71" i="13"/>
  <c r="F71" i="14"/>
  <c r="M72" i="14"/>
  <c r="N72" i="14" s="1"/>
  <c r="O72" i="14" s="1"/>
  <c r="M72" i="13"/>
  <c r="N72" i="13" s="1"/>
  <c r="O72" i="13" s="1"/>
  <c r="L73" i="14"/>
  <c r="L73" i="13"/>
  <c r="K74" i="14"/>
  <c r="K74" i="13"/>
  <c r="J75" i="14"/>
  <c r="J75" i="13"/>
  <c r="G78" i="14"/>
  <c r="G78" i="13"/>
  <c r="F79" i="13"/>
  <c r="F79" i="14"/>
  <c r="M80" i="14"/>
  <c r="N80" i="14" s="1"/>
  <c r="O80" i="14" s="1"/>
  <c r="M80" i="13"/>
  <c r="N80" i="13" s="1"/>
  <c r="O80" i="13" s="1"/>
  <c r="L81" i="14"/>
  <c r="L81" i="13"/>
  <c r="K82" i="14"/>
  <c r="K82" i="13"/>
  <c r="J83" i="14"/>
  <c r="J83" i="13"/>
  <c r="I84" i="13"/>
  <c r="I84" i="14"/>
  <c r="H85" i="14"/>
  <c r="H85" i="13"/>
  <c r="G87" i="14"/>
  <c r="G88" i="14" s="1"/>
  <c r="G87" i="13"/>
  <c r="G88" i="13" s="1"/>
  <c r="F89" i="14"/>
  <c r="F89" i="13"/>
  <c r="K101" i="14"/>
  <c r="K101" i="13"/>
  <c r="J102" i="14"/>
  <c r="J102" i="13"/>
  <c r="I103" i="14"/>
  <c r="I103" i="13"/>
  <c r="H104" i="13"/>
  <c r="H104" i="14"/>
  <c r="G105" i="14"/>
  <c r="G105" i="13"/>
  <c r="M107" i="14"/>
  <c r="N107" i="14" s="1"/>
  <c r="O107" i="14" s="1"/>
  <c r="M107" i="13"/>
  <c r="N107" i="13" s="1"/>
  <c r="O107" i="13" s="1"/>
  <c r="L108" i="14"/>
  <c r="L108" i="13"/>
  <c r="K109" i="14"/>
  <c r="K109" i="13"/>
  <c r="J110" i="14"/>
  <c r="J110" i="13"/>
  <c r="I111" i="14"/>
  <c r="I111" i="13"/>
  <c r="H112" i="13"/>
  <c r="H112" i="14"/>
  <c r="G113" i="14"/>
  <c r="G113" i="13"/>
  <c r="M115" i="14"/>
  <c r="N115" i="14" s="1"/>
  <c r="O115" i="14" s="1"/>
  <c r="M115" i="13"/>
  <c r="N115" i="13" s="1"/>
  <c r="O115" i="13" s="1"/>
  <c r="L116" i="14"/>
  <c r="L116" i="13"/>
  <c r="K117" i="14"/>
  <c r="K117" i="13"/>
  <c r="K118" i="14"/>
  <c r="K118" i="13"/>
  <c r="K119" i="13" s="1"/>
  <c r="J120" i="14"/>
  <c r="F133" i="14"/>
  <c r="F133" i="13"/>
  <c r="L135" i="14"/>
  <c r="L135" i="13"/>
  <c r="K136" i="14"/>
  <c r="K136" i="13"/>
  <c r="J137" i="14"/>
  <c r="J137" i="13"/>
  <c r="I138" i="13"/>
  <c r="I138" i="14"/>
  <c r="H139" i="13"/>
  <c r="H139" i="14"/>
  <c r="G140" i="14"/>
  <c r="G140" i="13"/>
  <c r="F141" i="14"/>
  <c r="F141" i="13"/>
  <c r="M8" i="13"/>
  <c r="N8" i="13" s="1"/>
  <c r="O8" i="13" s="1"/>
  <c r="L11" i="13"/>
  <c r="I14" i="13"/>
  <c r="M16" i="13"/>
  <c r="N16" i="13" s="1"/>
  <c r="O16" i="13" s="1"/>
  <c r="L19" i="13"/>
  <c r="I22" i="13"/>
  <c r="M24" i="13"/>
  <c r="N24" i="13" s="1"/>
  <c r="O24" i="13" s="1"/>
  <c r="G39" i="13"/>
  <c r="K41" i="13"/>
  <c r="J44" i="13"/>
  <c r="G47" i="13"/>
  <c r="K49" i="13"/>
  <c r="J52" i="13"/>
  <c r="G55" i="13"/>
  <c r="I73" i="13"/>
  <c r="I77" i="13"/>
  <c r="I81" i="13"/>
  <c r="F101" i="13"/>
  <c r="M111" i="13"/>
  <c r="N111" i="13" s="1"/>
  <c r="O111" i="13" s="1"/>
  <c r="F135" i="13"/>
  <c r="H43" i="14"/>
  <c r="H84" i="14"/>
  <c r="H138" i="14"/>
  <c r="K150" i="14"/>
  <c r="K150" i="13"/>
  <c r="K151" i="13" s="1"/>
  <c r="J152" i="14"/>
  <c r="J152" i="13"/>
  <c r="L143" i="13"/>
  <c r="L152" i="13"/>
  <c r="H146" i="14"/>
  <c r="G139" i="14"/>
  <c r="G139" i="13"/>
  <c r="K143" i="14"/>
  <c r="K143" i="13"/>
  <c r="J144" i="14"/>
  <c r="J144" i="13"/>
  <c r="I145" i="14"/>
  <c r="I145" i="13"/>
  <c r="G147" i="14"/>
  <c r="G147" i="13"/>
  <c r="K152" i="14"/>
  <c r="K152" i="13"/>
  <c r="L146" i="13"/>
  <c r="F149" i="13"/>
  <c r="I146" i="14"/>
  <c r="K144" i="14"/>
  <c r="K144" i="13"/>
  <c r="J145" i="14"/>
  <c r="J145" i="13"/>
  <c r="H147" i="13"/>
  <c r="H147" i="14"/>
  <c r="G148" i="14"/>
  <c r="G148" i="13"/>
  <c r="M141" i="13"/>
  <c r="N141" i="13" s="1"/>
  <c r="O141" i="13" s="1"/>
  <c r="M149" i="13"/>
  <c r="N149" i="13" s="1"/>
  <c r="O149" i="13" s="1"/>
  <c r="H141" i="14"/>
  <c r="J139" i="14"/>
  <c r="J139" i="13"/>
  <c r="I140" i="14"/>
  <c r="I140" i="13"/>
  <c r="G142" i="14"/>
  <c r="G142" i="13"/>
  <c r="K146" i="14"/>
  <c r="K146" i="13"/>
  <c r="J147" i="14"/>
  <c r="J147" i="13"/>
  <c r="I148" i="14"/>
  <c r="I148" i="13"/>
  <c r="G150" i="14"/>
  <c r="G150" i="13"/>
  <c r="G151" i="13" s="1"/>
  <c r="M144" i="13"/>
  <c r="N144" i="13" s="1"/>
  <c r="O144" i="13" s="1"/>
  <c r="I141" i="14"/>
  <c r="H149" i="14"/>
  <c r="H142" i="14"/>
  <c r="H142" i="13"/>
  <c r="G143" i="14"/>
  <c r="G143" i="13"/>
  <c r="K147" i="14"/>
  <c r="K147" i="13"/>
  <c r="J148" i="14"/>
  <c r="J148" i="13"/>
  <c r="H150" i="14"/>
  <c r="H150" i="13"/>
  <c r="H151" i="13" s="1"/>
  <c r="G152" i="14"/>
  <c r="G152" i="13"/>
  <c r="L142" i="13"/>
  <c r="L150" i="13"/>
  <c r="L151" i="13" s="1"/>
  <c r="I149" i="14"/>
  <c r="O7" i="16" l="1"/>
  <c r="M57" i="13"/>
  <c r="N57" i="13" s="1"/>
  <c r="O57" i="13" s="1"/>
  <c r="N56" i="13"/>
  <c r="O56" i="13" s="1"/>
  <c r="M57" i="14"/>
  <c r="N57" i="14" s="1"/>
  <c r="O57" i="14" s="1"/>
  <c r="N56" i="14"/>
  <c r="O56" i="14" s="1"/>
  <c r="M119" i="13"/>
  <c r="N119" i="13" s="1"/>
  <c r="O119" i="13" s="1"/>
  <c r="N118" i="13"/>
  <c r="O118" i="13" s="1"/>
  <c r="M26" i="13"/>
  <c r="N26" i="13" s="1"/>
  <c r="O26" i="13" s="1"/>
  <c r="N25" i="13"/>
  <c r="O25" i="13" s="1"/>
  <c r="M88" i="13"/>
  <c r="N88" i="13" s="1"/>
  <c r="O88" i="13" s="1"/>
  <c r="N87" i="13"/>
  <c r="O87" i="13" s="1"/>
  <c r="M151" i="13"/>
  <c r="N151" i="13" s="1"/>
  <c r="O151" i="13" s="1"/>
  <c r="N150" i="13"/>
  <c r="O150" i="13" s="1"/>
  <c r="M88" i="14"/>
  <c r="N88" i="14" s="1"/>
  <c r="O88" i="14" s="1"/>
  <c r="N87" i="14"/>
  <c r="O87" i="14" s="1"/>
  <c r="C23" i="10"/>
  <c r="J15" i="16" l="1"/>
  <c r="J23" i="16"/>
  <c r="J8" i="16"/>
  <c r="J16" i="16"/>
  <c r="J24" i="16"/>
  <c r="J9" i="16"/>
  <c r="J17" i="16"/>
  <c r="J25" i="16"/>
  <c r="J10" i="16"/>
  <c r="J18" i="16"/>
  <c r="J22" i="16"/>
  <c r="J11" i="16"/>
  <c r="J19" i="16"/>
  <c r="J12" i="16"/>
  <c r="J20" i="16"/>
  <c r="J14" i="16"/>
  <c r="J13" i="16"/>
  <c r="J21" i="16"/>
  <c r="D2" i="2"/>
  <c r="E2" i="2"/>
  <c r="F2" i="2"/>
  <c r="G2" i="2"/>
  <c r="H2" i="2"/>
  <c r="I2" i="2"/>
  <c r="J2" i="2"/>
  <c r="C2" i="2"/>
  <c r="I7" i="1" l="1"/>
  <c r="D20" i="1"/>
  <c r="D7" i="1" l="1"/>
  <c r="L103" i="2" l="1"/>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84" i="2"/>
  <c r="L85" i="2"/>
  <c r="L86" i="2"/>
  <c r="L87" i="2"/>
  <c r="L88" i="2"/>
  <c r="L89" i="2"/>
  <c r="L90" i="2"/>
  <c r="L91" i="2"/>
  <c r="L92" i="2"/>
  <c r="L93" i="2"/>
  <c r="L94" i="2"/>
  <c r="L95" i="2"/>
  <c r="L96" i="2"/>
  <c r="L97" i="2"/>
  <c r="L98" i="2"/>
  <c r="L99" i="2"/>
  <c r="L100" i="2"/>
  <c r="L101" i="2"/>
  <c r="L102"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26" i="2"/>
  <c r="J7" i="1"/>
  <c r="J8" i="1" l="1"/>
  <c r="K7" i="1"/>
  <c r="L7" i="1" s="1" a="1"/>
  <c r="L7" i="1" s="1"/>
  <c r="D8" i="1"/>
  <c r="L8" i="2"/>
  <c r="L9" i="2"/>
  <c r="L10" i="2"/>
  <c r="L11" i="2"/>
  <c r="L12" i="2"/>
  <c r="L13" i="2"/>
  <c r="L14" i="2"/>
  <c r="L15" i="2"/>
  <c r="L16" i="2"/>
  <c r="L17" i="2"/>
  <c r="L18" i="2"/>
  <c r="L19" i="2"/>
  <c r="L20" i="2"/>
  <c r="L21" i="2"/>
  <c r="L22" i="2"/>
  <c r="L23" i="2"/>
  <c r="L24" i="2"/>
  <c r="L25" i="2"/>
  <c r="I8" i="1" l="1"/>
  <c r="K8" i="1" s="1"/>
  <c r="L8" i="1" s="1" a="1"/>
  <c r="L8" i="1" s="1"/>
  <c r="J9" i="1"/>
  <c r="J10" i="1" s="1"/>
  <c r="J11" i="1" s="1"/>
  <c r="J12" i="1" s="1"/>
  <c r="J13" i="1" s="1"/>
  <c r="J14" i="1" s="1"/>
  <c r="I9" i="1" l="1"/>
  <c r="K9" i="1" s="1"/>
  <c r="L9" i="1" s="1" a="1"/>
  <c r="L9" i="1" s="1"/>
  <c r="J15" i="1"/>
  <c r="D9" i="1"/>
  <c r="I10" i="1" l="1"/>
  <c r="I11" i="1" s="1"/>
  <c r="I12" i="1" s="1"/>
  <c r="I13" i="1" s="1"/>
  <c r="I14" i="1" s="1"/>
  <c r="I15" i="1" s="1"/>
  <c r="I16" i="1" s="1"/>
  <c r="J16" i="1"/>
  <c r="K10" i="1" l="1"/>
  <c r="L10" i="1" s="1" a="1"/>
  <c r="L10" i="1" s="1"/>
  <c r="K11" i="1"/>
  <c r="L11" i="1" s="1" a="1"/>
  <c r="L11" i="1" s="1"/>
  <c r="K12" i="1"/>
  <c r="L12" i="1" s="1" a="1"/>
  <c r="L12" i="1" s="1"/>
  <c r="K13" i="1"/>
  <c r="L13" i="1" s="1" a="1"/>
  <c r="L13" i="1" s="1"/>
  <c r="J17" i="1"/>
  <c r="I17" i="1" s="1"/>
  <c r="K14" i="1" l="1"/>
  <c r="L14" i="1" s="1" a="1"/>
  <c r="L14" i="1" s="1"/>
  <c r="J18" i="1"/>
  <c r="I18" i="1" s="1"/>
  <c r="K15" i="1" l="1"/>
  <c r="L15" i="1" s="1" a="1"/>
  <c r="L15" i="1" s="1"/>
  <c r="J19" i="1"/>
  <c r="I19" i="1" s="1"/>
  <c r="K16" i="1" l="1"/>
  <c r="L16" i="1" s="1" a="1"/>
  <c r="L16" i="1" s="1"/>
  <c r="J20" i="1"/>
  <c r="I20" i="1" s="1"/>
  <c r="K19" i="1"/>
  <c r="L19" i="1" s="1"/>
  <c r="K18" i="1" l="1"/>
  <c r="L18" i="1" s="1"/>
  <c r="K17" i="1"/>
  <c r="L17" i="1" s="1"/>
  <c r="J21" i="1"/>
  <c r="I21" i="1" s="1"/>
  <c r="K20" i="1"/>
  <c r="L20" i="1" s="1"/>
  <c r="J22" i="1" l="1"/>
  <c r="I22" i="1" s="1"/>
  <c r="K21" i="1"/>
  <c r="L21" i="1" s="1"/>
  <c r="K22" i="1" l="1"/>
  <c r="L22" i="1" s="1"/>
  <c r="J23" i="1"/>
  <c r="J24" i="1" s="1"/>
  <c r="J25" i="1" s="1"/>
  <c r="I23" i="1" l="1"/>
  <c r="I24" i="1" l="1"/>
  <c r="L23" i="1"/>
  <c r="I25" i="1" l="1"/>
  <c r="L25" i="1" s="1"/>
  <c r="L24" i="1"/>
  <c r="L27" i="1" s="1"/>
  <c r="H4" i="16" l="1"/>
  <c r="I4" i="16"/>
  <c r="N46" i="16" l="1"/>
  <c r="O46" i="16" s="1"/>
  <c r="I65" i="16" l="1"/>
  <c r="I61" i="16"/>
  <c r="I53" i="16"/>
  <c r="I48" i="16"/>
  <c r="I49" i="16"/>
  <c r="I50" i="16"/>
  <c r="I60" i="16"/>
  <c r="I57" i="16"/>
  <c r="I64" i="16"/>
  <c r="I55" i="16"/>
  <c r="I62" i="16"/>
  <c r="I63" i="16"/>
  <c r="I51" i="16"/>
  <c r="I59" i="16"/>
  <c r="I54" i="16"/>
  <c r="I56" i="16"/>
  <c r="I58" i="16"/>
  <c r="I47" i="16"/>
  <c r="J69" i="16" s="1"/>
  <c r="I52" i="16"/>
  <c r="J70" i="16" l="1"/>
  <c r="I69" i="16"/>
  <c r="I70" i="16" s="1"/>
  <c r="J4" i="16" s="1"/>
  <c r="C5" i="16" l="1"/>
  <c r="J71" i="16"/>
  <c r="E5" i="16" l="1"/>
  <c r="I74" i="16"/>
  <c r="I75" i="16" s="1"/>
  <c r="J75" i="16" s="1"/>
  <c r="J72" i="16" s="1"/>
  <c r="C6" i="16"/>
  <c r="E6" i="16" l="1"/>
  <c r="C7" i="16"/>
  <c r="C8" i="16" l="1"/>
  <c r="E7" i="16"/>
  <c r="C9" i="16" l="1"/>
  <c r="E8" i="16"/>
  <c r="E9" i="16" l="1"/>
  <c r="C10" i="16"/>
  <c r="E10" i="16" l="1"/>
  <c r="C11" i="16"/>
  <c r="E11" i="16" l="1"/>
  <c r="C12" i="16"/>
  <c r="E12" i="16" l="1"/>
  <c r="C13" i="16"/>
  <c r="E13" i="16" l="1"/>
  <c r="C14" i="16"/>
  <c r="E14" i="16" l="1"/>
  <c r="C15" i="16"/>
  <c r="C16" i="16" l="1"/>
  <c r="E15" i="16"/>
  <c r="C17" i="16" l="1"/>
  <c r="E16" i="16"/>
  <c r="C18" i="16" l="1"/>
  <c r="E17" i="16"/>
  <c r="C19" i="16" l="1"/>
  <c r="E18" i="16"/>
  <c r="C20" i="16" l="1"/>
  <c r="E19" i="16"/>
  <c r="E20" i="16" l="1"/>
  <c r="C21" i="16"/>
  <c r="E21" i="16" l="1"/>
  <c r="C22" i="16"/>
  <c r="C23" i="16" l="1"/>
  <c r="E22" i="16"/>
  <c r="C24" i="16" l="1"/>
  <c r="E23" i="16"/>
  <c r="C25" i="16" l="1"/>
  <c r="E24" i="16"/>
  <c r="E25" i="16" l="1"/>
  <c r="C26" i="16"/>
  <c r="C27" i="16" l="1"/>
  <c r="E26" i="16"/>
  <c r="C28" i="16" l="1"/>
  <c r="E27" i="16"/>
  <c r="E28" i="16" l="1"/>
  <c r="C29" i="16"/>
  <c r="C30" i="16" l="1"/>
  <c r="E29" i="16"/>
  <c r="E30" i="16" l="1"/>
  <c r="C31" i="16"/>
  <c r="E31" i="16" l="1"/>
  <c r="C32" i="16"/>
  <c r="C33" i="16" l="1"/>
  <c r="E32" i="16"/>
  <c r="E33" i="16" l="1"/>
  <c r="C34" i="16"/>
  <c r="C35" i="16" l="1"/>
  <c r="E34" i="16"/>
  <c r="C36" i="16" l="1"/>
  <c r="E35" i="16"/>
  <c r="E36" i="16" l="1"/>
  <c r="C37" i="16"/>
  <c r="C38" i="16" l="1"/>
  <c r="E37" i="16"/>
  <c r="E38" i="16" l="1"/>
  <c r="C39" i="16"/>
  <c r="E39" i="16" l="1"/>
  <c r="C40" i="16"/>
  <c r="C41" i="16" l="1"/>
  <c r="E40" i="16"/>
  <c r="E41" i="16" l="1"/>
  <c r="C42" i="16"/>
  <c r="C43" i="16" l="1"/>
  <c r="E42" i="16"/>
  <c r="C44" i="16" l="1"/>
  <c r="E43" i="16"/>
  <c r="E44" i="16" l="1"/>
  <c r="C45" i="16"/>
  <c r="C46" i="16" l="1"/>
  <c r="E45" i="16"/>
  <c r="E46" i="16" l="1"/>
  <c r="C47" i="16"/>
  <c r="E47" i="16" l="1"/>
  <c r="C48" i="16"/>
  <c r="C49" i="16" l="1"/>
  <c r="E48" i="16"/>
  <c r="E49" i="16" l="1"/>
  <c r="D49" i="16" s="1"/>
  <c r="C50" i="16"/>
  <c r="C51" i="16" l="1"/>
  <c r="E50" i="16"/>
  <c r="D50" i="16" s="1"/>
  <c r="C52" i="16" l="1"/>
  <c r="E51" i="16"/>
  <c r="D51" i="16" s="1"/>
  <c r="E52" i="16" l="1"/>
  <c r="D52" i="16" s="1"/>
  <c r="C53" i="16"/>
  <c r="C54" i="16" l="1"/>
  <c r="E53" i="16"/>
  <c r="D53" i="16" s="1"/>
  <c r="E54" i="16" l="1"/>
  <c r="D54" i="16" s="1"/>
  <c r="C55" i="16"/>
  <c r="E55" i="16" l="1"/>
  <c r="D55" i="16" s="1"/>
  <c r="C56" i="16"/>
  <c r="C57" i="16" l="1"/>
  <c r="E56" i="16"/>
  <c r="D56" i="16" s="1"/>
  <c r="E57" i="16" l="1"/>
  <c r="D57" i="16" s="1"/>
  <c r="C58" i="16"/>
  <c r="C59" i="16" l="1"/>
  <c r="E58" i="16"/>
  <c r="D58" i="16" s="1"/>
  <c r="C60" i="16" l="1"/>
  <c r="E59" i="16"/>
  <c r="D59" i="16" s="1"/>
  <c r="E60" i="16" l="1"/>
  <c r="D60" i="16" s="1"/>
  <c r="C61" i="16"/>
  <c r="C62" i="16" l="1"/>
  <c r="E61" i="16"/>
  <c r="D61" i="16" s="1"/>
  <c r="E62" i="16" l="1"/>
  <c r="D62" i="16" s="1"/>
  <c r="C63" i="16"/>
  <c r="E63" i="16" l="1"/>
  <c r="D63" i="16" s="1"/>
  <c r="C64" i="16"/>
  <c r="C65" i="16" l="1"/>
  <c r="E64" i="16"/>
  <c r="D64" i="16" s="1"/>
  <c r="E65" i="16" l="1"/>
  <c r="D65" i="16" s="1"/>
  <c r="C66" i="16"/>
  <c r="C67" i="16" l="1"/>
  <c r="E66" i="16"/>
  <c r="D66" i="16" s="1"/>
  <c r="C68" i="16" l="1"/>
  <c r="E67" i="16"/>
  <c r="D67" i="16" s="1"/>
  <c r="E68" i="16" l="1"/>
  <c r="D68" i="16" s="1"/>
  <c r="C69" i="16"/>
  <c r="C70" i="16" l="1"/>
  <c r="E69" i="16"/>
  <c r="D69" i="16" s="1"/>
  <c r="E70" i="16" l="1"/>
  <c r="D70" i="16" s="1"/>
  <c r="C71" i="16"/>
  <c r="E71" i="16" l="1"/>
  <c r="D71" i="16" s="1"/>
  <c r="C72" i="16"/>
  <c r="C73" i="16" l="1"/>
  <c r="E72" i="16"/>
  <c r="D72" i="16" s="1"/>
  <c r="E73" i="16" l="1"/>
  <c r="D73" i="16" s="1"/>
  <c r="C74" i="16"/>
  <c r="C75" i="16" l="1"/>
  <c r="E74" i="16"/>
  <c r="D74" i="16" s="1"/>
  <c r="C76" i="16" l="1"/>
  <c r="E75" i="16"/>
  <c r="D75" i="16" s="1"/>
  <c r="E76" i="16" l="1"/>
  <c r="D76" i="16" s="1"/>
  <c r="C77" i="16"/>
  <c r="C78" i="16" l="1"/>
  <c r="E77" i="16"/>
  <c r="D77" i="16" s="1"/>
  <c r="E78" i="16" l="1"/>
  <c r="D78" i="16" s="1"/>
  <c r="C79" i="16"/>
  <c r="E79" i="16" l="1"/>
  <c r="D79" i="16" s="1"/>
  <c r="C80" i="16"/>
  <c r="C81" i="16" l="1"/>
  <c r="E80" i="16"/>
  <c r="D80" i="16" s="1"/>
  <c r="E81" i="16" l="1"/>
  <c r="D81" i="16" s="1"/>
  <c r="C82" i="16"/>
  <c r="C83" i="16" l="1"/>
  <c r="E82" i="16"/>
  <c r="D82" i="16" s="1"/>
  <c r="C84" i="16" l="1"/>
  <c r="E83" i="16"/>
  <c r="D83" i="16" s="1"/>
  <c r="E84" i="16" l="1"/>
  <c r="D84" i="16" s="1"/>
  <c r="C85" i="16"/>
  <c r="C86" i="16" l="1"/>
  <c r="E85" i="16"/>
  <c r="D85" i="16" s="1"/>
  <c r="E86" i="16" l="1"/>
  <c r="D86" i="16" s="1"/>
  <c r="C87" i="16"/>
  <c r="E87" i="16" l="1"/>
  <c r="D87" i="16" s="1"/>
  <c r="C88" i="16"/>
  <c r="C89" i="16" l="1"/>
  <c r="E88" i="16"/>
  <c r="D88" i="16" s="1"/>
  <c r="E89" i="16" l="1"/>
  <c r="D89" i="16" s="1"/>
  <c r="C90" i="16"/>
  <c r="C91" i="16" l="1"/>
  <c r="E90" i="16"/>
  <c r="D90" i="16" s="1"/>
  <c r="C92" i="16" l="1"/>
  <c r="E91" i="16"/>
  <c r="D91" i="16" s="1"/>
  <c r="E92" i="16" l="1"/>
  <c r="D92" i="16" s="1"/>
  <c r="C93" i="16"/>
  <c r="C94" i="16" l="1"/>
  <c r="E93" i="16"/>
  <c r="D93" i="16" s="1"/>
  <c r="E94" i="16" l="1"/>
  <c r="D94" i="16" s="1"/>
  <c r="C95" i="16"/>
  <c r="E95" i="16" l="1"/>
  <c r="D95" i="16" s="1"/>
  <c r="C96" i="16"/>
  <c r="C97" i="16" l="1"/>
  <c r="E96" i="16"/>
  <c r="D96" i="16" s="1"/>
  <c r="E97" i="16" l="1"/>
  <c r="D97" i="16" s="1"/>
  <c r="C98" i="16"/>
  <c r="C99" i="16" l="1"/>
  <c r="E98" i="16"/>
  <c r="D98" i="16" s="1"/>
  <c r="C100" i="16" l="1"/>
  <c r="E99" i="16"/>
  <c r="D99" i="16" s="1"/>
  <c r="E100" i="16" l="1"/>
  <c r="D100" i="16" s="1"/>
  <c r="C101" i="16"/>
  <c r="C102" i="16" l="1"/>
  <c r="E101" i="16"/>
  <c r="D101" i="16" s="1"/>
  <c r="E102" i="16" l="1"/>
  <c r="D102" i="16" s="1"/>
  <c r="C103" i="16"/>
  <c r="E103" i="16" l="1"/>
  <c r="D103" i="16" s="1"/>
  <c r="C104" i="16"/>
  <c r="C105" i="16" l="1"/>
  <c r="E104" i="16"/>
  <c r="D104" i="16" s="1"/>
  <c r="E105" i="16" l="1"/>
  <c r="D105" i="16" s="1"/>
  <c r="C106" i="16"/>
  <c r="C107" i="16" l="1"/>
  <c r="E106" i="16"/>
  <c r="D106" i="16" s="1"/>
  <c r="C108" i="16" l="1"/>
  <c r="E107" i="16"/>
  <c r="D107" i="16" s="1"/>
  <c r="E108" i="16" l="1"/>
  <c r="D108" i="16" s="1"/>
  <c r="C109" i="16"/>
  <c r="C110" i="16" l="1"/>
  <c r="E109" i="16"/>
  <c r="D109" i="16" s="1"/>
  <c r="E110" i="16" l="1"/>
  <c r="D110" i="16" s="1"/>
  <c r="C111" i="16"/>
  <c r="E111" i="16" l="1"/>
  <c r="D111" i="16" s="1"/>
  <c r="C112" i="16"/>
  <c r="C113" i="16" l="1"/>
  <c r="E112" i="16"/>
  <c r="D112" i="16" s="1"/>
  <c r="E113" i="16" l="1"/>
  <c r="D113" i="16" s="1"/>
  <c r="C114" i="16"/>
  <c r="C115" i="16" l="1"/>
  <c r="E114" i="16"/>
  <c r="D114" i="16" s="1"/>
  <c r="C116" i="16" l="1"/>
  <c r="E115" i="16"/>
  <c r="D115" i="16" s="1"/>
  <c r="E116" i="16" l="1"/>
  <c r="D116" i="16" s="1"/>
  <c r="C117" i="16"/>
  <c r="C118" i="16" l="1"/>
  <c r="E117" i="16"/>
  <c r="D117" i="16" s="1"/>
  <c r="E118" i="16" l="1"/>
  <c r="D118" i="16" s="1"/>
  <c r="C119" i="16"/>
  <c r="E119" i="16" l="1"/>
  <c r="D119" i="16" s="1"/>
  <c r="C120" i="16"/>
  <c r="C121" i="16" l="1"/>
  <c r="E120" i="16"/>
  <c r="D120" i="16" s="1"/>
  <c r="E121" i="16" l="1"/>
  <c r="D121" i="16" s="1"/>
  <c r="C122" i="16"/>
  <c r="C123" i="16" l="1"/>
  <c r="E122" i="16"/>
  <c r="D122" i="16" s="1"/>
  <c r="C124" i="16" l="1"/>
  <c r="E123" i="16"/>
  <c r="D123" i="16" s="1"/>
  <c r="E124" i="16" l="1"/>
  <c r="D124" i="16" s="1"/>
  <c r="C125" i="16"/>
  <c r="C126" i="16" l="1"/>
  <c r="E125" i="16"/>
  <c r="D125" i="16" s="1"/>
  <c r="E126" i="16" l="1"/>
  <c r="D126" i="16" s="1"/>
  <c r="C127" i="16"/>
  <c r="E127" i="16" l="1"/>
  <c r="D127" i="16" s="1"/>
  <c r="C128" i="16"/>
  <c r="C129" i="16" l="1"/>
  <c r="E128" i="16"/>
  <c r="D128" i="16" s="1"/>
  <c r="E129" i="16" l="1"/>
  <c r="D129" i="16" s="1"/>
  <c r="C130" i="16"/>
  <c r="C131" i="16" l="1"/>
  <c r="E130" i="16"/>
  <c r="D130" i="16" s="1"/>
  <c r="C132" i="16" l="1"/>
  <c r="E131" i="16"/>
  <c r="D131" i="16" s="1"/>
  <c r="E132" i="16" l="1"/>
  <c r="D132" i="16" s="1"/>
  <c r="C133" i="16"/>
  <c r="C134" i="16" l="1"/>
  <c r="E133" i="16"/>
  <c r="D133" i="16" s="1"/>
  <c r="E134" i="16" l="1"/>
  <c r="D134" i="16" s="1"/>
  <c r="C135" i="16"/>
  <c r="E135" i="16" l="1"/>
  <c r="D135" i="16" s="1"/>
  <c r="C136" i="16"/>
  <c r="C137" i="16" l="1"/>
  <c r="E136" i="16"/>
  <c r="D136" i="16" s="1"/>
  <c r="E137" i="16" l="1"/>
  <c r="D137" i="16" s="1"/>
  <c r="C138" i="16"/>
  <c r="C139" i="16" l="1"/>
  <c r="E138" i="16"/>
  <c r="D138" i="16" s="1"/>
  <c r="C140" i="16" l="1"/>
  <c r="E139" i="16"/>
  <c r="D139" i="16" s="1"/>
  <c r="E140" i="16" l="1"/>
  <c r="D140" i="16" s="1"/>
  <c r="C141" i="16"/>
  <c r="C142" i="16" l="1"/>
  <c r="E141" i="16"/>
  <c r="D141" i="16" s="1"/>
  <c r="E142" i="16" l="1"/>
  <c r="D142" i="16" s="1"/>
  <c r="C143" i="16"/>
  <c r="E143" i="16" l="1"/>
  <c r="D143" i="16" s="1"/>
  <c r="C144" i="16"/>
  <c r="C145" i="16" l="1"/>
  <c r="E144" i="16"/>
  <c r="D144" i="16" s="1"/>
  <c r="E145" i="16" l="1"/>
  <c r="D145" i="16" s="1"/>
  <c r="C146" i="16"/>
  <c r="C147" i="16" l="1"/>
  <c r="E146" i="16"/>
  <c r="D146" i="16" s="1"/>
  <c r="C148" i="16" l="1"/>
  <c r="E147" i="16"/>
  <c r="D147" i="16" s="1"/>
  <c r="E148" i="16" l="1"/>
  <c r="D148" i="16" s="1"/>
  <c r="C149" i="16"/>
  <c r="C150" i="16" l="1"/>
  <c r="E149" i="16"/>
  <c r="D149" i="16" s="1"/>
  <c r="E150" i="16" l="1"/>
  <c r="D150" i="16" s="1"/>
  <c r="C151" i="16"/>
  <c r="E151" i="16" l="1"/>
  <c r="D151" i="16" s="1"/>
  <c r="C152" i="16"/>
  <c r="C153" i="16" l="1"/>
  <c r="E152" i="16"/>
  <c r="D152" i="16" s="1"/>
  <c r="E153" i="16" l="1"/>
  <c r="D153" i="16" s="1"/>
  <c r="C154" i="16"/>
  <c r="C155" i="16" l="1"/>
  <c r="E154" i="16"/>
  <c r="D154" i="16" s="1"/>
  <c r="C156" i="16" l="1"/>
  <c r="E155" i="16"/>
  <c r="D155" i="16" s="1"/>
  <c r="E156" i="16" l="1"/>
  <c r="D156" i="16" s="1"/>
  <c r="C157" i="16"/>
  <c r="C158" i="16" l="1"/>
  <c r="E157" i="16"/>
  <c r="D157" i="16" s="1"/>
  <c r="E158" i="16" l="1"/>
  <c r="D158" i="16" s="1"/>
  <c r="C159" i="16"/>
  <c r="E159" i="16" l="1"/>
  <c r="D159" i="16" s="1"/>
  <c r="C160" i="16"/>
  <c r="C161" i="16" l="1"/>
  <c r="E160" i="16"/>
  <c r="D160" i="16" s="1"/>
  <c r="E161" i="16" l="1"/>
  <c r="D161" i="16" s="1"/>
  <c r="C162" i="16"/>
  <c r="C163" i="16" l="1"/>
  <c r="E162" i="16"/>
  <c r="D162" i="16" s="1"/>
  <c r="C164" i="16" l="1"/>
  <c r="E163" i="16"/>
  <c r="D163" i="16" s="1"/>
  <c r="E164" i="16" l="1"/>
  <c r="D164" i="16" s="1"/>
  <c r="C165" i="16"/>
  <c r="C166" i="16" l="1"/>
  <c r="E165" i="16"/>
  <c r="D165" i="16" s="1"/>
  <c r="E166" i="16" l="1"/>
  <c r="D166" i="16" s="1"/>
  <c r="C167" i="16"/>
  <c r="E167" i="16" l="1"/>
  <c r="D167" i="16" s="1"/>
  <c r="C168" i="16"/>
  <c r="C169" i="16" l="1"/>
  <c r="E168" i="16"/>
  <c r="D168" i="16" s="1"/>
  <c r="E169" i="16" l="1"/>
  <c r="D169" i="16" s="1"/>
  <c r="C170" i="16"/>
  <c r="C171" i="16" l="1"/>
  <c r="E170" i="16"/>
  <c r="D170" i="16" s="1"/>
  <c r="C172" i="16" l="1"/>
  <c r="E171" i="16"/>
  <c r="D171" i="16" s="1"/>
  <c r="E172" i="16" l="1"/>
  <c r="D172" i="16" s="1"/>
  <c r="C173" i="16"/>
  <c r="C174" i="16" l="1"/>
  <c r="E173" i="16"/>
  <c r="D173" i="16" s="1"/>
  <c r="E174" i="16" l="1"/>
  <c r="D174" i="16" s="1"/>
  <c r="C175" i="16"/>
  <c r="E175" i="16" l="1"/>
  <c r="D175" i="16" s="1"/>
  <c r="C176" i="16"/>
  <c r="C177" i="16" l="1"/>
  <c r="E176" i="16"/>
  <c r="D176" i="16" s="1"/>
  <c r="E177" i="16" l="1"/>
  <c r="D177" i="16" s="1"/>
  <c r="C178" i="16"/>
  <c r="C179" i="16" l="1"/>
  <c r="E178" i="16"/>
  <c r="D178" i="16" s="1"/>
  <c r="C180" i="16" l="1"/>
  <c r="E179" i="16"/>
  <c r="D179" i="16" s="1"/>
  <c r="E180" i="16" l="1"/>
  <c r="D180" i="16" s="1"/>
  <c r="C181" i="16"/>
  <c r="C182" i="16" l="1"/>
  <c r="E181" i="16"/>
  <c r="D181" i="16" s="1"/>
  <c r="E182" i="16" l="1"/>
  <c r="D182" i="16" s="1"/>
  <c r="C183" i="16"/>
  <c r="E183" i="16" l="1"/>
  <c r="D183" i="16" s="1"/>
  <c r="C184" i="16"/>
  <c r="C185" i="16" l="1"/>
  <c r="E184" i="16"/>
  <c r="D184" i="16" s="1"/>
  <c r="E185" i="16" l="1"/>
  <c r="D185" i="16" s="1"/>
  <c r="C186" i="16"/>
  <c r="C187" i="16" l="1"/>
  <c r="E186" i="16"/>
  <c r="D186" i="16" s="1"/>
  <c r="C188" i="16" l="1"/>
  <c r="E188" i="16" s="1"/>
  <c r="D188" i="16" s="1"/>
  <c r="E187" i="16"/>
  <c r="D187" i="16" s="1"/>
  <c r="E4" i="16" l="1"/>
  <c r="D5" i="16" s="1"/>
  <c r="D6" i="16" s="1"/>
  <c r="D7" i="16" s="1"/>
  <c r="D8" i="16" s="1"/>
  <c r="D9" i="16" s="1"/>
  <c r="D10" i="16" s="1"/>
  <c r="D11" i="16" s="1"/>
  <c r="D12" i="16" s="1"/>
  <c r="D13" i="16" s="1"/>
  <c r="D14" i="16" s="1"/>
  <c r="D15" i="16" s="1"/>
  <c r="D16" i="16" s="1"/>
  <c r="D17" i="16" s="1"/>
  <c r="D18" i="16" s="1"/>
  <c r="D19" i="16" s="1"/>
  <c r="D20" i="16" s="1"/>
  <c r="D21" i="16" s="1"/>
  <c r="D22" i="16" s="1"/>
  <c r="D23" i="16" s="1"/>
  <c r="D24" i="16" s="1"/>
  <c r="D25" i="16" s="1"/>
  <c r="D26" i="16" s="1"/>
  <c r="D27" i="16" s="1"/>
  <c r="D28" i="16" s="1"/>
  <c r="D29" i="16" s="1"/>
  <c r="D30" i="16" s="1"/>
  <c r="D31" i="16" l="1"/>
  <c r="I7" i="16"/>
  <c r="L7" i="16" l="1"/>
  <c r="M7" i="16" s="1"/>
  <c r="D22" i="10"/>
  <c r="D32" i="16"/>
  <c r="I8" i="16"/>
  <c r="L8" i="16" l="1"/>
  <c r="M8" i="16" s="1"/>
  <c r="D23" i="10"/>
  <c r="D33" i="16"/>
  <c r="I9" i="16"/>
  <c r="I22" i="10"/>
  <c r="H22" i="10" a="1"/>
  <c r="H22" i="10" s="1"/>
  <c r="E22" i="10"/>
  <c r="G22" i="10" a="1"/>
  <c r="G22" i="10" s="1"/>
  <c r="M22" i="10" l="1"/>
  <c r="O22" i="10"/>
  <c r="N22" i="10"/>
  <c r="R22" i="10"/>
  <c r="L9" i="16"/>
  <c r="M9" i="16" s="1"/>
  <c r="D24" i="10"/>
  <c r="I10" i="16"/>
  <c r="D25" i="10" s="1"/>
  <c r="D34" i="16"/>
  <c r="G23" i="10" a="1"/>
  <c r="G23" i="10" s="1"/>
  <c r="E23" i="10"/>
  <c r="H23" i="10" a="1"/>
  <c r="H23" i="10" s="1"/>
  <c r="I23" i="10"/>
  <c r="Q22" i="10" l="1"/>
  <c r="S22" i="10" s="1"/>
  <c r="T22" i="10" s="1"/>
  <c r="U22" i="10" s="1"/>
  <c r="G25" i="10" a="1"/>
  <c r="G25" i="10" s="1"/>
  <c r="E25" i="10"/>
  <c r="H25" i="10" a="1"/>
  <c r="H25" i="10" s="1"/>
  <c r="I25" i="10"/>
  <c r="E24" i="10"/>
  <c r="I24" i="10"/>
  <c r="H24" i="10" a="1"/>
  <c r="H24" i="10" s="1"/>
  <c r="G24" i="10" a="1"/>
  <c r="G24" i="10" s="1"/>
  <c r="R23" i="10"/>
  <c r="N23" i="10"/>
  <c r="M23" i="10"/>
  <c r="O23" i="10"/>
  <c r="L10" i="16"/>
  <c r="M10" i="16" s="1"/>
  <c r="I11" i="16"/>
  <c r="D26" i="10" s="1"/>
  <c r="E26" i="10" s="1"/>
  <c r="D35" i="16"/>
  <c r="Q23" i="10" l="1"/>
  <c r="N24" i="10"/>
  <c r="O24" i="10"/>
  <c r="M24" i="10"/>
  <c r="G26" i="10" a="1"/>
  <c r="G26" i="10" s="1"/>
  <c r="L11" i="16"/>
  <c r="M11" i="16" s="1"/>
  <c r="H26" i="10" a="1"/>
  <c r="H26" i="10" s="1"/>
  <c r="S23" i="10"/>
  <c r="T23" i="10" s="1"/>
  <c r="U23" i="10" s="1"/>
  <c r="N25" i="10"/>
  <c r="O25" i="10"/>
  <c r="M25" i="10"/>
  <c r="D36" i="16"/>
  <c r="I12" i="16"/>
  <c r="I26" i="10"/>
  <c r="Q24" i="10" l="1"/>
  <c r="S24" i="10" s="1"/>
  <c r="T24" i="10" s="1"/>
  <c r="U24" i="10" s="1"/>
  <c r="N26" i="10"/>
  <c r="O26" i="10"/>
  <c r="M26" i="10"/>
  <c r="I13" i="16"/>
  <c r="D28" i="10" s="1"/>
  <c r="I28" i="10" s="1"/>
  <c r="D37" i="16"/>
  <c r="D27" i="10"/>
  <c r="L12" i="16"/>
  <c r="M12" i="16" s="1"/>
  <c r="Q25" i="10"/>
  <c r="S25" i="10" s="1"/>
  <c r="T25" i="10" s="1"/>
  <c r="U25" i="10" s="1"/>
  <c r="Q26" i="10" l="1"/>
  <c r="S26" i="10" s="1"/>
  <c r="G28" i="10" a="1"/>
  <c r="G28" i="10" s="1"/>
  <c r="N28" i="10" s="1"/>
  <c r="I27" i="10"/>
  <c r="H27" i="10" a="1"/>
  <c r="H27" i="10" s="1"/>
  <c r="E27" i="10"/>
  <c r="G27" i="10" a="1"/>
  <c r="G27" i="10" s="1"/>
  <c r="H28" i="10" a="1"/>
  <c r="H28" i="10" s="1"/>
  <c r="O28" i="10" s="1"/>
  <c r="D38" i="16"/>
  <c r="I14" i="16"/>
  <c r="D29" i="10" s="1"/>
  <c r="H29" i="10" s="1" a="1"/>
  <c r="H29" i="10" s="1"/>
  <c r="E28" i="10"/>
  <c r="T26" i="10"/>
  <c r="U26" i="10" s="1"/>
  <c r="L13" i="16"/>
  <c r="M13" i="16" s="1"/>
  <c r="M28" i="10"/>
  <c r="I29" i="10" l="1"/>
  <c r="O29" i="10" s="1"/>
  <c r="I15" i="16"/>
  <c r="D30" i="10" s="1"/>
  <c r="D39" i="16"/>
  <c r="G29" i="10" a="1"/>
  <c r="G29" i="10" s="1"/>
  <c r="N29" i="10" s="1"/>
  <c r="E29" i="10"/>
  <c r="L14" i="16"/>
  <c r="M14" i="16" s="1"/>
  <c r="O27" i="10"/>
  <c r="N27" i="10"/>
  <c r="M27" i="10"/>
  <c r="Q28" i="10"/>
  <c r="S28" i="10" s="1"/>
  <c r="T28" i="10" s="1"/>
  <c r="U28" i="10" s="1"/>
  <c r="M29" i="10" l="1"/>
  <c r="Q27" i="10"/>
  <c r="S27" i="10" s="1"/>
  <c r="T27" i="10" s="1"/>
  <c r="U27" i="10" s="1"/>
  <c r="L15" i="16"/>
  <c r="Q29" i="10"/>
  <c r="S29" i="10" s="1"/>
  <c r="D40" i="16"/>
  <c r="I16" i="16"/>
  <c r="D31" i="10" s="1"/>
  <c r="E30" i="10"/>
  <c r="G30" i="10" a="1"/>
  <c r="G30" i="10" s="1"/>
  <c r="H30" i="10" a="1"/>
  <c r="H30" i="10" s="1"/>
  <c r="I30" i="10"/>
  <c r="T29" i="10" l="1"/>
  <c r="U29" i="10" s="1"/>
  <c r="H31" i="10" a="1"/>
  <c r="H31" i="10" s="1"/>
  <c r="E31" i="10"/>
  <c r="I31" i="10"/>
  <c r="G31" i="10" a="1"/>
  <c r="G31" i="10" s="1"/>
  <c r="I17" i="16"/>
  <c r="D32" i="10" s="1"/>
  <c r="E32" i="10" s="1"/>
  <c r="D41" i="16"/>
  <c r="M30" i="10"/>
  <c r="R30" i="10"/>
  <c r="N30" i="10"/>
  <c r="O30" i="10"/>
  <c r="L16" i="16"/>
  <c r="M16" i="16" s="1"/>
  <c r="M15" i="16"/>
  <c r="Q30" i="10" l="1"/>
  <c r="S30" i="10" s="1"/>
  <c r="T30" i="10" s="1"/>
  <c r="U30" i="10" s="1"/>
  <c r="L17" i="16"/>
  <c r="M17" i="16" s="1"/>
  <c r="I32" i="10"/>
  <c r="M32" i="10" s="1"/>
  <c r="D42" i="16"/>
  <c r="I18" i="16"/>
  <c r="G32" i="10" a="1"/>
  <c r="G32" i="10" s="1"/>
  <c r="N32" i="10" s="1"/>
  <c r="H32" i="10" a="1"/>
  <c r="H32" i="10" s="1"/>
  <c r="O32" i="10" s="1"/>
  <c r="O31" i="10"/>
  <c r="R31" i="10"/>
  <c r="R42" i="10" s="1" a="1"/>
  <c r="R42" i="10" s="1"/>
  <c r="M31" i="10"/>
  <c r="N31" i="10"/>
  <c r="Q31" i="10" l="1"/>
  <c r="S31" i="10" s="1"/>
  <c r="T31" i="10" s="1"/>
  <c r="U31" i="10" s="1"/>
  <c r="D33" i="10"/>
  <c r="L18" i="16"/>
  <c r="M18" i="16" s="1"/>
  <c r="D43" i="16"/>
  <c r="I19" i="16"/>
  <c r="D34" i="10" s="1"/>
  <c r="G34" i="10" s="1" a="1"/>
  <c r="G34" i="10" s="1"/>
  <c r="Q32" i="10"/>
  <c r="S32" i="10" s="1"/>
  <c r="T32" i="10" s="1"/>
  <c r="U32" i="10" s="1"/>
  <c r="I20" i="16" l="1"/>
  <c r="D35" i="10" s="1"/>
  <c r="E35" i="10" s="1"/>
  <c r="D44" i="16"/>
  <c r="L19" i="16"/>
  <c r="M19" i="16" s="1"/>
  <c r="E34" i="10"/>
  <c r="H33" i="10" a="1"/>
  <c r="H33" i="10" s="1"/>
  <c r="I33" i="10"/>
  <c r="G33" i="10" a="1"/>
  <c r="G33" i="10" s="1"/>
  <c r="E33" i="10"/>
  <c r="H34" i="10" a="1"/>
  <c r="H34" i="10" s="1"/>
  <c r="I34" i="10"/>
  <c r="M34" i="10" s="1"/>
  <c r="H35" i="10" l="1" a="1"/>
  <c r="H35" i="10" s="1"/>
  <c r="G35" i="10" a="1"/>
  <c r="G35" i="10" s="1"/>
  <c r="N34" i="10"/>
  <c r="O34" i="10"/>
  <c r="M33" i="10"/>
  <c r="N33" i="10"/>
  <c r="O33" i="10"/>
  <c r="I35" i="10"/>
  <c r="I21" i="16"/>
  <c r="D45" i="16"/>
  <c r="L20" i="16"/>
  <c r="M20" i="16" s="1"/>
  <c r="Q34" i="10" l="1"/>
  <c r="S34" i="10" s="1"/>
  <c r="T34" i="10" s="1"/>
  <c r="U34" i="10" s="1"/>
  <c r="Q33" i="10"/>
  <c r="S33" i="10" s="1"/>
  <c r="T33" i="10" s="1"/>
  <c r="U33" i="10" s="1"/>
  <c r="N35" i="10"/>
  <c r="M35" i="10"/>
  <c r="O35" i="10"/>
  <c r="I22" i="16"/>
  <c r="D46" i="16"/>
  <c r="L21" i="16"/>
  <c r="M21" i="16" s="1"/>
  <c r="D36" i="10"/>
  <c r="Q35" i="10" l="1"/>
  <c r="S35" i="10" s="1"/>
  <c r="T35" i="10" s="1"/>
  <c r="U35" i="10" s="1"/>
  <c r="E36" i="10"/>
  <c r="I36" i="10"/>
  <c r="G36" i="10" a="1"/>
  <c r="G36" i="10" s="1"/>
  <c r="H36" i="10" a="1"/>
  <c r="H36" i="10" s="1"/>
  <c r="I23" i="16"/>
  <c r="D47" i="16"/>
  <c r="L22" i="16"/>
  <c r="M22" i="16" s="1"/>
  <c r="D37" i="10"/>
  <c r="D38" i="10" l="1"/>
  <c r="L23" i="16"/>
  <c r="M23" i="16" s="1"/>
  <c r="E37" i="10"/>
  <c r="H37" i="10" a="1"/>
  <c r="H37" i="10" s="1"/>
  <c r="G37" i="10" a="1"/>
  <c r="G37" i="10" s="1"/>
  <c r="I37" i="10"/>
  <c r="O36" i="10"/>
  <c r="N36" i="10"/>
  <c r="M36" i="10"/>
  <c r="D48" i="16"/>
  <c r="I25" i="16" s="1"/>
  <c r="D40" i="10" s="1"/>
  <c r="I24" i="16"/>
  <c r="L24" i="16" s="1"/>
  <c r="M24" i="16" s="1"/>
  <c r="Q36" i="10" l="1"/>
  <c r="S36" i="10" s="1"/>
  <c r="T36" i="10" s="1"/>
  <c r="U36" i="10" s="1"/>
  <c r="O37" i="10"/>
  <c r="N37" i="10"/>
  <c r="M37" i="10"/>
  <c r="L25" i="16"/>
  <c r="M25" i="16" s="1"/>
  <c r="D39" i="10"/>
  <c r="H40" i="10" a="1"/>
  <c r="H40" i="10" s="1"/>
  <c r="G40" i="10" a="1"/>
  <c r="G40" i="10" s="1"/>
  <c r="E40" i="10"/>
  <c r="I40" i="10"/>
  <c r="E38" i="10"/>
  <c r="H38" i="10" a="1"/>
  <c r="H38" i="10" s="1"/>
  <c r="I38" i="10"/>
  <c r="G38" i="10" a="1"/>
  <c r="G38" i="10" s="1"/>
  <c r="H39" i="10" l="1" a="1"/>
  <c r="H39" i="10" s="1"/>
  <c r="G39" i="10" a="1"/>
  <c r="G39" i="10" s="1"/>
  <c r="I39" i="10"/>
  <c r="I42" i="10" s="1"/>
  <c r="E39" i="10"/>
  <c r="O38" i="10"/>
  <c r="M38" i="10"/>
  <c r="N38" i="10"/>
  <c r="O40" i="10"/>
  <c r="N40" i="10"/>
  <c r="M40" i="10"/>
  <c r="V44" i="16" s="1"/>
  <c r="X44" i="16" s="1"/>
  <c r="Q37" i="10"/>
  <c r="S37" i="10" s="1"/>
  <c r="T37" i="10" s="1"/>
  <c r="U37" i="10" s="1"/>
  <c r="Q38" i="10" l="1"/>
  <c r="S38" i="10" s="1"/>
  <c r="T38" i="10" s="1"/>
  <c r="U38" i="10" s="1"/>
  <c r="Q40" i="10"/>
  <c r="S40" i="10" s="1"/>
  <c r="T40" i="10" s="1"/>
  <c r="U40" i="10" s="1"/>
  <c r="N39" i="10"/>
  <c r="N42" i="10" s="1" a="1"/>
  <c r="N42" i="10" s="1"/>
  <c r="M39" i="10"/>
  <c r="M42" i="10" s="1"/>
  <c r="O39" i="10"/>
  <c r="O42" i="10" l="1" a="1"/>
  <c r="O42" i="10" s="1"/>
  <c r="Q39" i="10"/>
  <c r="S39" i="10" l="1"/>
  <c r="Q42" i="10" a="1"/>
  <c r="Q42" i="10" s="1"/>
  <c r="T39" i="10" l="1"/>
  <c r="U39" i="10" s="1"/>
  <c r="S42" i="10" a="1"/>
  <c r="S42" i="10" s="1"/>
  <c r="U42" i="10" l="1" a="1"/>
  <c r="U42" i="10" s="1"/>
  <c r="T42" i="10" a="1"/>
  <c r="T42" i="1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<sst xmlns="http://schemas.openxmlformats.org/spreadsheetml/2006/main" count="393" uniqueCount="135">
  <si>
    <t>SVP compléter les cases en bleu</t>
  </si>
  <si>
    <t>Unité:</t>
  </si>
  <si>
    <t>ARQ</t>
  </si>
  <si>
    <t>Horaire de travail  (h):</t>
  </si>
  <si>
    <t>Date d'embauche:</t>
  </si>
  <si>
    <t>Échelon à l'embauche:</t>
  </si>
  <si>
    <t>oui</t>
  </si>
  <si>
    <t>Nombres d'heures de grève:</t>
  </si>
  <si>
    <t>heures de grève</t>
  </si>
  <si>
    <t>Date de la décision arbitrale:</t>
  </si>
  <si>
    <t>Date</t>
  </si>
  <si>
    <t>Date de changement d'échelon</t>
  </si>
  <si>
    <t>Échelon final</t>
  </si>
  <si>
    <t>Salaires annuels de l'échelle de traitement pré-décision du juge Chamberland
($)</t>
  </si>
  <si>
    <t>Salaires annuels de l'échelle de traitement post-décision du juge Chamberland
($)</t>
  </si>
  <si>
    <t>Heures travaillées si temps plein durant la période
(h)</t>
  </si>
  <si>
    <t>Heures totales considérées
(Incluant 1,5 heure pour chaque heure à  "temps et demi" entrée dans la colonne K)</t>
  </si>
  <si>
    <t>Salaires ajustés selon le nombre d'heures totales considérées durant la période selon l'échelle pré-décision
($)</t>
  </si>
  <si>
    <t>Salaires ajustés selon le nombre d'heures totales considérées durant la période selon l'échelle post-décision
($)</t>
  </si>
  <si>
    <t>Rétroaction ($)</t>
  </si>
  <si>
    <t>Total</t>
  </si>
  <si>
    <t>Données utilisées pour certains calculs</t>
  </si>
  <si>
    <t>Date de référence</t>
  </si>
  <si>
    <t>Échelon</t>
  </si>
  <si>
    <t>Overwrite</t>
  </si>
  <si>
    <t>Condition</t>
  </si>
  <si>
    <t>Date la plus tôt pour une hausse</t>
  </si>
  <si>
    <t>date 1ere hausse</t>
  </si>
  <si>
    <t>Embauche</t>
  </si>
  <si>
    <t>Date d'éligibilité à l'avancement d'échelon</t>
  </si>
  <si>
    <t>Date 1ere hausse</t>
  </si>
  <si>
    <t>Echelon en avril 2015</t>
  </si>
  <si>
    <t>Pour 1ere année</t>
  </si>
  <si>
    <t>Date de départ pour l'exercice</t>
  </si>
  <si>
    <t>Échelon de départ pour l'exercice</t>
  </si>
  <si>
    <t>Dates qui font augmenter d'échelon avant le départ</t>
  </si>
  <si>
    <t># d'occurrence</t>
  </si>
  <si>
    <t>Date embauche</t>
  </si>
  <si>
    <t>Dates avancement échelon</t>
  </si>
  <si>
    <t>Date grève</t>
  </si>
  <si>
    <t>fin greve ARQ</t>
  </si>
  <si>
    <t>Confirmé que ARQ a fini un jour plus tard  (Paul Morin 2024-06-10)</t>
  </si>
  <si>
    <t>Fin greve Fonction publ</t>
  </si>
  <si>
    <t>Fin de grève</t>
  </si>
  <si>
    <t>Nombre jours ouvrable grève</t>
  </si>
  <si>
    <t>Dates de fins 1ere paie apres 60 jours ou 90 jours du jugement</t>
  </si>
  <si>
    <t>Échelles de traitement des ANEQ et des PPCP (35 heures)</t>
  </si>
  <si>
    <t>Fonction publique</t>
  </si>
  <si>
    <t>Avant la décision arbitrale (sans la prime juridique de 2 %) - Unité ARQ</t>
  </si>
  <si>
    <t>au</t>
  </si>
  <si>
    <t xml:space="preserve">au </t>
  </si>
  <si>
    <t>18E</t>
  </si>
  <si>
    <t>Augmentation</t>
  </si>
  <si>
    <t>Aug. Cumulative</t>
  </si>
  <si>
    <t>Avant la décision arbitrale (sans la prime juridique de 2 %) - Unité Fonction publique</t>
  </si>
  <si>
    <t>Après la décision arbitrale (sans la prime juridique de 2 %)</t>
  </si>
  <si>
    <t>Après la décision arbitrale (avec la prime juridique de 2 %)</t>
  </si>
  <si>
    <t>Procureur aux poursuites criminelles et pénales (PPCP)</t>
  </si>
  <si>
    <t>Échelles de traitement des ANEQ et des PPCP (37,5 heures)</t>
  </si>
  <si>
    <t>Échelles de traitement des ANEQ et des PPCP (40 heures)</t>
  </si>
  <si>
    <t>CALCULATEUR</t>
  </si>
  <si>
    <t>Année de référence</t>
  </si>
  <si>
    <t>*capper les échelons à 18E</t>
  </si>
  <si>
    <t>Rétroaction</t>
  </si>
  <si>
    <t>*progression  bi-annuelle avant 9e échelon</t>
  </si>
  <si>
    <t>Année</t>
  </si>
  <si>
    <t>$</t>
  </si>
  <si>
    <t>*2 années dans l'échelon 18 avant 18E</t>
  </si>
  <si>
    <t>Salaire</t>
  </si>
  <si>
    <t>*augmentation avril et octobre</t>
  </si>
  <si>
    <t>Rétro (%)</t>
  </si>
  <si>
    <t>*ajouter la date d'embauche - prendre le 1er du mois si début le 1er sinon 1er du mois suivant</t>
  </si>
  <si>
    <t>Rétro ($)</t>
  </si>
  <si>
    <t>* ajouter article de convention sur progression niveau</t>
  </si>
  <si>
    <t>Échelons</t>
  </si>
  <si>
    <t xml:space="preserve">Rétroaction totale </t>
  </si>
  <si>
    <t>avant 9e échelon</t>
  </si>
  <si>
    <t>0.57% pour 1er avril 2015 au 31 mars 2016</t>
  </si>
  <si>
    <t>2,50% pour 1er avril 2016 au 31 mars 2017</t>
  </si>
  <si>
    <t>2,50% pour 1er avril 2017 au 31 mars 2018</t>
  </si>
  <si>
    <t>2,50% pour 1er avril 2018 au 31 mars 2019</t>
  </si>
  <si>
    <t>4,50% pour 1er avril 2019 au 31 mars 2020</t>
  </si>
  <si>
    <t>2,50% pour 1er avril 2020 au 31 mars 2021</t>
  </si>
  <si>
    <t>2,00% pour 1er avril 2021 au 31 mars 2022</t>
  </si>
  <si>
    <t>2,00% pour 1er avril 2022 au 31 mars 2023</t>
  </si>
  <si>
    <t>Montants forfaitaires payés 
($)</t>
  </si>
  <si>
    <t>Taux horaires</t>
  </si>
  <si>
    <r>
      <t xml:space="preserve">En cas de changement d'horaire de travail entre 2015 et 2024 (par exemple pour passer d'un horaire de 35 h à 37,5 h), veuillez indiquer ici le nombre d'heuresde l'horaire le moins grand et indiquez les heures additionnelles travaillées selon vos autres horaires dans la </t>
    </r>
    <r>
      <rPr>
        <b/>
        <sz val="11"/>
        <color rgb="FFFF0000"/>
        <rFont val="Aptos Narrow"/>
        <family val="2"/>
        <scheme val="minor"/>
      </rPr>
      <t>colonne J</t>
    </r>
    <r>
      <rPr>
        <b/>
        <sz val="11"/>
        <rFont val="Aptos Narrow"/>
        <family val="2"/>
        <scheme val="minor"/>
      </rPr>
      <t xml:space="preserve"> </t>
    </r>
    <r>
      <rPr>
        <sz val="11"/>
        <rFont val="Aptos Narrow"/>
        <family val="2"/>
        <scheme val="minor"/>
      </rPr>
      <t>dans chacune des périodes concernées.</t>
    </r>
  </si>
  <si>
    <r>
      <t xml:space="preserve">Si vous avez travaillé selon un horaire à temps plein pendant la grève, entrer "non". Sinon, entrer "oui" ici. Vous pourrez quand même ajouter des heures travaillées selon un honraire qui n'est pas temps plein pendant la grève dans la </t>
    </r>
    <r>
      <rPr>
        <b/>
        <sz val="11"/>
        <color rgb="FFFF0000"/>
        <rFont val="Aptos Narrow"/>
        <family val="2"/>
        <scheme val="minor"/>
      </rPr>
      <t>colonne L</t>
    </r>
    <r>
      <rPr>
        <sz val="11"/>
        <color theme="1"/>
        <rFont val="Aptos Narrow"/>
        <family val="2"/>
        <scheme val="minor"/>
      </rPr>
      <t>.</t>
    </r>
  </si>
  <si>
    <t>Refléter la grève de 2016-2017:</t>
  </si>
  <si>
    <t>Montants reçus pour des mandats  spéciaux 
(prime de 3 % à 10 %)
 Entrez le montant reçu en ($) pour la période</t>
  </si>
  <si>
    <r>
      <t xml:space="preserve">Correction manuelle du nombre d'heures </t>
    </r>
    <r>
      <rPr>
        <b/>
        <sz val="11"/>
        <color theme="3" tint="0.499984740745262"/>
        <rFont val="Aptos Narrow"/>
        <family val="2"/>
        <scheme val="minor"/>
      </rPr>
      <t xml:space="preserve">régulières </t>
    </r>
    <r>
      <rPr>
        <b/>
        <sz val="11"/>
        <rFont val="Aptos Narrow"/>
        <family val="2"/>
        <scheme val="minor"/>
      </rPr>
      <t>dans une période</t>
    </r>
    <r>
      <rPr>
        <b/>
        <sz val="11"/>
        <color theme="1"/>
        <rFont val="Aptos Narrow"/>
        <family val="2"/>
        <scheme val="minor"/>
      </rPr>
      <t>)
Pour un ajout d'heures (par exemple pour hausser le nombre d'heures effectuées dans la période de grève) entrer un nombre d'heures positif.
Pour réduire le nombre d'heures d'une période, entrer un nombre négatif.</t>
    </r>
  </si>
  <si>
    <r>
      <t xml:space="preserve">Heures supplémentaires
(ajout manuel )
Heures supplémentaires </t>
    </r>
    <r>
      <rPr>
        <b/>
        <sz val="11"/>
        <color theme="3" tint="0.499984740745262"/>
        <rFont val="Aptos Narrow"/>
        <family val="2"/>
        <scheme val="minor"/>
      </rPr>
      <t xml:space="preserve">payées à temps simple.
</t>
    </r>
    <r>
      <rPr>
        <b/>
        <sz val="11"/>
        <color theme="1"/>
        <rFont val="Aptos Narrow"/>
        <family val="2"/>
        <scheme val="minor"/>
      </rPr>
      <t xml:space="preserve">
(Par exemple, les heures entre 35 heures et 40 heures par semaine pour une personne dont l'horaire normal est de  35 heures)</t>
    </r>
  </si>
  <si>
    <r>
      <t xml:space="preserve">Heures supplémentaires
(ajout manuel)
Heures supplémentaires </t>
    </r>
    <r>
      <rPr>
        <b/>
        <sz val="11"/>
        <color theme="3" tint="0.499984740745262"/>
        <rFont val="Aptos Narrow"/>
        <family val="2"/>
        <scheme val="minor"/>
      </rPr>
      <t>payées à "temps et demi"</t>
    </r>
    <r>
      <rPr>
        <b/>
        <sz val="11"/>
        <color theme="1"/>
        <rFont val="Aptos Narrow"/>
        <family val="2"/>
        <scheme val="minor"/>
      </rPr>
      <t xml:space="preserve">
(les heures en excédent de                  40 heures par semaine)</t>
    </r>
    <r>
      <rPr>
        <b/>
        <vertAlign val="superscript"/>
        <sz val="11"/>
        <color theme="1"/>
        <rFont val="Aptos Narrow"/>
        <family val="2"/>
        <scheme val="minor"/>
      </rPr>
      <t xml:space="preserve">
</t>
    </r>
  </si>
  <si>
    <r>
      <t xml:space="preserve">Échelon
(Correction manuelle ) </t>
    </r>
    <r>
      <rPr>
        <b/>
        <vertAlign val="superscript"/>
        <sz val="11"/>
        <color theme="1"/>
        <rFont val="Aptos Narrow"/>
        <family val="2"/>
        <scheme val="minor"/>
      </rPr>
      <t>1</t>
    </r>
  </si>
  <si>
    <r>
      <t xml:space="preserve">Échelon
Note pour l'utilisateur:
</t>
    </r>
    <r>
      <rPr>
        <sz val="11"/>
        <color theme="1"/>
        <rFont val="Aptos Narrow"/>
        <family val="2"/>
        <scheme val="minor"/>
      </rPr>
      <t>Dû à la grève, il est possible que vous n'ayez pas eu accès à l'échelon suivant au 13 avril 2017 ou au 12 octobre 2017 (cellules en vert). SVP bien vérifier les échelons prévus et corriger au besoin dans la colonne F.</t>
    </r>
  </si>
  <si>
    <r>
      <t xml:space="preserve">Notes:
</t>
    </r>
    <r>
      <rPr>
        <sz val="11"/>
        <color theme="1"/>
        <rFont val="Aptos Narrow"/>
        <family val="2"/>
        <scheme val="minor"/>
      </rPr>
      <t xml:space="preserve">1 - Si un ANEQ n'a pas travaillé le nombre de mois requis dans une période pour passer à l'échelon suivant, il peut venir indiquer le bon échelon dans la colonne L et les autres échelons se corrigeront automatiquement. </t>
    </r>
  </si>
  <si>
    <r>
      <t xml:space="preserve">  ** </t>
    </r>
    <r>
      <rPr>
        <b/>
        <i/>
        <sz val="11"/>
        <color theme="1"/>
        <rFont val="Aptos Narrow"/>
        <family val="2"/>
        <scheme val="minor"/>
      </rPr>
      <t xml:space="preserve"> Ils sont fournis à titre indicatif et doivent être interprétés de cette façon. Les montants finaux seront déterminés par le Conseil du Trésor.</t>
    </r>
  </si>
  <si>
    <t>&lt;- Les lignes en gris peuvent être utilisées pour se dépalcer de gauche à droite - &gt;</t>
  </si>
  <si>
    <t xml:space="preserve">                        &lt;- Les colonnes en gris peuvent être utilisées pour se déplacer de haut en bas - &gt;</t>
  </si>
  <si>
    <t>Cliquez ici pour atteindre les résultats</t>
  </si>
  <si>
    <t>Date d'emploi</t>
  </si>
  <si>
    <t>Echelon initital</t>
  </si>
  <si>
    <t>NB mois</t>
  </si>
  <si>
    <t>1ere hausse pas accordée?</t>
  </si>
  <si>
    <t>Est-ce qu'on saute un échelon?</t>
  </si>
  <si>
    <t>ON saute celui-ci</t>
  </si>
  <si>
    <t>Overwitre</t>
  </si>
  <si>
    <t xml:space="preserve">Pour Fonction plublique: </t>
  </si>
  <si>
    <r>
      <t xml:space="preserve">Le SCT nous confirme ce jour que la rétroactivité salariale pour les </t>
    </r>
    <r>
      <rPr>
        <u/>
        <sz val="14"/>
        <color theme="1"/>
        <rFont val="Arial"/>
        <family val="2"/>
      </rPr>
      <t>ANEQ de la Fonction publique</t>
    </r>
    <r>
      <rPr>
        <sz val="14"/>
        <color theme="1"/>
        <rFont val="Arial"/>
        <family val="2"/>
      </rPr>
      <t xml:space="preserve"> sera versé sur la paie du 8 août prochain.</t>
    </r>
  </si>
  <si>
    <t>Calcul des heures dans la période de grève</t>
  </si>
  <si>
    <t>Nombre d'heures totale  à 35 heures</t>
  </si>
  <si>
    <t>Dernière journée de rétro</t>
  </si>
  <si>
    <t>Paul Morin 17 juin:</t>
  </si>
  <si>
    <t>À RQ, la période de paie se termine la veille du paiement. Ainsi, la paie du 22 août, rémunère la prestation de travail effectué du 8 août au 21 août. Donc, si la rétro est versée le 22 août, c’est que le salaire pour la période du 8 au 21 août aura été ajusté à la nouvelle échelle de traitement. En conséquence, la rétro vise la période qui se termine le 7 août pour RQ.</t>
  </si>
  <si>
    <t>Comme à l’ARQ, pour la fonction publique, la paie est versée le jeudi aux deux semaines et la période de paie couvre une période de 14 jours civils, débutant un jeudi matin et se terminant un mercredi soir. Pour la paie du 8 août, la période couvre du 25 juillet au 7 août. (AJOUT JD: Donc la rétro se termine le 24 juillet)</t>
  </si>
  <si>
    <t>Exclusion du calcul de l'intérêt, les journées après le 15 juillet pour la fonction publique</t>
  </si>
  <si>
    <t xml:space="preserve"> - il y a des heures payées dans la rétro pour le 16 au 24 inclusivement  (donc les 16-17-18-19-22-23-24 juillet) qui sont les jours ouvrables de la période donc 7 jours</t>
  </si>
  <si>
    <t xml:space="preserve"> - Nombre d'heures à exclure</t>
  </si>
  <si>
    <t>jours</t>
  </si>
  <si>
    <t xml:space="preserve">heures </t>
  </si>
  <si>
    <t>NB heures dans la période</t>
  </si>
  <si>
    <t>Ratio</t>
  </si>
  <si>
    <t>Calculateur du montant de rétroactivité salariale payable aux ANEQ suite à la décision arbitrale du juge Chamberland</t>
  </si>
  <si>
    <t>Estimation du montant de rétroactivité payable (à titre indicatif seulement)
Les estimations sont faites à partir des échelles de 2015 ajustées selon la décision arbitrale. Les échelles finales devront être confirmées avec le Conseil du Trésor. Les résultats donc pourraient varier légèrement
selon la méthodologie utilisée par le Conseil du Trésor et peuvent aussi varier selon la situation personnelle de chaque ANEQ.</t>
  </si>
  <si>
    <t>Date convenue de paiement de la rétroactivité:</t>
  </si>
  <si>
    <t>Dernière journée incluse dans la rétroactivité:</t>
  </si>
  <si>
    <t>* Ces montants sont des estimations de la rétroactivité brute (avant impôts et déductions) que vous recevrez.</t>
  </si>
  <si>
    <t>Rétroactivité finale à payer 
avec prime de 2 % nette des montants forfaitaires déjà reçus
Avec intérêts
 (taux annuel présumé 
de 5 % entre le 
15 juillet 2024 et le 
8 août 2024 
(fonction publique seulement)
($)</t>
  </si>
  <si>
    <t xml:space="preserve">Rétroactivité finale à payer 
avec prime de 2 % nette des montants forfaitaires déjà reçus
($)
Prime de 2 % payable sur les heures régulières                                 (colonnes I et L), mais non payable sur les heures supplémentaires (colonnes J et K), ainsi que les mandats spéciaux (colonne P) 
et montants forfaitaires  (colonne S) </t>
  </si>
  <si>
    <t>Rétroactivité finale à payer 
sans prime de 2 % nette des montants forfaitaires déjà reçus
($)</t>
  </si>
  <si>
    <t>Rétroactivité (incluant la rétroactivité sur les montants pour mandats spéciaux, s'il y a lieu) 
($)</t>
  </si>
  <si>
    <t>Pau Morin 27 juin pour la V7</t>
  </si>
  <si>
    <r>
      <t>Pour la rétro de RQ, Mme Pichette m’a dit que l’agence ne veut pas payer d’intérêt. Elle versera donc vraisemblablement la rétro pour le</t>
    </r>
    <r>
      <rPr>
        <b/>
        <sz val="12"/>
        <color theme="1"/>
        <rFont val="Aptos"/>
        <family val="2"/>
      </rPr>
      <t xml:space="preserve"> 8 août.</t>
    </r>
  </si>
  <si>
    <t>S’il y a paiement le 8 août 2024, l’employeur ARQ respecte son délai de verser la rétro dans les 90 jours de la décision Chamberland (le 90e jour étant le 14 aout). La modification au calculateur doit donc seulement retrancher 14 jours à la rétro dans le cas de l’ARQ; aucun montant d’intérêt n’étant à payer dans ce scénario.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</si>
</sst>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 #,##0.00_)\ &quot;$&quot;_ ;_ * \(#,##0.00\)\ &quot;$&quot;_ ;_ * &quot;-&quot;??_)\ &quot;$&quot;_ ;_ @_ "/>
    <numFmt numFmtId="164" formatCode="_ * #,##0_)\ &quot;$&quot;_ ;_ * \(#,##0\)\ &quot;$&quot;_ ;_ * &quot;-&quot;??_)\ &quot;$&quot;_ ;_ @_ "/>
    <numFmt numFmtId="165" formatCode="#,##0\ &quot;$&quot;"/>
  </numFmts>
  <fonts count="33" x14ac:knownFonts="1">
    <font>
      <sz val="11"/>
      <color theme="1"/>
      <name val="Aptos Narrow"/>
      <family val="2"/>
      <scheme val="minor"/>
    </font>
    <font>
      <sz val="10"/>
      <color theme="1"/>
      <name val="Arial"/>
      <family val="2"/>
    </font>
    <font>
      <sz val="11"/>
      <color theme="1"/>
      <name val="Aptos Narrow"/>
      <family val="2"/>
      <scheme val="minor"/>
    </font>
    <font>
      <b/>
      <sz val="10"/>
      <color theme="1"/>
      <name val="Century Gothic"/>
      <family val="2"/>
    </font>
    <font>
      <b/>
      <sz val="11"/>
      <color theme="1"/>
      <name val="Century Gothic"/>
      <family val="2"/>
    </font>
    <font>
      <b/>
      <sz val="10"/>
      <name val="Century Gothic"/>
      <family val="2"/>
    </font>
    <font>
      <b/>
      <sz val="10"/>
      <color theme="0"/>
      <name val="Century Gothic"/>
      <family val="2"/>
    </font>
    <font>
      <b/>
      <sz val="9"/>
      <color theme="1"/>
      <name val="Aptos Narrow"/>
      <family val="2"/>
      <scheme val="minor"/>
    </font>
    <font>
      <sz val="9"/>
      <color rgb="FF141414"/>
      <name val="Segoe UI"/>
      <family val="2"/>
    </font>
    <font>
      <b/>
      <sz val="11"/>
      <color theme="1"/>
      <name val="Aptos Narrow"/>
      <family val="2"/>
      <scheme val="minor"/>
    </font>
    <font>
      <sz val="11"/>
      <color rgb="FF333333"/>
      <name val="Aptos Narrow"/>
      <family val="2"/>
      <scheme val="minor"/>
    </font>
    <font>
      <b/>
      <sz val="12"/>
      <color theme="1"/>
      <name val="Arial"/>
      <family val="2"/>
    </font>
    <font>
      <b/>
      <sz val="12"/>
      <color theme="1"/>
      <name val="Aptos Narrow"/>
      <family val="2"/>
      <scheme val="minor"/>
    </font>
    <font>
      <b/>
      <vertAlign val="superscript"/>
      <sz val="11"/>
      <color theme="1"/>
      <name val="Aptos Narrow"/>
      <family val="2"/>
      <scheme val="minor"/>
    </font>
    <font>
      <b/>
      <sz val="11"/>
      <color rgb="FFFF0000"/>
      <name val="Aptos Narrow"/>
      <family val="2"/>
      <scheme val="minor"/>
    </font>
    <font>
      <b/>
      <sz val="24"/>
      <color theme="1"/>
      <name val="Calibri"/>
      <family val="2"/>
    </font>
    <font>
      <b/>
      <sz val="14"/>
      <color theme="1"/>
      <name val="Aptos Narrow"/>
      <family val="2"/>
      <scheme val="minor"/>
    </font>
    <font>
      <sz val="11"/>
      <color rgb="FFFF0000"/>
      <name val="Aptos Narrow"/>
      <family val="2"/>
      <scheme val="minor"/>
    </font>
    <font>
      <sz val="11"/>
      <name val="Aptos Narrow"/>
      <family val="2"/>
      <scheme val="minor"/>
    </font>
    <font>
      <b/>
      <sz val="11"/>
      <name val="Aptos Narrow"/>
      <family val="2"/>
      <scheme val="minor"/>
    </font>
    <font>
      <b/>
      <sz val="28"/>
      <color theme="1"/>
      <name val="Calibri"/>
      <family val="2"/>
    </font>
    <font>
      <b/>
      <i/>
      <sz val="11"/>
      <color theme="1"/>
      <name val="Aptos Narrow"/>
      <family val="2"/>
      <scheme val="minor"/>
    </font>
    <font>
      <b/>
      <sz val="11"/>
      <color theme="3" tint="0.499984740745262"/>
      <name val="Aptos Narrow"/>
      <family val="2"/>
      <scheme val="minor"/>
    </font>
    <font>
      <u/>
      <sz val="11"/>
      <color theme="10"/>
      <name val="Aptos Narrow"/>
      <family val="2"/>
      <scheme val="minor"/>
    </font>
    <font>
      <b/>
      <i/>
      <sz val="11"/>
      <color theme="3" tint="0.499984740745262"/>
      <name val="Aptos Narrow"/>
      <family val="2"/>
      <scheme val="minor"/>
    </font>
    <font>
      <b/>
      <i/>
      <sz val="16"/>
      <color theme="3" tint="0.499984740745262"/>
      <name val="Aptos Narrow"/>
      <family val="2"/>
      <scheme val="minor"/>
    </font>
    <font>
      <sz val="14"/>
      <color theme="1"/>
      <name val="Arial"/>
      <family val="2"/>
    </font>
    <font>
      <u/>
      <sz val="14"/>
      <color theme="1"/>
      <name val="Arial"/>
      <family val="2"/>
    </font>
    <font>
      <sz val="12"/>
      <color theme="1"/>
      <name val="Aptos"/>
      <family val="2"/>
    </font>
    <font>
      <sz val="9"/>
      <color theme="1"/>
      <name val="Arial"/>
      <family val="2"/>
    </font>
    <font>
      <sz val="10.5"/>
      <color rgb="FF000000"/>
      <name val="Aptos"/>
      <family val="2"/>
    </font>
    <font>
      <sz val="11"/>
      <color rgb="FFF2FBEF"/>
      <name val="Aptos Narrow"/>
      <family val="2"/>
      <scheme val="minor"/>
    </font>
    <font>
      <b/>
      <sz val="12"/>
      <color theme="1"/>
      <name val="Aptos"/>
      <family val="2"/>
    </font>
  </fonts>
  <fills count="13">
    <fill>
      <patternFill patternType="none"/>
    </fill>
    <fill>
      <patternFill patternType="gray125"/>
    </fill>
    <fill>
      <patternFill patternType="solid">
        <fgColor theme="3" tint="0.59999389629810485"/>
        <bgColor indexed="64"/>
      </patternFill>
    </fill>
    <fill>
      <patternFill patternType="solid">
        <fgColor theme="3" tint="-0.249977111117893"/>
        <bgColor indexed="64"/>
      </patternFill>
    </fill>
    <fill>
      <patternFill patternType="solid">
        <fgColor theme="5" tint="0.59999389629810485"/>
        <bgColor indexed="64"/>
      </patternFill>
    </fill>
    <fill>
      <patternFill patternType="solid">
        <fgColor theme="2" tint="-0.749992370372631"/>
        <bgColor indexed="64"/>
      </patternFill>
    </fill>
    <fill>
      <patternFill patternType="solid">
        <fgColor theme="0" tint="-0.249977111117893"/>
        <bgColor indexed="64"/>
      </patternFill>
    </fill>
    <fill>
      <patternFill patternType="solid">
        <fgColor rgb="FFFFFF00"/>
        <bgColor indexed="64"/>
      </patternFill>
    </fill>
    <fill>
      <patternFill patternType="solid">
        <fgColor theme="2"/>
        <bgColor indexed="64"/>
      </patternFill>
    </fill>
    <fill>
      <patternFill patternType="solid">
        <fgColor theme="3" tint="0.89999084444715716"/>
        <bgColor indexed="64"/>
      </patternFill>
    </fill>
    <fill>
      <patternFill patternType="solid">
        <fgColor theme="0" tint="-4.9989318521683403E-2"/>
        <bgColor indexed="64"/>
      </patternFill>
    </fill>
    <fill>
      <patternFill patternType="solid">
        <fgColor rgb="FFF2FBEF"/>
        <bgColor indexed="64"/>
      </patternFill>
    </fill>
    <fill>
      <patternFill patternType="solid">
        <fgColor theme="5" tint="0.79998168889431442"/>
        <bgColor indexed="64"/>
      </patternFill>
    </fill>
  </fills>
  <borders count="3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7">
    <xf numFmtId="0" fontId="0"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23" fillId="0" borderId="0" applyNumberFormat="0" applyFill="0" applyBorder="0" applyAlignment="0" applyProtection="0"/>
  </cellStyleXfs>
  <cellXfs count="226">
    <xf numFmtId="0" fontId="0" fillId="0" borderId="0" xfId="0"/>
    <xf numFmtId="10" fontId="0" fillId="0" borderId="0" xfId="0" applyNumberFormat="1"/>
    <xf numFmtId="0" fontId="3" fillId="0" borderId="0" xfId="0" applyFont="1" applyAlignment="1" applyProtection="1">
      <alignment horizontal="left"/>
      <protection locked="0"/>
    </xf>
    <xf numFmtId="0" fontId="0" fillId="0" borderId="0" xfId="0" applyAlignment="1">
      <alignment horizontal="center"/>
    </xf>
    <xf numFmtId="0" fontId="0" fillId="0" borderId="1" xfId="0" applyBorder="1" applyAlignment="1">
      <alignment horizontal="center"/>
    </xf>
    <xf numFmtId="164" fontId="0" fillId="0" borderId="0" xfId="1" applyNumberFormat="1" applyFont="1"/>
    <xf numFmtId="0" fontId="5" fillId="2" borderId="0" xfId="2" applyNumberFormat="1" applyFont="1" applyFill="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10" fontId="3" fillId="2" borderId="2" xfId="2" applyNumberFormat="1" applyFont="1" applyFill="1" applyBorder="1" applyAlignment="1" applyProtection="1">
      <alignment horizontal="center" vertical="center"/>
      <protection locked="0"/>
    </xf>
    <xf numFmtId="0" fontId="0" fillId="0" borderId="0" xfId="1" applyNumberFormat="1" applyFont="1"/>
    <xf numFmtId="164" fontId="5" fillId="0" borderId="0" xfId="1" applyNumberFormat="1" applyFont="1" applyFill="1" applyBorder="1" applyAlignment="1" applyProtection="1">
      <alignment horizontal="center" vertical="center"/>
      <protection locked="0"/>
    </xf>
    <xf numFmtId="0" fontId="3" fillId="0" borderId="0" xfId="0" applyFont="1" applyAlignment="1" applyProtection="1">
      <alignment horizontal="center" vertical="center"/>
      <protection locked="0"/>
    </xf>
    <xf numFmtId="10" fontId="5" fillId="0" borderId="0" xfId="2" applyNumberFormat="1" applyFont="1" applyFill="1" applyBorder="1" applyAlignment="1" applyProtection="1">
      <alignment horizontal="center" vertical="center"/>
      <protection locked="0"/>
    </xf>
    <xf numFmtId="0" fontId="0" fillId="0" borderId="1" xfId="0" applyBorder="1" applyAlignment="1">
      <alignment horizontal="center" wrapText="1"/>
    </xf>
    <xf numFmtId="0" fontId="4" fillId="0" borderId="0" xfId="0" applyFont="1"/>
    <xf numFmtId="0" fontId="6" fillId="0" borderId="0" xfId="0" applyFont="1" applyAlignment="1" applyProtection="1">
      <alignment vertical="center" wrapText="1"/>
      <protection locked="0"/>
    </xf>
    <xf numFmtId="0" fontId="6" fillId="3" borderId="3" xfId="0" applyFont="1" applyFill="1" applyBorder="1" applyAlignment="1" applyProtection="1">
      <alignment horizontal="center" vertical="center" wrapText="1"/>
      <protection locked="0"/>
    </xf>
    <xf numFmtId="0" fontId="6" fillId="3" borderId="0" xfId="0" applyFont="1" applyFill="1" applyAlignment="1" applyProtection="1">
      <alignment horizontal="center" vertical="center" wrapText="1"/>
      <protection locked="0"/>
    </xf>
    <xf numFmtId="0" fontId="3" fillId="0" borderId="2" xfId="2" applyNumberFormat="1" applyFont="1" applyFill="1" applyBorder="1" applyAlignment="1" applyProtection="1">
      <alignment horizontal="center" vertical="center"/>
      <protection locked="0"/>
    </xf>
    <xf numFmtId="44" fontId="3" fillId="2" borderId="2" xfId="1" applyFont="1" applyFill="1" applyBorder="1" applyAlignment="1" applyProtection="1">
      <alignment horizontal="center" vertical="center"/>
      <protection locked="0"/>
    </xf>
    <xf numFmtId="0" fontId="0" fillId="0" borderId="0" xfId="0" applyAlignment="1">
      <alignment horizontal="right"/>
    </xf>
    <xf numFmtId="1" fontId="0" fillId="0" borderId="0" xfId="0" applyNumberFormat="1"/>
    <xf numFmtId="0" fontId="8" fillId="0" borderId="0" xfId="0" applyFont="1"/>
    <xf numFmtId="164" fontId="0" fillId="0" borderId="0" xfId="1" applyNumberFormat="1" applyFont="1" applyFill="1"/>
    <xf numFmtId="44" fontId="3" fillId="4" borderId="2" xfId="1" applyFont="1" applyFill="1" applyBorder="1" applyAlignment="1" applyProtection="1">
      <alignment horizontal="center" vertical="center"/>
      <protection locked="0"/>
    </xf>
    <xf numFmtId="0" fontId="3" fillId="5" borderId="0" xfId="0" applyFont="1" applyFill="1" applyAlignment="1" applyProtection="1">
      <alignment horizontal="left"/>
      <protection locked="0"/>
    </xf>
    <xf numFmtId="0" fontId="0" fillId="5" borderId="0" xfId="0" applyFill="1"/>
    <xf numFmtId="164" fontId="5" fillId="5" borderId="0" xfId="1" applyNumberFormat="1" applyFont="1" applyFill="1" applyBorder="1" applyAlignment="1" applyProtection="1">
      <alignment horizontal="center" vertical="center"/>
      <protection locked="0"/>
    </xf>
    <xf numFmtId="10" fontId="5" fillId="5" borderId="0" xfId="2" applyNumberFormat="1" applyFont="1" applyFill="1" applyBorder="1" applyAlignment="1" applyProtection="1">
      <alignment horizontal="center" vertical="center"/>
      <protection locked="0"/>
    </xf>
    <xf numFmtId="0" fontId="0" fillId="0" borderId="0" xfId="0" applyAlignment="1">
      <alignment wrapText="1"/>
    </xf>
    <xf numFmtId="14" fontId="0" fillId="0" borderId="0" xfId="0" applyNumberFormat="1"/>
    <xf numFmtId="0" fontId="1" fillId="0" borderId="0" xfId="3"/>
    <xf numFmtId="0" fontId="11" fillId="0" borderId="0" xfId="3" applyFont="1"/>
    <xf numFmtId="0" fontId="9" fillId="0" borderId="0" xfId="3" applyFont="1"/>
    <xf numFmtId="14" fontId="9" fillId="6" borderId="14" xfId="3" applyNumberFormat="1" applyFont="1" applyFill="1" applyBorder="1" applyAlignment="1">
      <alignment horizontal="center" vertical="center" wrapText="1"/>
    </xf>
    <xf numFmtId="14" fontId="9" fillId="6" borderId="9" xfId="3" applyNumberFormat="1" applyFont="1" applyFill="1" applyBorder="1" applyAlignment="1">
      <alignment horizontal="center" vertical="center" wrapText="1"/>
    </xf>
    <xf numFmtId="14" fontId="9" fillId="6" borderId="15" xfId="3" applyNumberFormat="1" applyFont="1" applyFill="1" applyBorder="1" applyAlignment="1">
      <alignment horizontal="center" vertical="center" wrapText="1"/>
    </xf>
    <xf numFmtId="0" fontId="9" fillId="6" borderId="0" xfId="3" applyFont="1" applyFill="1" applyAlignment="1">
      <alignment horizontal="center" vertical="center" wrapText="1"/>
    </xf>
    <xf numFmtId="0" fontId="9" fillId="6" borderId="10" xfId="3" applyFont="1" applyFill="1" applyBorder="1" applyAlignment="1">
      <alignment horizontal="center" vertical="center" wrapText="1"/>
    </xf>
    <xf numFmtId="0" fontId="9" fillId="6" borderId="16" xfId="3" applyFont="1" applyFill="1" applyBorder="1" applyAlignment="1">
      <alignment horizontal="center" vertical="center" wrapText="1"/>
    </xf>
    <xf numFmtId="14" fontId="9" fillId="6" borderId="0" xfId="3" applyNumberFormat="1" applyFont="1" applyFill="1" applyAlignment="1">
      <alignment horizontal="center" vertical="center" wrapText="1"/>
    </xf>
    <xf numFmtId="14" fontId="9" fillId="6" borderId="10" xfId="3" applyNumberFormat="1" applyFont="1" applyFill="1" applyBorder="1" applyAlignment="1">
      <alignment horizontal="center" vertical="center" wrapText="1"/>
    </xf>
    <xf numFmtId="14" fontId="9" fillId="6" borderId="16" xfId="3" applyNumberFormat="1" applyFont="1" applyFill="1" applyBorder="1" applyAlignment="1">
      <alignment horizontal="center" vertical="center" wrapText="1"/>
    </xf>
    <xf numFmtId="165" fontId="1" fillId="0" borderId="0" xfId="3" applyNumberFormat="1"/>
    <xf numFmtId="0" fontId="10" fillId="0" borderId="5" xfId="3" applyFont="1" applyBorder="1" applyAlignment="1">
      <alignment horizontal="center" vertical="center" wrapText="1"/>
    </xf>
    <xf numFmtId="165" fontId="10" fillId="0" borderId="7" xfId="3" applyNumberFormat="1" applyFont="1" applyBorder="1" applyAlignment="1">
      <alignment horizontal="center" vertical="center" wrapText="1"/>
    </xf>
    <xf numFmtId="165" fontId="1" fillId="0" borderId="11" xfId="3" applyNumberFormat="1" applyBorder="1" applyAlignment="1">
      <alignment horizontal="center" vertical="center"/>
    </xf>
    <xf numFmtId="165" fontId="1" fillId="0" borderId="7" xfId="3" applyNumberFormat="1" applyBorder="1"/>
    <xf numFmtId="165" fontId="1" fillId="0" borderId="17" xfId="3" applyNumberFormat="1" applyBorder="1"/>
    <xf numFmtId="0" fontId="10" fillId="0" borderId="19" xfId="3" applyFont="1" applyBorder="1" applyAlignment="1">
      <alignment horizontal="center" vertical="center" wrapText="1"/>
    </xf>
    <xf numFmtId="165" fontId="10" fillId="0" borderId="24" xfId="3" applyNumberFormat="1" applyFont="1" applyBorder="1" applyAlignment="1">
      <alignment horizontal="center" vertical="center" wrapText="1"/>
    </xf>
    <xf numFmtId="165" fontId="1" fillId="0" borderId="20" xfId="3" applyNumberFormat="1" applyBorder="1" applyAlignment="1">
      <alignment horizontal="center" vertical="center"/>
    </xf>
    <xf numFmtId="0" fontId="10" fillId="0" borderId="21" xfId="3" applyFont="1" applyBorder="1" applyAlignment="1">
      <alignment horizontal="center" vertical="center" wrapText="1"/>
    </xf>
    <xf numFmtId="165" fontId="10" fillId="0" borderId="1" xfId="3" applyNumberFormat="1" applyFont="1" applyBorder="1" applyAlignment="1">
      <alignment horizontal="center" vertical="center" wrapText="1"/>
    </xf>
    <xf numFmtId="165" fontId="1" fillId="0" borderId="22" xfId="3" applyNumberFormat="1" applyBorder="1" applyAlignment="1">
      <alignment horizontal="center" vertical="center"/>
    </xf>
    <xf numFmtId="0" fontId="1" fillId="0" borderId="5" xfId="3" applyBorder="1" applyAlignment="1">
      <alignment horizontal="center" vertical="center"/>
    </xf>
    <xf numFmtId="165" fontId="1" fillId="0" borderId="7" xfId="3" applyNumberFormat="1" applyBorder="1" applyAlignment="1">
      <alignment horizontal="center" vertical="center"/>
    </xf>
    <xf numFmtId="0" fontId="1" fillId="0" borderId="4" xfId="3" applyBorder="1"/>
    <xf numFmtId="0" fontId="1" fillId="0" borderId="10" xfId="3" applyBorder="1"/>
    <xf numFmtId="0" fontId="1" fillId="0" borderId="16" xfId="3" applyBorder="1"/>
    <xf numFmtId="10" fontId="1" fillId="0" borderId="0" xfId="3" applyNumberFormat="1"/>
    <xf numFmtId="10" fontId="1" fillId="0" borderId="10" xfId="3" applyNumberFormat="1" applyBorder="1"/>
    <xf numFmtId="10" fontId="1" fillId="0" borderId="16" xfId="3" applyNumberFormat="1" applyBorder="1"/>
    <xf numFmtId="0" fontId="1" fillId="0" borderId="6" xfId="3" applyBorder="1"/>
    <xf numFmtId="0" fontId="1" fillId="0" borderId="8" xfId="3" applyBorder="1"/>
    <xf numFmtId="10" fontId="1" fillId="0" borderId="8" xfId="3" applyNumberFormat="1" applyBorder="1"/>
    <xf numFmtId="10" fontId="1" fillId="0" borderId="12" xfId="3" applyNumberFormat="1" applyBorder="1"/>
    <xf numFmtId="10" fontId="1" fillId="0" borderId="18" xfId="3" applyNumberFormat="1" applyBorder="1"/>
    <xf numFmtId="165" fontId="1" fillId="0" borderId="24" xfId="3" applyNumberFormat="1" applyBorder="1"/>
    <xf numFmtId="165" fontId="1" fillId="0" borderId="25" xfId="3" applyNumberFormat="1" applyBorder="1"/>
    <xf numFmtId="165" fontId="1" fillId="0" borderId="1" xfId="3" applyNumberFormat="1" applyBorder="1"/>
    <xf numFmtId="165" fontId="1" fillId="0" borderId="23" xfId="3" applyNumberFormat="1" applyBorder="1"/>
    <xf numFmtId="10" fontId="0" fillId="0" borderId="8" xfId="4" applyNumberFormat="1" applyFont="1" applyBorder="1"/>
    <xf numFmtId="165" fontId="10" fillId="0" borderId="11" xfId="3" applyNumberFormat="1" applyFont="1" applyBorder="1" applyAlignment="1">
      <alignment horizontal="center" vertical="center" wrapText="1"/>
    </xf>
    <xf numFmtId="165" fontId="10" fillId="0" borderId="17" xfId="3" applyNumberFormat="1" applyFont="1" applyBorder="1" applyAlignment="1">
      <alignment horizontal="center" vertical="center" wrapText="1"/>
    </xf>
    <xf numFmtId="165" fontId="10" fillId="0" borderId="20" xfId="3" applyNumberFormat="1" applyFont="1" applyBorder="1" applyAlignment="1">
      <alignment horizontal="center" vertical="center" wrapText="1"/>
    </xf>
    <xf numFmtId="165" fontId="10" fillId="0" borderId="25" xfId="3" applyNumberFormat="1" applyFont="1" applyBorder="1" applyAlignment="1">
      <alignment horizontal="center" vertical="center" wrapText="1"/>
    </xf>
    <xf numFmtId="165" fontId="10" fillId="0" borderId="22" xfId="3" applyNumberFormat="1" applyFont="1" applyBorder="1" applyAlignment="1">
      <alignment horizontal="center" vertical="center" wrapText="1"/>
    </xf>
    <xf numFmtId="165" fontId="10" fillId="0" borderId="23" xfId="3" applyNumberFormat="1" applyFont="1" applyBorder="1" applyAlignment="1">
      <alignment horizontal="center" vertical="center" wrapText="1"/>
    </xf>
    <xf numFmtId="0" fontId="9" fillId="0" borderId="0" xfId="3" applyFont="1" applyAlignment="1">
      <alignment vertical="center"/>
    </xf>
    <xf numFmtId="0" fontId="1" fillId="0" borderId="0" xfId="3" applyAlignment="1">
      <alignment horizontal="left" vertical="center" indent="1"/>
    </xf>
    <xf numFmtId="14" fontId="9" fillId="6" borderId="8" xfId="3" applyNumberFormat="1" applyFont="1" applyFill="1" applyBorder="1" applyAlignment="1">
      <alignment horizontal="center" vertical="center" wrapText="1"/>
    </xf>
    <xf numFmtId="14" fontId="9" fillId="6" borderId="12" xfId="3" applyNumberFormat="1" applyFont="1" applyFill="1" applyBorder="1" applyAlignment="1">
      <alignment horizontal="center" vertical="center" wrapText="1"/>
    </xf>
    <xf numFmtId="14" fontId="9" fillId="6" borderId="18" xfId="3" applyNumberFormat="1" applyFont="1" applyFill="1" applyBorder="1" applyAlignment="1">
      <alignment horizontal="center" vertical="center" wrapText="1"/>
    </xf>
    <xf numFmtId="44" fontId="0" fillId="0" borderId="0" xfId="5" applyFont="1"/>
    <xf numFmtId="0" fontId="9" fillId="6" borderId="13" xfId="3" applyFont="1" applyFill="1" applyBorder="1" applyAlignment="1">
      <alignment horizontal="center" vertical="center" wrapText="1"/>
    </xf>
    <xf numFmtId="0" fontId="9" fillId="6" borderId="4" xfId="3" applyFont="1" applyFill="1" applyBorder="1" applyAlignment="1">
      <alignment horizontal="center" vertical="center" wrapText="1"/>
    </xf>
    <xf numFmtId="0" fontId="9" fillId="0" borderId="0" xfId="0" applyFont="1"/>
    <xf numFmtId="0" fontId="0" fillId="8" borderId="16" xfId="0" applyFill="1" applyBorder="1" applyAlignment="1">
      <alignment horizontal="center" vertical="center"/>
    </xf>
    <xf numFmtId="14" fontId="0" fillId="8" borderId="16" xfId="0" applyNumberFormat="1" applyFill="1" applyBorder="1" applyAlignment="1">
      <alignment horizontal="center" vertical="center"/>
    </xf>
    <xf numFmtId="0" fontId="9" fillId="8" borderId="16" xfId="0" applyFont="1" applyFill="1" applyBorder="1" applyAlignment="1">
      <alignment horizontal="center" vertical="center"/>
    </xf>
    <xf numFmtId="0" fontId="0" fillId="8" borderId="18" xfId="0" applyFill="1" applyBorder="1" applyAlignment="1">
      <alignment horizontal="center" vertical="center"/>
    </xf>
    <xf numFmtId="0" fontId="12" fillId="8" borderId="4" xfId="0" applyFont="1" applyFill="1" applyBorder="1" applyAlignment="1">
      <alignment horizontal="left" vertical="center"/>
    </xf>
    <xf numFmtId="0" fontId="12" fillId="8" borderId="4" xfId="0" applyFont="1" applyFill="1" applyBorder="1" applyAlignment="1">
      <alignment horizontal="left" vertical="center" wrapText="1"/>
    </xf>
    <xf numFmtId="16" fontId="12" fillId="8" borderId="4" xfId="0" applyNumberFormat="1" applyFont="1" applyFill="1" applyBorder="1" applyAlignment="1">
      <alignment horizontal="left" vertical="center"/>
    </xf>
    <xf numFmtId="16" fontId="12" fillId="8" borderId="6" xfId="0" applyNumberFormat="1" applyFont="1" applyFill="1" applyBorder="1" applyAlignment="1">
      <alignment horizontal="left" vertical="center"/>
    </xf>
    <xf numFmtId="14" fontId="0" fillId="0" borderId="0" xfId="0" applyNumberFormat="1" applyAlignment="1">
      <alignment horizontal="center" vertical="center"/>
    </xf>
    <xf numFmtId="0" fontId="0" fillId="7" borderId="0" xfId="0" applyFill="1"/>
    <xf numFmtId="0" fontId="0" fillId="0" borderId="6" xfId="0" applyBorder="1"/>
    <xf numFmtId="0" fontId="9" fillId="0" borderId="0" xfId="0" applyFont="1" applyAlignment="1">
      <alignment horizontal="right"/>
    </xf>
    <xf numFmtId="14" fontId="9" fillId="0" borderId="0" xfId="0" applyNumberFormat="1" applyFont="1"/>
    <xf numFmtId="14" fontId="0" fillId="0" borderId="0" xfId="0" applyNumberFormat="1" applyAlignment="1">
      <alignment horizontal="center"/>
    </xf>
    <xf numFmtId="0" fontId="0" fillId="9" borderId="26" xfId="0" applyFill="1" applyBorder="1" applyAlignment="1" applyProtection="1">
      <alignment horizontal="center" vertical="center"/>
      <protection locked="0"/>
    </xf>
    <xf numFmtId="1" fontId="0" fillId="9" borderId="9" xfId="0" applyNumberFormat="1" applyFill="1" applyBorder="1" applyAlignment="1" applyProtection="1">
      <alignment horizontal="center" vertical="center"/>
      <protection locked="0"/>
    </xf>
    <xf numFmtId="1" fontId="0" fillId="9" borderId="10" xfId="0" applyNumberFormat="1" applyFill="1" applyBorder="1" applyAlignment="1" applyProtection="1">
      <alignment horizontal="center" vertical="center"/>
      <protection locked="0"/>
    </xf>
    <xf numFmtId="1" fontId="0" fillId="9" borderId="12" xfId="0" applyNumberFormat="1" applyFill="1" applyBorder="1" applyAlignment="1" applyProtection="1">
      <alignment horizontal="center" vertical="center"/>
      <protection locked="0"/>
    </xf>
    <xf numFmtId="0" fontId="0" fillId="9" borderId="9" xfId="0" applyFill="1" applyBorder="1" applyAlignment="1" applyProtection="1">
      <alignment horizontal="center" vertical="center"/>
      <protection locked="0"/>
    </xf>
    <xf numFmtId="0" fontId="9" fillId="0" borderId="13" xfId="0" applyFont="1" applyBorder="1"/>
    <xf numFmtId="0" fontId="0" fillId="0" borderId="15" xfId="0" applyBorder="1"/>
    <xf numFmtId="0" fontId="0" fillId="0" borderId="4" xfId="0" applyBorder="1"/>
    <xf numFmtId="0" fontId="0" fillId="0" borderId="16" xfId="0" applyBorder="1"/>
    <xf numFmtId="14" fontId="0" fillId="0" borderId="16" xfId="0" applyNumberFormat="1" applyBorder="1"/>
    <xf numFmtId="0" fontId="9" fillId="0" borderId="4" xfId="0" applyFont="1" applyBorder="1"/>
    <xf numFmtId="0" fontId="0" fillId="0" borderId="18" xfId="0" applyBorder="1"/>
    <xf numFmtId="14" fontId="0" fillId="9" borderId="10" xfId="0" applyNumberFormat="1" applyFill="1" applyBorder="1" applyAlignment="1" applyProtection="1">
      <alignment horizontal="center" vertical="center"/>
      <protection locked="0"/>
    </xf>
    <xf numFmtId="0" fontId="0" fillId="0" borderId="14" xfId="0" applyBorder="1"/>
    <xf numFmtId="0" fontId="0" fillId="0" borderId="8" xfId="0" applyBorder="1"/>
    <xf numFmtId="0" fontId="0" fillId="7" borderId="18" xfId="0" applyFill="1" applyBorder="1"/>
    <xf numFmtId="0" fontId="9" fillId="0" borderId="8" xfId="0" applyFont="1" applyBorder="1" applyAlignment="1">
      <alignment horizontal="right"/>
    </xf>
    <xf numFmtId="165" fontId="10" fillId="0" borderId="32" xfId="3" applyNumberFormat="1" applyFont="1" applyBorder="1" applyAlignment="1">
      <alignment horizontal="center" vertical="center" wrapText="1"/>
    </xf>
    <xf numFmtId="165" fontId="1" fillId="0" borderId="9" xfId="3" applyNumberFormat="1" applyBorder="1"/>
    <xf numFmtId="165" fontId="10" fillId="0" borderId="33" xfId="3" applyNumberFormat="1" applyFont="1" applyBorder="1" applyAlignment="1">
      <alignment horizontal="center" vertical="center" wrapText="1"/>
    </xf>
    <xf numFmtId="165" fontId="10" fillId="0" borderId="34" xfId="3" applyNumberFormat="1" applyFont="1" applyBorder="1" applyAlignment="1">
      <alignment horizontal="center" vertical="center" wrapText="1"/>
    </xf>
    <xf numFmtId="165" fontId="1" fillId="0" borderId="13" xfId="3" applyNumberFormat="1" applyBorder="1"/>
    <xf numFmtId="165" fontId="1" fillId="0" borderId="14" xfId="3" applyNumberFormat="1" applyBorder="1"/>
    <xf numFmtId="165" fontId="1" fillId="0" borderId="15" xfId="3" applyNumberFormat="1" applyBorder="1"/>
    <xf numFmtId="10" fontId="1" fillId="0" borderId="4" xfId="3" applyNumberFormat="1" applyBorder="1"/>
    <xf numFmtId="10" fontId="1" fillId="0" borderId="6" xfId="3" applyNumberFormat="1" applyBorder="1"/>
    <xf numFmtId="165" fontId="0" fillId="9" borderId="9" xfId="0" applyNumberFormat="1" applyFill="1" applyBorder="1" applyAlignment="1" applyProtection="1">
      <alignment horizontal="right" vertical="center"/>
      <protection locked="0"/>
    </xf>
    <xf numFmtId="165" fontId="0" fillId="9" borderId="10" xfId="0" applyNumberFormat="1" applyFill="1" applyBorder="1" applyAlignment="1" applyProtection="1">
      <alignment horizontal="right" vertical="center"/>
      <protection locked="0"/>
    </xf>
    <xf numFmtId="165" fontId="0" fillId="9" borderId="12" xfId="0" applyNumberFormat="1" applyFill="1" applyBorder="1" applyAlignment="1" applyProtection="1">
      <alignment horizontal="right" vertical="center"/>
      <protection locked="0"/>
    </xf>
    <xf numFmtId="0" fontId="15" fillId="0" borderId="0" xfId="0" applyFont="1" applyAlignment="1">
      <alignment vertical="center" wrapText="1"/>
    </xf>
    <xf numFmtId="0" fontId="16" fillId="9" borderId="27" xfId="0" applyFont="1" applyFill="1" applyBorder="1" applyAlignment="1">
      <alignment vertical="center"/>
    </xf>
    <xf numFmtId="0" fontId="0" fillId="9" borderId="28" xfId="0" applyFill="1" applyBorder="1" applyAlignment="1">
      <alignment horizontal="center" vertical="center"/>
    </xf>
    <xf numFmtId="0" fontId="12" fillId="8" borderId="13" xfId="0" applyFont="1" applyFill="1" applyBorder="1" applyAlignment="1">
      <alignment horizontal="left" vertical="center"/>
    </xf>
    <xf numFmtId="0" fontId="17" fillId="0" borderId="0" xfId="0" applyFont="1"/>
    <xf numFmtId="0" fontId="18" fillId="0" borderId="0" xfId="0" applyFont="1"/>
    <xf numFmtId="0" fontId="0" fillId="8" borderId="26" xfId="0" applyFill="1" applyBorder="1" applyAlignment="1">
      <alignment horizontal="center" vertical="center"/>
    </xf>
    <xf numFmtId="0" fontId="0" fillId="0" borderId="0" xfId="0" applyAlignment="1">
      <alignment horizontal="center" vertical="center"/>
    </xf>
    <xf numFmtId="0" fontId="9" fillId="0" borderId="30" xfId="0" applyFont="1" applyBorder="1" applyAlignment="1">
      <alignment horizontal="center" vertical="center"/>
    </xf>
    <xf numFmtId="0" fontId="9" fillId="0" borderId="30" xfId="0" applyFont="1" applyBorder="1" applyAlignment="1">
      <alignment horizontal="center" vertical="center" wrapText="1"/>
    </xf>
    <xf numFmtId="0" fontId="9" fillId="0" borderId="31" xfId="0" applyFont="1" applyBorder="1" applyAlignment="1">
      <alignment horizontal="center" vertical="center"/>
    </xf>
    <xf numFmtId="0" fontId="9" fillId="0" borderId="31" xfId="0" applyFont="1" applyBorder="1" applyAlignment="1">
      <alignment horizontal="center" vertical="center" wrapText="1"/>
    </xf>
    <xf numFmtId="0" fontId="9" fillId="0" borderId="4" xfId="0" applyFont="1" applyBorder="1" applyAlignment="1">
      <alignment horizontal="center" vertical="center"/>
    </xf>
    <xf numFmtId="0" fontId="14" fillId="0" borderId="4" xfId="0" applyFont="1" applyBorder="1" applyAlignment="1">
      <alignment horizontal="center" vertical="center"/>
    </xf>
    <xf numFmtId="0" fontId="0" fillId="10" borderId="26" xfId="0" applyFill="1" applyBorder="1" applyAlignment="1">
      <alignment horizontal="center" vertical="center"/>
    </xf>
    <xf numFmtId="0" fontId="0" fillId="0" borderId="4" xfId="0" applyBorder="1" applyAlignment="1">
      <alignment horizontal="center" vertical="center"/>
    </xf>
    <xf numFmtId="14" fontId="0" fillId="0" borderId="4" xfId="0" applyNumberFormat="1" applyBorder="1" applyAlignment="1">
      <alignment horizontal="center" vertical="center"/>
    </xf>
    <xf numFmtId="164" fontId="0" fillId="0" borderId="0" xfId="1" applyNumberFormat="1" applyFont="1" applyBorder="1" applyAlignment="1" applyProtection="1">
      <alignment horizontal="center" vertical="center"/>
    </xf>
    <xf numFmtId="0" fontId="0" fillId="0" borderId="0" xfId="1" applyNumberFormat="1" applyFont="1" applyFill="1" applyBorder="1" applyAlignment="1" applyProtection="1">
      <alignment horizontal="center" vertical="center"/>
    </xf>
    <xf numFmtId="164" fontId="0" fillId="0" borderId="4" xfId="1" applyNumberFormat="1" applyFont="1" applyFill="1" applyBorder="1" applyAlignment="1" applyProtection="1">
      <alignment horizontal="center" vertical="center"/>
    </xf>
    <xf numFmtId="1" fontId="0" fillId="11" borderId="35" xfId="0" applyNumberFormat="1" applyFill="1" applyBorder="1" applyAlignment="1">
      <alignment horizontal="center" vertical="center"/>
    </xf>
    <xf numFmtId="14" fontId="0" fillId="7" borderId="4" xfId="0" applyNumberFormat="1" applyFill="1" applyBorder="1" applyAlignment="1">
      <alignment horizontal="center" vertical="center"/>
    </xf>
    <xf numFmtId="164" fontId="0" fillId="0" borderId="0" xfId="1" applyNumberFormat="1" applyFont="1" applyFill="1" applyBorder="1" applyAlignment="1" applyProtection="1">
      <alignment horizontal="center" vertical="center"/>
    </xf>
    <xf numFmtId="0" fontId="0" fillId="0" borderId="29" xfId="0" applyBorder="1"/>
    <xf numFmtId="164" fontId="0" fillId="0" borderId="21" xfId="1" applyNumberFormat="1" applyFont="1" applyBorder="1" applyAlignment="1" applyProtection="1">
      <alignment horizontal="center" vertical="center"/>
    </xf>
    <xf numFmtId="0" fontId="9" fillId="0" borderId="19" xfId="0" applyFont="1" applyBorder="1"/>
    <xf numFmtId="0" fontId="9" fillId="0" borderId="24" xfId="0" applyFont="1" applyBorder="1"/>
    <xf numFmtId="164" fontId="9" fillId="0" borderId="24" xfId="1" applyNumberFormat="1" applyFont="1" applyBorder="1" applyAlignment="1" applyProtection="1"/>
    <xf numFmtId="3" fontId="9" fillId="0" borderId="24" xfId="1" applyNumberFormat="1" applyFont="1" applyBorder="1" applyAlignment="1" applyProtection="1">
      <alignment horizontal="center"/>
    </xf>
    <xf numFmtId="164" fontId="14" fillId="0" borderId="6" xfId="1" applyNumberFormat="1" applyFont="1" applyBorder="1" applyAlignment="1" applyProtection="1"/>
    <xf numFmtId="164" fontId="0" fillId="0" borderId="0" xfId="0" applyNumberFormat="1"/>
    <xf numFmtId="0" fontId="9" fillId="0" borderId="0" xfId="0" applyFont="1" applyAlignment="1">
      <alignment vertical="center"/>
    </xf>
    <xf numFmtId="0" fontId="18" fillId="10" borderId="0" xfId="0" applyFont="1" applyFill="1" applyProtection="1">
      <protection locked="0"/>
    </xf>
    <xf numFmtId="0" fontId="0" fillId="0" borderId="10" xfId="0" applyBorder="1"/>
    <xf numFmtId="0" fontId="0" fillId="0" borderId="12" xfId="0" applyBorder="1"/>
    <xf numFmtId="0" fontId="9" fillId="0" borderId="26" xfId="0" applyFont="1" applyBorder="1" applyAlignment="1">
      <alignment horizontal="right" indent="1"/>
    </xf>
    <xf numFmtId="0" fontId="0" fillId="10" borderId="0" xfId="0" applyFill="1" applyProtection="1">
      <protection locked="0"/>
    </xf>
    <xf numFmtId="0" fontId="24" fillId="10" borderId="0" xfId="0" applyFont="1" applyFill="1" applyProtection="1">
      <protection locked="0"/>
    </xf>
    <xf numFmtId="0" fontId="18" fillId="10" borderId="4" xfId="0" applyFont="1" applyFill="1" applyBorder="1" applyProtection="1">
      <protection locked="0"/>
    </xf>
    <xf numFmtId="14" fontId="0" fillId="10" borderId="0" xfId="0" applyNumberFormat="1" applyFill="1" applyProtection="1">
      <protection locked="0"/>
    </xf>
    <xf numFmtId="0" fontId="9" fillId="10" borderId="0" xfId="0" applyFont="1" applyFill="1" applyProtection="1">
      <protection locked="0"/>
    </xf>
    <xf numFmtId="164" fontId="9" fillId="10" borderId="0" xfId="1" applyNumberFormat="1" applyFont="1" applyFill="1" applyBorder="1" applyAlignment="1" applyProtection="1">
      <protection locked="0"/>
    </xf>
    <xf numFmtId="3" fontId="9" fillId="10" borderId="0" xfId="1" applyNumberFormat="1" applyFont="1" applyFill="1" applyBorder="1" applyAlignment="1" applyProtection="1">
      <alignment horizontal="center"/>
      <protection locked="0"/>
    </xf>
    <xf numFmtId="164" fontId="14" fillId="10" borderId="0" xfId="1" applyNumberFormat="1" applyFont="1" applyFill="1" applyBorder="1" applyAlignment="1" applyProtection="1">
      <protection locked="0"/>
    </xf>
    <xf numFmtId="0" fontId="15" fillId="10" borderId="0" xfId="0" applyFont="1" applyFill="1" applyAlignment="1" applyProtection="1">
      <alignment vertical="center" wrapText="1"/>
      <protection locked="0"/>
    </xf>
    <xf numFmtId="0" fontId="0" fillId="0" borderId="27" xfId="0" applyBorder="1"/>
    <xf numFmtId="0" fontId="0" fillId="0" borderId="36" xfId="0" applyBorder="1"/>
    <xf numFmtId="14" fontId="0" fillId="0" borderId="9" xfId="0" applyNumberFormat="1" applyBorder="1"/>
    <xf numFmtId="14" fontId="0" fillId="0" borderId="36" xfId="0" applyNumberFormat="1" applyBorder="1"/>
    <xf numFmtId="0" fontId="0" fillId="0" borderId="28" xfId="0" applyBorder="1"/>
    <xf numFmtId="0" fontId="26" fillId="0" borderId="0" xfId="0" applyFont="1" applyAlignment="1">
      <alignment vertical="center"/>
    </xf>
    <xf numFmtId="0" fontId="9" fillId="0" borderId="0" xfId="0" applyFont="1" applyAlignment="1">
      <alignment horizontal="left" wrapText="1"/>
    </xf>
    <xf numFmtId="0" fontId="20" fillId="0" borderId="0" xfId="0" applyFont="1" applyAlignment="1">
      <alignment horizontal="left" vertical="center" wrapText="1"/>
    </xf>
    <xf numFmtId="0" fontId="15" fillId="0" borderId="0" xfId="0" applyFont="1" applyAlignment="1">
      <alignment horizontal="left" vertical="center" wrapText="1"/>
    </xf>
    <xf numFmtId="0" fontId="21" fillId="0" borderId="0" xfId="0" applyFont="1" applyAlignment="1">
      <alignment horizontal="left" wrapText="1"/>
    </xf>
    <xf numFmtId="0" fontId="9" fillId="0" borderId="0" xfId="0" applyFont="1" applyAlignment="1">
      <alignment horizontal="center" vertical="center"/>
    </xf>
    <xf numFmtId="164" fontId="0" fillId="0" borderId="1" xfId="1" applyNumberFormat="1" applyFont="1" applyBorder="1" applyAlignment="1" applyProtection="1">
      <alignment horizontal="center" vertical="center"/>
    </xf>
    <xf numFmtId="164" fontId="14" fillId="0" borderId="8" xfId="1" applyNumberFormat="1" applyFont="1" applyBorder="1" applyAlignment="1" applyProtection="1"/>
    <xf numFmtId="0" fontId="22" fillId="10" borderId="0" xfId="0" applyFont="1" applyFill="1" applyAlignment="1" applyProtection="1">
      <alignment textRotation="180"/>
      <protection locked="0"/>
    </xf>
    <xf numFmtId="1" fontId="0" fillId="0" borderId="0" xfId="0" applyNumberFormat="1" applyAlignment="1">
      <alignment horizontal="center" vertical="center"/>
    </xf>
    <xf numFmtId="0" fontId="9" fillId="0" borderId="37" xfId="0" applyFont="1" applyBorder="1" applyAlignment="1">
      <alignment horizontal="center" vertical="center" wrapText="1"/>
    </xf>
    <xf numFmtId="0" fontId="9" fillId="0" borderId="10" xfId="0" applyFont="1" applyBorder="1" applyAlignment="1">
      <alignment horizontal="center" vertical="center"/>
    </xf>
    <xf numFmtId="0" fontId="18" fillId="10" borderId="10" xfId="0" applyFont="1" applyFill="1" applyBorder="1" applyProtection="1">
      <protection locked="0"/>
    </xf>
    <xf numFmtId="0" fontId="0" fillId="0" borderId="10" xfId="0" applyBorder="1" applyAlignment="1">
      <alignment horizontal="center" vertical="center"/>
    </xf>
    <xf numFmtId="164" fontId="0" fillId="0" borderId="10" xfId="1" applyNumberFormat="1" applyFont="1" applyFill="1" applyBorder="1" applyAlignment="1" applyProtection="1">
      <alignment horizontal="center" vertical="center"/>
    </xf>
    <xf numFmtId="164" fontId="0" fillId="0" borderId="10" xfId="1" applyNumberFormat="1" applyFont="1" applyBorder="1" applyAlignment="1" applyProtection="1">
      <alignment horizontal="center" vertical="center"/>
    </xf>
    <xf numFmtId="164" fontId="14" fillId="0" borderId="20" xfId="1" applyNumberFormat="1" applyFont="1" applyBorder="1" applyAlignment="1" applyProtection="1"/>
    <xf numFmtId="16" fontId="12" fillId="8" borderId="9" xfId="0" applyNumberFormat="1" applyFont="1" applyFill="1" applyBorder="1" applyAlignment="1">
      <alignment horizontal="left" vertical="center"/>
    </xf>
    <xf numFmtId="16" fontId="12" fillId="8" borderId="12" xfId="0" applyNumberFormat="1" applyFont="1" applyFill="1" applyBorder="1" applyAlignment="1">
      <alignment horizontal="left" vertical="center"/>
    </xf>
    <xf numFmtId="14" fontId="0" fillId="8" borderId="15" xfId="0" applyNumberFormat="1" applyFill="1" applyBorder="1" applyAlignment="1">
      <alignment horizontal="center" vertical="center"/>
    </xf>
    <xf numFmtId="14" fontId="0" fillId="8" borderId="18" xfId="0" applyNumberFormat="1" applyFill="1" applyBorder="1" applyAlignment="1">
      <alignment horizontal="center" vertical="center"/>
    </xf>
    <xf numFmtId="16" fontId="12" fillId="8" borderId="10" xfId="0" applyNumberFormat="1" applyFont="1" applyFill="1" applyBorder="1" applyAlignment="1">
      <alignment horizontal="left" vertical="center"/>
    </xf>
    <xf numFmtId="0" fontId="29" fillId="0" borderId="0" xfId="0" applyFont="1" applyAlignment="1">
      <alignment vertical="center"/>
    </xf>
    <xf numFmtId="0" fontId="30" fillId="0" borderId="0" xfId="0" applyFont="1" applyAlignment="1">
      <alignment vertical="center"/>
    </xf>
    <xf numFmtId="0" fontId="28" fillId="0" borderId="0" xfId="0" applyFont="1" applyAlignment="1">
      <alignment vertical="center"/>
    </xf>
    <xf numFmtId="14" fontId="31" fillId="0" borderId="4" xfId="0" applyNumberFormat="1" applyFont="1" applyBorder="1" applyAlignment="1">
      <alignment horizontal="center" vertical="center"/>
    </xf>
    <xf numFmtId="0" fontId="9" fillId="7" borderId="26" xfId="0" applyFont="1" applyFill="1" applyBorder="1"/>
    <xf numFmtId="0" fontId="9" fillId="0" borderId="0" xfId="0" applyFont="1" applyAlignment="1">
      <alignment horizontal="left" wrapText="1"/>
    </xf>
    <xf numFmtId="0" fontId="9" fillId="0" borderId="0" xfId="0" applyFont="1" applyAlignment="1">
      <alignment horizontal="left" vertical="top" wrapText="1"/>
    </xf>
    <xf numFmtId="0" fontId="25" fillId="0" borderId="0" xfId="0" applyFont="1" applyAlignment="1">
      <alignment horizontal="left" vertical="top" textRotation="180"/>
    </xf>
    <xf numFmtId="0" fontId="23" fillId="12" borderId="27" xfId="6" applyFill="1" applyBorder="1" applyAlignment="1" applyProtection="1">
      <alignment horizontal="center"/>
      <protection locked="0"/>
    </xf>
    <xf numFmtId="0" fontId="23" fillId="12" borderId="36" xfId="6" applyFill="1" applyBorder="1" applyAlignment="1" applyProtection="1">
      <alignment horizontal="center"/>
      <protection locked="0"/>
    </xf>
    <xf numFmtId="0" fontId="23" fillId="12" borderId="28" xfId="6" applyFill="1" applyBorder="1" applyAlignment="1" applyProtection="1">
      <alignment horizontal="center"/>
      <protection locked="0"/>
    </xf>
    <xf numFmtId="0" fontId="20" fillId="0" borderId="0" xfId="0" applyFont="1" applyAlignment="1">
      <alignment horizontal="left" vertical="center" wrapText="1"/>
    </xf>
    <xf numFmtId="0" fontId="15" fillId="0" borderId="0" xfId="0" applyFont="1" applyAlignment="1">
      <alignment horizontal="left" vertical="center" wrapText="1"/>
    </xf>
    <xf numFmtId="0" fontId="21" fillId="0" borderId="0" xfId="0" applyFont="1" applyAlignment="1">
      <alignment horizontal="left" wrapText="1"/>
    </xf>
    <xf numFmtId="0" fontId="9" fillId="6" borderId="13" xfId="3" applyFont="1" applyFill="1" applyBorder="1" applyAlignment="1">
      <alignment horizontal="center" vertical="center" wrapText="1"/>
    </xf>
    <xf numFmtId="0" fontId="9" fillId="6" borderId="4" xfId="3" applyFont="1" applyFill="1" applyBorder="1" applyAlignment="1">
      <alignment horizontal="center" vertical="center" wrapText="1"/>
    </xf>
    <xf numFmtId="0" fontId="9" fillId="6" borderId="21" xfId="3" applyFont="1" applyFill="1" applyBorder="1" applyAlignment="1">
      <alignment horizontal="center" vertical="center" wrapText="1"/>
    </xf>
    <xf numFmtId="0" fontId="9" fillId="6" borderId="6" xfId="3" applyFont="1" applyFill="1" applyBorder="1" applyAlignment="1">
      <alignment horizontal="center" vertical="center" wrapText="1"/>
    </xf>
    <xf numFmtId="0" fontId="6" fillId="3" borderId="2" xfId="0" applyFont="1" applyFill="1" applyBorder="1" applyAlignment="1" applyProtection="1">
      <alignment horizontal="center" vertical="center" wrapText="1"/>
      <protection locked="0"/>
    </xf>
    <xf numFmtId="0" fontId="7" fillId="0" borderId="0" xfId="0" applyFont="1" applyAlignment="1">
      <alignment horizontal="center" vertical="top" wrapText="1"/>
    </xf>
    <xf numFmtId="0" fontId="6" fillId="3" borderId="3" xfId="0" applyFont="1" applyFill="1" applyBorder="1" applyAlignment="1" applyProtection="1">
      <alignment horizontal="center" vertical="center" wrapText="1"/>
      <protection locked="0"/>
    </xf>
    <xf numFmtId="0" fontId="6" fillId="3" borderId="0" xfId="0" applyFont="1" applyFill="1" applyAlignment="1" applyProtection="1">
      <alignment horizontal="center" vertical="center" wrapText="1"/>
      <protection locked="0"/>
    </xf>
    <xf numFmtId="0" fontId="28" fillId="0" borderId="0" xfId="0" applyFont="1"/>
  </cellXfs>
  <cellStyles count="7">
    <cellStyle name="Lien hypertexte" xfId="6" builtinId="8"/>
    <cellStyle name="Monétaire" xfId="1" builtinId="4"/>
    <cellStyle name="Monétaire 2" xfId="5" xr:uid="{B03E2118-0F64-41C2-9A2C-5EB9B4514C70}"/>
    <cellStyle name="Normal" xfId="0" builtinId="0"/>
    <cellStyle name="Normal 2" xfId="3" xr:uid="{82E60ABD-E535-42B6-A69C-DB7DCC411434}"/>
    <cellStyle name="Pourcentage" xfId="2" builtinId="5"/>
    <cellStyle name="Pourcentage 2" xfId="4" xr:uid="{23825CF9-1154-4F57-AC5A-DB71F1F9086E}"/>
  </cellStyles>
  <dxfs count="0"/>
  <tableStyles count="0" defaultTableStyle="TableStyleMedium2" defaultPivotStyle="PivotStyleLight16"/>
  <colors>
    <mruColors>
      <color rgb="FFF2FB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xdr:col>
      <xdr:colOff>271391</xdr:colOff>
      <xdr:row>4</xdr:row>
      <xdr:rowOff>126172</xdr:rowOff>
    </xdr:from>
    <xdr:to>
      <xdr:col>5</xdr:col>
      <xdr:colOff>1424943</xdr:colOff>
      <xdr:row>6</xdr:row>
      <xdr:rowOff>31645</xdr:rowOff>
    </xdr:to>
    <xdr:sp macro="" textlink="">
      <xdr:nvSpPr>
        <xdr:cNvPr id="9" name="Flèche : gauche 8">
          <a:extLst>
            <a:ext uri="{FF2B5EF4-FFF2-40B4-BE49-F238E27FC236}">
              <a16:creationId xmlns:a16="http://schemas.microsoft.com/office/drawing/2014/main" id="{A3E9BDF0-27E0-D703-94E4-57A2E8DA866A}"/>
            </a:ext>
          </a:extLst>
        </xdr:cNvPr>
        <xdr:cNvSpPr/>
      </xdr:nvSpPr>
      <xdr:spPr>
        <a:xfrm rot="20860177">
          <a:off x="5578177" y="1269172"/>
          <a:ext cx="1153552" cy="354509"/>
        </a:xfrm>
        <a:prstGeom prst="leftArrow">
          <a:avLst>
            <a:gd name="adj1" fmla="val 37234"/>
            <a:gd name="adj2" fmla="val 50000"/>
          </a:avLst>
        </a:prstGeom>
      </xdr:spPr>
      <xdr:style>
        <a:lnRef idx="1">
          <a:schemeClr val="dk1"/>
        </a:lnRef>
        <a:fillRef idx="3">
          <a:schemeClr val="dk1"/>
        </a:fillRef>
        <a:effectRef idx="2">
          <a:schemeClr val="dk1"/>
        </a:effectRef>
        <a:fontRef idx="minor">
          <a:schemeClr val="lt1"/>
        </a:fontRef>
      </xdr:style>
      <xdr:txBody>
        <a:bodyPr vertOverflow="clip" horzOverflow="clip" rtlCol="0" anchor="t"/>
        <a:lstStyle/>
        <a:p>
          <a:pPr algn="l"/>
          <a:endParaRPr lang="fr-CA"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41414</xdr:colOff>
      <xdr:row>28</xdr:row>
      <xdr:rowOff>16565</xdr:rowOff>
    </xdr:from>
    <xdr:to>
      <xdr:col>22</xdr:col>
      <xdr:colOff>438970</xdr:colOff>
      <xdr:row>32</xdr:row>
      <xdr:rowOff>79334</xdr:rowOff>
    </xdr:to>
    <xdr:pic>
      <xdr:nvPicPr>
        <xdr:cNvPr id="2" name="Image 1">
          <a:extLst>
            <a:ext uri="{FF2B5EF4-FFF2-40B4-BE49-F238E27FC236}">
              <a16:creationId xmlns:a16="http://schemas.microsoft.com/office/drawing/2014/main" id="{36521A1C-FC76-4B7E-D038-47B4C3EDCE2E}"/>
            </a:ext>
          </a:extLst>
        </xdr:cNvPr>
        <xdr:cNvPicPr>
          <a:picLocks noChangeAspect="1"/>
        </xdr:cNvPicPr>
      </xdr:nvPicPr>
      <xdr:blipFill>
        <a:blip xmlns:r="http://schemas.openxmlformats.org/officeDocument/2006/relationships" r:embed="rId1"/>
        <a:stretch>
          <a:fillRect/>
        </a:stretch>
      </xdr:blipFill>
      <xdr:spPr>
        <a:xfrm>
          <a:off x="9963979" y="5342282"/>
          <a:ext cx="6493556" cy="824769"/>
        </a:xfrm>
        <a:prstGeom prst="rect">
          <a:avLst/>
        </a:prstGeom>
      </xdr:spPr>
    </xdr:pic>
    <xdr:clientData/>
  </xdr:twoCellAnchor>
  <xdr:twoCellAnchor editAs="oneCell">
    <xdr:from>
      <xdr:col>14</xdr:col>
      <xdr:colOff>57979</xdr:colOff>
      <xdr:row>34</xdr:row>
      <xdr:rowOff>41413</xdr:rowOff>
    </xdr:from>
    <xdr:to>
      <xdr:col>22</xdr:col>
      <xdr:colOff>265044</xdr:colOff>
      <xdr:row>63</xdr:row>
      <xdr:rowOff>10494</xdr:rowOff>
    </xdr:to>
    <xdr:pic>
      <xdr:nvPicPr>
        <xdr:cNvPr id="3" name="Picture 2">
          <a:extLst>
            <a:ext uri="{FF2B5EF4-FFF2-40B4-BE49-F238E27FC236}">
              <a16:creationId xmlns:a16="http://schemas.microsoft.com/office/drawing/2014/main" id="{F09D666F-28B2-1CF0-0C41-0D4D5BD78779}"/>
            </a:ext>
          </a:extLst>
        </xdr:cNvPr>
        <xdr:cNvPicPr>
          <a:picLocks noChangeAspect="1"/>
        </xdr:cNvPicPr>
      </xdr:nvPicPr>
      <xdr:blipFill>
        <a:blip xmlns:r="http://schemas.openxmlformats.org/officeDocument/2006/relationships" r:embed="rId2"/>
        <a:stretch>
          <a:fillRect/>
        </a:stretch>
      </xdr:blipFill>
      <xdr:spPr>
        <a:xfrm>
          <a:off x="9980544" y="6510130"/>
          <a:ext cx="6303065" cy="5493581"/>
        </a:xfrm>
        <a:prstGeom prst="rect">
          <a:avLst/>
        </a:prstGeom>
      </xdr:spPr>
    </xdr:pic>
    <xdr:clientData/>
  </xdr:twoCellAnchor>
  <xdr:twoCellAnchor>
    <xdr:from>
      <xdr:col>14</xdr:col>
      <xdr:colOff>124240</xdr:colOff>
      <xdr:row>38</xdr:row>
      <xdr:rowOff>24848</xdr:rowOff>
    </xdr:from>
    <xdr:to>
      <xdr:col>22</xdr:col>
      <xdr:colOff>198784</xdr:colOff>
      <xdr:row>49</xdr:row>
      <xdr:rowOff>41413</xdr:rowOff>
    </xdr:to>
    <xdr:sp macro="" textlink="">
      <xdr:nvSpPr>
        <xdr:cNvPr id="4" name="Rectangle 3">
          <a:extLst>
            <a:ext uri="{FF2B5EF4-FFF2-40B4-BE49-F238E27FC236}">
              <a16:creationId xmlns:a16="http://schemas.microsoft.com/office/drawing/2014/main" id="{8B2065A1-DC5D-141B-59AF-3D8625ACF1CA}"/>
            </a:ext>
          </a:extLst>
        </xdr:cNvPr>
        <xdr:cNvSpPr/>
      </xdr:nvSpPr>
      <xdr:spPr>
        <a:xfrm>
          <a:off x="10046805" y="7255565"/>
          <a:ext cx="6170544" cy="2112065"/>
        </a:xfrm>
        <a:prstGeom prst="rect">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twoCellAnchor editAs="oneCell">
    <xdr:from>
      <xdr:col>13</xdr:col>
      <xdr:colOff>521805</xdr:colOff>
      <xdr:row>63</xdr:row>
      <xdr:rowOff>89417</xdr:rowOff>
    </xdr:from>
    <xdr:to>
      <xdr:col>22</xdr:col>
      <xdr:colOff>100851</xdr:colOff>
      <xdr:row>73</xdr:row>
      <xdr:rowOff>133453</xdr:rowOff>
    </xdr:to>
    <xdr:pic>
      <xdr:nvPicPr>
        <xdr:cNvPr id="5" name="Picture 4">
          <a:extLst>
            <a:ext uri="{FF2B5EF4-FFF2-40B4-BE49-F238E27FC236}">
              <a16:creationId xmlns:a16="http://schemas.microsoft.com/office/drawing/2014/main" id="{598644F9-E298-3639-7F54-3B77996D1A30}"/>
            </a:ext>
          </a:extLst>
        </xdr:cNvPr>
        <xdr:cNvPicPr>
          <a:picLocks noChangeAspect="1"/>
        </xdr:cNvPicPr>
      </xdr:nvPicPr>
      <xdr:blipFill>
        <a:blip xmlns:r="http://schemas.openxmlformats.org/officeDocument/2006/relationships" r:embed="rId3"/>
        <a:stretch>
          <a:fillRect/>
        </a:stretch>
      </xdr:blipFill>
      <xdr:spPr>
        <a:xfrm>
          <a:off x="9682370" y="12082634"/>
          <a:ext cx="6437046" cy="1949036"/>
        </a:xfrm>
        <a:prstGeom prst="rect">
          <a:avLst/>
        </a:prstGeom>
      </xdr:spPr>
    </xdr:pic>
    <xdr:clientData/>
  </xdr:twoCellAnchor>
  <xdr:twoCellAnchor editAs="oneCell">
    <xdr:from>
      <xdr:col>14</xdr:col>
      <xdr:colOff>66260</xdr:colOff>
      <xdr:row>15</xdr:row>
      <xdr:rowOff>74544</xdr:rowOff>
    </xdr:from>
    <xdr:to>
      <xdr:col>24</xdr:col>
      <xdr:colOff>246260</xdr:colOff>
      <xdr:row>25</xdr:row>
      <xdr:rowOff>83830</xdr:rowOff>
    </xdr:to>
    <xdr:pic>
      <xdr:nvPicPr>
        <xdr:cNvPr id="6" name="Picture 5">
          <a:extLst>
            <a:ext uri="{FF2B5EF4-FFF2-40B4-BE49-F238E27FC236}">
              <a16:creationId xmlns:a16="http://schemas.microsoft.com/office/drawing/2014/main" id="{56690890-4EBC-9DAE-B229-A34732524279}"/>
            </a:ext>
          </a:extLst>
        </xdr:cNvPr>
        <xdr:cNvPicPr>
          <a:picLocks noChangeAspect="1"/>
        </xdr:cNvPicPr>
      </xdr:nvPicPr>
      <xdr:blipFill>
        <a:blip xmlns:r="http://schemas.openxmlformats.org/officeDocument/2006/relationships" r:embed="rId4"/>
        <a:stretch>
          <a:fillRect/>
        </a:stretch>
      </xdr:blipFill>
      <xdr:spPr>
        <a:xfrm>
          <a:off x="9988825" y="2923761"/>
          <a:ext cx="7800000" cy="191428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2D3D2-C968-4F20-8865-6F01E12F51F5}">
  <dimension ref="A1:W79"/>
  <sheetViews>
    <sheetView tabSelected="1" topLeftCell="E1" zoomScale="55" zoomScaleNormal="55" workbookViewId="0">
      <selection activeCell="F40" sqref="F40"/>
    </sheetView>
  </sheetViews>
  <sheetFormatPr baseColWidth="10" defaultColWidth="9.140625" defaultRowHeight="15" x14ac:dyDescent="0.25"/>
  <cols>
    <col min="1" max="1" width="8" customWidth="1"/>
    <col min="2" max="2" width="17.5703125" hidden="1" customWidth="1"/>
    <col min="3" max="3" width="62.85546875" customWidth="1"/>
    <col min="4" max="4" width="18.5703125" hidden="1" customWidth="1"/>
    <col min="5" max="5" width="25.7109375" customWidth="1"/>
    <col min="6" max="6" width="22.42578125" customWidth="1"/>
    <col min="7" max="7" width="22.85546875" customWidth="1"/>
    <col min="8" max="8" width="27.5703125" customWidth="1"/>
    <col min="9" max="9" width="26.140625" customWidth="1"/>
    <col min="10" max="10" width="29.42578125" customWidth="1"/>
    <col min="11" max="11" width="26.7109375" customWidth="1"/>
    <col min="12" max="12" width="36.5703125" customWidth="1"/>
    <col min="13" max="13" width="16.140625" customWidth="1"/>
    <col min="14" max="14" width="25.42578125" customWidth="1"/>
    <col min="15" max="15" width="21.5703125" customWidth="1"/>
    <col min="16" max="16" width="27.5703125" customWidth="1"/>
    <col min="17" max="17" width="17.7109375" customWidth="1"/>
    <col min="18" max="18" width="16.85546875" customWidth="1"/>
    <col min="19" max="19" width="24.5703125" customWidth="1"/>
    <col min="20" max="20" width="36.85546875" customWidth="1"/>
    <col min="21" max="21" width="33.7109375" customWidth="1"/>
    <col min="22" max="22" width="14.85546875" customWidth="1"/>
    <col min="23" max="23" width="16.28515625" customWidth="1"/>
    <col min="24" max="24" width="22.85546875" customWidth="1"/>
    <col min="25" max="25" width="13" customWidth="1"/>
    <col min="26" max="26" width="11" bestFit="1" customWidth="1"/>
    <col min="29" max="29" width="12.7109375" customWidth="1"/>
    <col min="30" max="30" width="6.7109375" customWidth="1"/>
    <col min="32" max="32" width="12.7109375" customWidth="1"/>
    <col min="33" max="33" width="13.85546875" customWidth="1"/>
  </cols>
  <sheetData>
    <row r="1" spans="1:23" ht="43.5" customHeight="1" x14ac:dyDescent="0.25">
      <c r="A1" s="175"/>
      <c r="B1" s="131"/>
      <c r="C1" s="214" t="s">
        <v>123</v>
      </c>
      <c r="D1" s="214"/>
      <c r="E1" s="214"/>
      <c r="F1" s="214"/>
      <c r="G1" s="214"/>
      <c r="H1" s="214"/>
      <c r="I1" s="214"/>
      <c r="J1" s="214"/>
      <c r="K1" s="214"/>
      <c r="L1" s="214"/>
      <c r="M1" s="214"/>
      <c r="N1" s="214"/>
      <c r="O1" s="214"/>
      <c r="P1" s="214"/>
      <c r="Q1" s="214"/>
      <c r="R1" s="214"/>
      <c r="S1" s="214"/>
      <c r="T1" s="214"/>
      <c r="U1" s="183"/>
      <c r="V1" s="167"/>
      <c r="W1" s="210" t="s">
        <v>99</v>
      </c>
    </row>
    <row r="2" spans="1:23" ht="99" customHeight="1" x14ac:dyDescent="0.25">
      <c r="A2" s="167"/>
      <c r="C2" s="215" t="s">
        <v>124</v>
      </c>
      <c r="D2" s="215"/>
      <c r="E2" s="215"/>
      <c r="F2" s="215"/>
      <c r="G2" s="215"/>
      <c r="H2" s="215"/>
      <c r="I2" s="215"/>
      <c r="J2" s="215"/>
      <c r="K2" s="215"/>
      <c r="L2" s="215"/>
      <c r="M2" s="215"/>
      <c r="N2" s="215"/>
      <c r="O2" s="215"/>
      <c r="P2" s="215"/>
      <c r="Q2" s="215"/>
      <c r="R2" s="215"/>
      <c r="S2" s="215"/>
      <c r="T2" s="215"/>
      <c r="U2" s="184"/>
      <c r="V2" s="167"/>
      <c r="W2" s="210"/>
    </row>
    <row r="3" spans="1:23" x14ac:dyDescent="0.25">
      <c r="A3" s="167"/>
      <c r="V3" s="167"/>
      <c r="W3" s="210"/>
    </row>
    <row r="4" spans="1:23" ht="15.75" thickBot="1" x14ac:dyDescent="0.3">
      <c r="A4" s="167"/>
      <c r="V4" s="167"/>
      <c r="W4" s="210"/>
    </row>
    <row r="5" spans="1:23" ht="19.5" thickBot="1" x14ac:dyDescent="0.3">
      <c r="A5" s="167"/>
      <c r="G5" s="132" t="s">
        <v>0</v>
      </c>
      <c r="H5" s="133"/>
      <c r="V5" s="167"/>
      <c r="W5" s="210"/>
    </row>
    <row r="6" spans="1:23" ht="15.75" thickBot="1" x14ac:dyDescent="0.3">
      <c r="A6" s="167"/>
      <c r="V6" s="167"/>
      <c r="W6" s="210"/>
    </row>
    <row r="7" spans="1:23" ht="16.5" thickBot="1" x14ac:dyDescent="0.3">
      <c r="A7" s="167"/>
      <c r="C7" s="134" t="s">
        <v>1</v>
      </c>
      <c r="D7" s="115"/>
      <c r="E7" s="102" t="s">
        <v>2</v>
      </c>
      <c r="F7" s="135"/>
      <c r="H7" s="135"/>
      <c r="V7" s="167"/>
      <c r="W7" s="210"/>
    </row>
    <row r="8" spans="1:23" ht="16.5" thickBot="1" x14ac:dyDescent="0.3">
      <c r="A8" s="167"/>
      <c r="C8" s="92" t="s">
        <v>3</v>
      </c>
      <c r="E8" s="102">
        <v>40</v>
      </c>
      <c r="F8" s="136" t="s">
        <v>87</v>
      </c>
      <c r="V8" s="167"/>
      <c r="W8" s="210"/>
    </row>
    <row r="9" spans="1:23" ht="16.5" thickBot="1" x14ac:dyDescent="0.3">
      <c r="A9" s="167"/>
      <c r="C9" s="92" t="s">
        <v>4</v>
      </c>
      <c r="E9" s="114">
        <v>37384</v>
      </c>
      <c r="V9" s="167"/>
      <c r="W9" s="210"/>
    </row>
    <row r="10" spans="1:23" ht="16.5" thickBot="1" x14ac:dyDescent="0.3">
      <c r="A10" s="167"/>
      <c r="C10" s="92" t="s">
        <v>5</v>
      </c>
      <c r="E10" s="102">
        <v>2</v>
      </c>
      <c r="J10" s="30"/>
      <c r="K10" s="30"/>
      <c r="L10" s="30"/>
      <c r="M10" s="30"/>
      <c r="V10" s="167"/>
      <c r="W10" s="210"/>
    </row>
    <row r="11" spans="1:23" ht="16.5" thickBot="1" x14ac:dyDescent="0.3">
      <c r="A11" s="167"/>
      <c r="C11" s="92" t="s">
        <v>89</v>
      </c>
      <c r="E11" s="106" t="s">
        <v>6</v>
      </c>
      <c r="F11" t="s">
        <v>88</v>
      </c>
      <c r="V11" s="167"/>
      <c r="W11" s="210"/>
    </row>
    <row r="12" spans="1:23" ht="16.5" thickBot="1" x14ac:dyDescent="0.3">
      <c r="A12" s="167"/>
      <c r="C12" s="95" t="s">
        <v>7</v>
      </c>
      <c r="D12" s="116"/>
      <c r="E12" s="137">
        <f>IF(E11="non",0,'Calcul de l''échelon de départ'!O24*E8/5)</f>
        <v>744</v>
      </c>
      <c r="F12" t="s">
        <v>8</v>
      </c>
      <c r="V12" s="167"/>
      <c r="W12" s="210"/>
    </row>
    <row r="13" spans="1:23" ht="15.75" thickBot="1" x14ac:dyDescent="0.3">
      <c r="A13" s="167"/>
      <c r="C13" s="115"/>
      <c r="J13" s="211" t="s">
        <v>100</v>
      </c>
      <c r="K13" s="212"/>
      <c r="L13" s="212"/>
      <c r="M13" s="213"/>
      <c r="V13" s="167"/>
      <c r="W13" s="210"/>
    </row>
    <row r="14" spans="1:23" ht="15.75" x14ac:dyDescent="0.25">
      <c r="A14" s="167"/>
      <c r="C14" s="198" t="s">
        <v>9</v>
      </c>
      <c r="D14" s="115"/>
      <c r="E14" s="200">
        <v>45428</v>
      </c>
      <c r="V14" s="167"/>
      <c r="W14" s="210"/>
    </row>
    <row r="15" spans="1:23" ht="15.75" x14ac:dyDescent="0.25">
      <c r="A15" s="167"/>
      <c r="C15" s="202" t="s">
        <v>125</v>
      </c>
      <c r="E15" s="89">
        <f>IF(E7="ARQ",'Calcul de l''échelon de départ'!O29,'Calcul de l''échelon de départ'!O28)</f>
        <v>45512</v>
      </c>
      <c r="G15" s="30"/>
      <c r="V15" s="167"/>
      <c r="W15" s="210"/>
    </row>
    <row r="16" spans="1:23" ht="16.5" thickBot="1" x14ac:dyDescent="0.3">
      <c r="A16" s="167"/>
      <c r="C16" s="199" t="s">
        <v>126</v>
      </c>
      <c r="D16" s="116"/>
      <c r="E16" s="201">
        <f>IF(E7="ARQ",'Calcul de l''échelon de départ'!O32,'Calcul de l''échelon de départ'!O31)</f>
        <v>45497</v>
      </c>
      <c r="V16" s="167"/>
      <c r="W16" s="210"/>
    </row>
    <row r="17" spans="1:23" ht="15.75" thickBot="1" x14ac:dyDescent="0.3">
      <c r="A17" s="167"/>
      <c r="C17" s="163"/>
      <c r="D17" s="163"/>
      <c r="E17" s="163"/>
      <c r="F17" s="163"/>
      <c r="G17" s="163"/>
      <c r="H17" s="163"/>
      <c r="I17" s="163"/>
      <c r="J17" s="168" t="s">
        <v>98</v>
      </c>
      <c r="K17" s="163"/>
      <c r="L17" s="163"/>
      <c r="M17" s="163"/>
      <c r="N17" s="163"/>
      <c r="O17" s="163"/>
      <c r="P17" s="163"/>
      <c r="Q17" s="163"/>
      <c r="R17" s="163"/>
      <c r="S17" s="163"/>
      <c r="T17" s="163"/>
      <c r="U17" s="163"/>
      <c r="V17" s="167"/>
      <c r="W17" s="210"/>
    </row>
    <row r="18" spans="1:23" ht="231.75" customHeight="1" thickBot="1" x14ac:dyDescent="0.3">
      <c r="A18" s="167"/>
      <c r="B18" s="139" t="s">
        <v>10</v>
      </c>
      <c r="C18" s="140" t="s">
        <v>11</v>
      </c>
      <c r="D18" s="141" t="s">
        <v>12</v>
      </c>
      <c r="E18" s="142" t="s">
        <v>95</v>
      </c>
      <c r="F18" s="142" t="s">
        <v>94</v>
      </c>
      <c r="G18" s="142" t="s">
        <v>13</v>
      </c>
      <c r="H18" s="142" t="s">
        <v>14</v>
      </c>
      <c r="I18" s="142" t="s">
        <v>15</v>
      </c>
      <c r="J18" s="142" t="s">
        <v>92</v>
      </c>
      <c r="K18" s="142" t="s">
        <v>93</v>
      </c>
      <c r="L18" s="142" t="s">
        <v>91</v>
      </c>
      <c r="M18" s="142" t="s">
        <v>16</v>
      </c>
      <c r="N18" s="142" t="s">
        <v>17</v>
      </c>
      <c r="O18" s="142" t="s">
        <v>18</v>
      </c>
      <c r="P18" s="142" t="s">
        <v>90</v>
      </c>
      <c r="Q18" s="142" t="s">
        <v>131</v>
      </c>
      <c r="R18" s="142" t="s">
        <v>85</v>
      </c>
      <c r="S18" s="140" t="s">
        <v>130</v>
      </c>
      <c r="T18" s="142" t="s">
        <v>129</v>
      </c>
      <c r="U18" s="191" t="s">
        <v>128</v>
      </c>
      <c r="V18" s="167"/>
      <c r="W18" s="210"/>
    </row>
    <row r="19" spans="1:23" ht="15.75" customHeight="1" thickBot="1" x14ac:dyDescent="0.3">
      <c r="A19" s="167"/>
      <c r="B19" s="143"/>
      <c r="C19" s="144"/>
      <c r="D19" s="145">
        <f>IF(E10="18E",20,E10)</f>
        <v>2</v>
      </c>
      <c r="E19" s="186"/>
      <c r="F19" s="186"/>
      <c r="G19" s="186"/>
      <c r="H19" s="186"/>
      <c r="I19" s="186"/>
      <c r="J19" s="186"/>
      <c r="K19" s="186"/>
      <c r="L19" s="186"/>
      <c r="M19" s="186"/>
      <c r="N19" s="138"/>
      <c r="O19" s="186"/>
      <c r="P19" s="186"/>
      <c r="Q19" s="186"/>
      <c r="R19" s="186"/>
      <c r="S19" s="143"/>
      <c r="T19" s="186"/>
      <c r="U19" s="192"/>
      <c r="V19" s="167"/>
      <c r="W19" s="210"/>
    </row>
    <row r="20" spans="1:23" x14ac:dyDescent="0.25">
      <c r="A20" s="167"/>
      <c r="B20" s="143"/>
      <c r="C20" s="169"/>
      <c r="D20" s="163"/>
      <c r="E20" s="163"/>
      <c r="F20" s="163"/>
      <c r="G20" s="163"/>
      <c r="H20" s="163"/>
      <c r="I20" s="163"/>
      <c r="J20" s="168"/>
      <c r="K20" s="163"/>
      <c r="L20" s="163"/>
      <c r="M20" s="163"/>
      <c r="N20" s="163"/>
      <c r="O20" s="163"/>
      <c r="P20" s="163"/>
      <c r="Q20" s="163"/>
      <c r="R20" s="163"/>
      <c r="S20" s="169"/>
      <c r="T20" s="163"/>
      <c r="U20" s="193"/>
      <c r="V20" s="167"/>
      <c r="W20" s="210"/>
    </row>
    <row r="21" spans="1:23" ht="15.75" thickBot="1" x14ac:dyDescent="0.3">
      <c r="A21" s="167"/>
      <c r="B21" s="146"/>
      <c r="C21" s="146"/>
      <c r="D21" s="138"/>
      <c r="E21" s="138"/>
      <c r="F21" s="138"/>
      <c r="G21" s="138"/>
      <c r="H21" s="138"/>
      <c r="I21" s="138"/>
      <c r="J21" s="138"/>
      <c r="K21" s="138"/>
      <c r="L21" s="138"/>
      <c r="M21" s="138"/>
      <c r="N21" s="138"/>
      <c r="O21" s="138"/>
      <c r="P21" s="138"/>
      <c r="Q21" s="138"/>
      <c r="R21" s="138"/>
      <c r="S21" s="146"/>
      <c r="T21" s="138"/>
      <c r="U21" s="194"/>
      <c r="V21" s="167"/>
      <c r="W21" s="210"/>
    </row>
    <row r="22" spans="1:23" ht="15" customHeight="1" x14ac:dyDescent="0.25">
      <c r="A22" s="170"/>
      <c r="B22" s="147">
        <v>42095</v>
      </c>
      <c r="C22" s="147">
        <v>42096</v>
      </c>
      <c r="D22" s="190">
        <f>VLOOKUP(C22,'Calcul de l''échelon de départ'!$H$7:I25,2,0)</f>
        <v>18</v>
      </c>
      <c r="E22" s="190">
        <f t="shared" ref="E22:E40" si="0">IF(D22&lt;19,D22,IF(D22=19,18,"18E"))</f>
        <v>18</v>
      </c>
      <c r="F22" s="103"/>
      <c r="G22" s="148" cm="1">
        <f t="array" ref="G22">_xlfn.IFS(AND($E$8=35,$E$7="ARQ"),IF(ISNUMBER(IF(MONTH(B22)=4,INDEX('35h'!$F$8:$O$27,MATCH(D22,'35h'!$D$8:$D$27,0),MATCH(B22,'35h'!$F$5:$O$5,0)),INDEX('35h'!$F$8:$O$27,MATCH(D22,'35h'!$D$8:$D$27,0),MATCH(EDATE(B22,-6),'35h'!$F$5:$O$5,0)))),IF(MONTH(B22)=4,INDEX('35h'!$F$8:$O$27,MATCH(D22,'35h'!$D$8:$D$27,0),MATCH(B22,'35h'!$F$5:$O$5,0)),INDEX('35h'!$F$8:$O$27,MATCH(D22,'35h'!$D$8:$D$27,0),MATCH(EDATE(B22,-6),'35h'!$F$5:$O$5,0))),0),AND($E$8=37.5,$E$7="ARQ"),IF(ISNUMBER(IF(MONTH(B22)=4,INDEX('37,5h'!$F$8:$O$28,MATCH(D22,'37,5h'!$D$8:$D$28,0),MATCH(B22,'37,5h'!$F$5:$O$5,0)),INDEX('37,5h'!$F$8:$O$28,MATCH(D22,'37,5h'!$D$8:$D$28,0),MATCH(EDATE(B22,-6),'37,5h'!$F$5:$O$5,0)))),IF(MONTH(B22)=4,INDEX('37,5h'!$F$8:$O$28,MATCH(D22,'37,5h'!$D$8:$D$28,0),MATCH(B22,'37,5h'!$F$5:$O$5,0)),INDEX('37,5h'!$F$8:$O$28,MATCH(D22,'37,5h'!$D$8:$D$28,0),MATCH(EDATE(B22,-6),'37,5h'!$F$5:$O$5,0))),0),AND($E$8=40,$E$7="ARQ"),IF(ISNUMBER(IF(MONTH(B22)=4,INDEX('40h'!$F$8:$O$28,MATCH(D22,'40h'!$D$8:$D$28,0),MATCH(B22,'40h'!$F$5:$O$5,0)),INDEX('40h'!$F$8:$O$28,MATCH(D22,'40h'!$D$8:$D$28,0),MATCH(EDATE(B22,-6),'40h'!$F$5:$O$5,0)))),IF(MONTH(B22)=4,INDEX('40h'!$F$8:$O$28,MATCH(D22,'40h'!$D$8:$D$28,0),MATCH(B22,'40h'!$F$5:$O$5,0)),INDEX('40h'!$F$8:$O$28,MATCH(D22,'40h'!$D$8:$D$28,0),MATCH(EDATE(B22,-6),'40h'!$F$5:$O$5,0))),0),AND($E$8=35,$E$7="Fonction publique"),IF(ISNUMBER(IF(MONTH(B22)=4,INDEX('35h'!$F$39:$O$58,MATCH(D22,'35h'!$D$39:$D$58,0),MATCH(B22,'35h'!$F$36:$O$36,0)),INDEX('35h'!$F$39:$O$58,MATCH(D22,'35h'!$D$39:$D$58,0),MATCH(EDATE(B22,-6),'35h'!$F$36:$O$36,0)))),IF(MONTH(B22)=4,INDEX('35h'!$F$39:$O$58,MATCH(D22,'35h'!$D$39:$D$58,0),MATCH(B22,'35h'!$F$36:$O$36,0)),INDEX('35h'!$F$39:$O$58,MATCH(D22,'35h'!$D$39:$D$58,0),MATCH(EDATE(B22,-6),'35h'!$F$36:$O$36,0))),0),AND($E$8=37.5,$E$7="Fonction publique"),IF(ISNUMBER(IF(MONTH(B22)=4,INDEX('37,5h'!$F$39:$O$58,MATCH(D22,'37,5h'!$D$39:$D$58,0),MATCH(B22,'37,5h'!$F$36:$O$36,0)),INDEX('37,5h'!$F$39:$O$58,MATCH(D22,'37,5h'!$D$39:$D$58,0),MATCH(EDATE(B22,-6),'37,5h'!$F$36:$O$36,0)))),IF(MONTH(B22)=4,INDEX('37,5h'!$F$39:$O$58,MATCH(D22,'37,5h'!$D$39:$D$58,0),MATCH(B22,'37,5h'!$F$36:$O$36,0)),INDEX('37,5h'!$F$39:$O$58,MATCH(D22,'37,5h'!$D$39:$D$58,0),MATCH(EDATE(B22,-6),'37,5h'!$F$36:$O$36,0))),0),AND($E$8=40,$E$7="Fonction publique"),IF(ISNUMBER(IF(MONTH(B22)=4,INDEX('40h'!$F$39:$O$58,MATCH(D22,'40h'!$D$39:$D$58,0),MATCH(B22,'40h'!$F$36:$O$36,0)),INDEX('40h'!$F$39:$O$58,MATCH(D22,'40h'!$D$39:$D$58,0),MATCH(EDATE(B22,-6),'40h'!$F$36:$O$36,0)))),IF(MONTH(B22)=4,INDEX('40h'!$F$39:$O$58,MATCH(D22,'40h'!$D$39:$D$58,0),MATCH(B22,'40h'!$F$36:$O$36,0)),INDEX('40h'!$F$39:$O$58,MATCH(D22,'40h'!$D$39:$D$58,0),MATCH(EDATE(B22,-6),'40h'!$F$36:$O$36,0))),0))</f>
        <v>124052.57142857143</v>
      </c>
      <c r="H22" s="148" cm="1">
        <f t="array" ref="H22">_xlfn.IFS($E$8=35,IF(ISNUMBER(IF(MONTH(B22)=4,INDEX('35h'!$F$70:$O$89,MATCH(D22,'35h'!$D$70:$D$89,0),MATCH(B22,'35h'!$F$67:$O$67,0)),INDEX('35h'!$F$70:$O$89,MATCH(D22,'35h'!$D$70:$D$89,0),MATCH(EDATE(B22,-6),'35h'!$F$67:$O$67,0)))),IF(MONTH(B22)=4,INDEX('35h'!$F$70:$O$89,MATCH(D22,'35h'!$D$70:$D$89,0),MATCH(B22,'35h'!$F$67:$O$67,0)),INDEX('35h'!$F$70:$O$89,MATCH(D22,'35h'!$D$70:$D$89,0),MATCH(EDATE(B22,-6),'35h'!$F$67:$O$67,0))),0),$E$8=37.5,IF(ISNUMBER(IF(MONTH(B22)=4,INDEX('37,5h'!$F$70:$O$89,MATCH(D22,'37,5h'!$D$70:$D$89,0),MATCH(B22,'37,5h'!$F$67:$O$67,0)),INDEX('37,5h'!$F$70:$O$89,MATCH(D22,'37,5h'!$D$70:$D$89,0),MATCH(EDATE(B22,-6),'37,5h'!$F$67:$O$67,0)))),IF(MONTH(B22)=4,INDEX('37,5h'!$F$70:$O$89,MATCH(D22,'37,5h'!$D$70:$D$89,0),MATCH(B22,'37,5h'!$F$67:$O$67,0)),INDEX('37,5h'!$F$70:$O$89,MATCH(D22,'37,5h'!$D$70:$D$89,0),MATCH(EDATE(B22,-6),'37,5h'!$F$67:$O$67,0))),0),$E$8=40,IF(ISNUMBER(IF(MONTH(B22)=4,INDEX('40h'!$F$70:$O$89,MATCH(D22,'40h'!$D$70:$D$89,0),MATCH(B22,'40h'!$F$67:$O$67,0)),INDEX('40h'!$F$70:$O$89,MATCH(D22,'40h'!$D$70:$D$89,0),MATCH(EDATE(B22,-6),'40h'!$F$67:$O$67,0)))),IF(MONTH(B22)=4,INDEX('40h'!$F$70:$O$89,MATCH(D22,'40h'!$D$70:$D$89,0),MATCH(B22,'40h'!$F$67:$O$67,0)),INDEX('40h'!$F$70:$O$89,MATCH(D22,'40h'!$D$70:$D$89,0),MATCH(EDATE(B22,-6),'40h'!$F$67:$O$67,0))),0))</f>
        <v>124760</v>
      </c>
      <c r="I22" s="149">
        <f t="shared" ref="I22:I40" si="1">IF(D22=0,0,IF(AND($E$9&gt;=C22,$E$9&lt;C23),(NETWORKDAYS($E$9,C23)-NETWORKDAYS(C23,C23))*$E$8/5,(NETWORKDAYS(C22,C23)-(NETWORKDAYS(C23,C23)))*$E$8/5))-IF(C22=$C$25,$E$12,0)</f>
        <v>1040</v>
      </c>
      <c r="J22" s="103"/>
      <c r="K22" s="103"/>
      <c r="L22" s="103"/>
      <c r="M22" s="190">
        <f>IF(SUM(I22:L22)&lt;0,"ERREUR",MAX(0,J22+I22+K22*1.5+L22))</f>
        <v>1040</v>
      </c>
      <c r="N22" s="148">
        <f t="shared" ref="N22:N40" si="2">(I22+J22+K22*1.5+L22)/(heure_tot*$E$8/35)*G22</f>
        <v>61812.319991239128</v>
      </c>
      <c r="O22" s="148">
        <f t="shared" ref="O22:O40" si="3">(I22+J22+K22*1.5+L22)/(heure_tot*$E$8/35)*H22</f>
        <v>62164.814105021091</v>
      </c>
      <c r="P22" s="128"/>
      <c r="Q22" s="148">
        <f>IF(E22=0,0,O22-N22+P22*(O22/N22-1))</f>
        <v>352.49411378196237</v>
      </c>
      <c r="R22" s="148">
        <f>-(I22+J22)*0.3</f>
        <v>-312</v>
      </c>
      <c r="S22" s="150">
        <f>Q22+R22</f>
        <v>40.494113781962369</v>
      </c>
      <c r="T22" s="153">
        <f>IF(E22=0,0,S22+0.02*(O22-N22)*(I22+L22)/M22)</f>
        <v>47.543996057601618</v>
      </c>
      <c r="U22" s="195">
        <f t="shared" ref="U22:U40" si="4">IF($E$7="Fonction publique",T22*IF(C22=$C$40,Ratio_int,1)*(1.05^(24/365)-1)+T22,T22)</f>
        <v>47.543996057601618</v>
      </c>
      <c r="V22" s="189"/>
      <c r="W22" s="210"/>
    </row>
    <row r="23" spans="1:23" x14ac:dyDescent="0.25">
      <c r="A23" s="170"/>
      <c r="B23" s="147">
        <v>42278</v>
      </c>
      <c r="C23" s="147">
        <f>B23</f>
        <v>42278</v>
      </c>
      <c r="D23" s="190">
        <f>VLOOKUP(C23,'Calcul de l''échelon de départ'!$H$7:I26,2,0)</f>
        <v>19</v>
      </c>
      <c r="E23" s="190">
        <f t="shared" si="0"/>
        <v>18</v>
      </c>
      <c r="F23" s="104"/>
      <c r="G23" s="148" cm="1">
        <f t="array" ref="G23">_xlfn.IFS(AND($E$8=35,$E$7="ARQ"),IF(ISNUMBER(IF(MONTH(B23)=4,INDEX('35h'!$F$8:$O$27,MATCH(D23,'35h'!$D$8:$D$27,0),MATCH(B23,'35h'!$F$5:$O$5,0)),INDEX('35h'!$F$8:$O$27,MATCH(D23,'35h'!$D$8:$D$27,0),MATCH(EDATE(B23,-6),'35h'!$F$5:$O$5,0)))),IF(MONTH(B23)=4,INDEX('35h'!$F$8:$O$27,MATCH(D23,'35h'!$D$8:$D$27,0),MATCH(B23,'35h'!$F$5:$O$5,0)),INDEX('35h'!$F$8:$O$27,MATCH(D23,'35h'!$D$8:$D$27,0),MATCH(EDATE(B23,-6),'35h'!$F$5:$O$5,0))),0),AND($E$8=37.5,$E$7="ARQ"),IF(ISNUMBER(IF(MONTH(B23)=4,INDEX('37,5h'!$F$8:$O$28,MATCH(D23,'37,5h'!$D$8:$D$28,0),MATCH(B23,'37,5h'!$F$5:$O$5,0)),INDEX('37,5h'!$F$8:$O$28,MATCH(D23,'37,5h'!$D$8:$D$28,0),MATCH(EDATE(B23,-6),'37,5h'!$F$5:$O$5,0)))),IF(MONTH(B23)=4,INDEX('37,5h'!$F$8:$O$28,MATCH(D23,'37,5h'!$D$8:$D$28,0),MATCH(B23,'37,5h'!$F$5:$O$5,0)),INDEX('37,5h'!$F$8:$O$28,MATCH(D23,'37,5h'!$D$8:$D$28,0),MATCH(EDATE(B23,-6),'37,5h'!$F$5:$O$5,0))),0),AND($E$8=40,$E$7="ARQ"),IF(ISNUMBER(IF(MONTH(B23)=4,INDEX('40h'!$F$8:$O$28,MATCH(D23,'40h'!$D$8:$D$28,0),MATCH(B23,'40h'!$F$5:$O$5,0)),INDEX('40h'!$F$8:$O$28,MATCH(D23,'40h'!$D$8:$D$28,0),MATCH(EDATE(B23,-6),'40h'!$F$5:$O$5,0)))),IF(MONTH(B23)=4,INDEX('40h'!$F$8:$O$28,MATCH(D23,'40h'!$D$8:$D$28,0),MATCH(B23,'40h'!$F$5:$O$5,0)),INDEX('40h'!$F$8:$O$28,MATCH(D23,'40h'!$D$8:$D$28,0),MATCH(EDATE(B23,-6),'40h'!$F$5:$O$5,0))),0),AND($E$8=35,$E$7="Fonction publique"),IF(ISNUMBER(IF(MONTH(B23)=4,INDEX('35h'!$F$39:$O$58,MATCH(D23,'35h'!$D$39:$D$58,0),MATCH(B23,'35h'!$F$36:$O$36,0)),INDEX('35h'!$F$39:$O$58,MATCH(D23,'35h'!$D$39:$D$58,0),MATCH(EDATE(B23,-6),'35h'!$F$36:$O$36,0)))),IF(MONTH(B23)=4,INDEX('35h'!$F$39:$O$58,MATCH(D23,'35h'!$D$39:$D$58,0),MATCH(B23,'35h'!$F$36:$O$36,0)),INDEX('35h'!$F$39:$O$58,MATCH(D23,'35h'!$D$39:$D$58,0),MATCH(EDATE(B23,-6),'35h'!$F$36:$O$36,0))),0),AND($E$8=37.5,$E$7="Fonction publique"),IF(ISNUMBER(IF(MONTH(B23)=4,INDEX('37,5h'!$F$39:$O$58,MATCH(D23,'37,5h'!$D$39:$D$58,0),MATCH(B23,'37,5h'!$F$36:$O$36,0)),INDEX('37,5h'!$F$39:$O$58,MATCH(D23,'37,5h'!$D$39:$D$58,0),MATCH(EDATE(B23,-6),'37,5h'!$F$36:$O$36,0)))),IF(MONTH(B23)=4,INDEX('37,5h'!$F$39:$O$58,MATCH(D23,'37,5h'!$D$39:$D$58,0),MATCH(B23,'37,5h'!$F$36:$O$36,0)),INDEX('37,5h'!$F$39:$O$58,MATCH(D23,'37,5h'!$D$39:$D$58,0),MATCH(EDATE(B23,-6),'37,5h'!$F$36:$O$36,0))),0),AND($E$8=40,$E$7="Fonction publique"),IF(ISNUMBER(IF(MONTH(B23)=4,INDEX('40h'!$F$39:$O$58,MATCH(D23,'40h'!$D$39:$D$58,0),MATCH(B23,'40h'!$F$36:$O$36,0)),INDEX('40h'!$F$39:$O$58,MATCH(D23,'40h'!$D$39:$D$58,0),MATCH(EDATE(B23,-6),'40h'!$F$36:$O$36,0)))),IF(MONTH(B23)=4,INDEX('40h'!$F$39:$O$58,MATCH(D23,'40h'!$D$39:$D$58,0),MATCH(B23,'40h'!$F$36:$O$36,0)),INDEX('40h'!$F$39:$O$58,MATCH(D23,'40h'!$D$39:$D$58,0),MATCH(EDATE(B23,-6),'40h'!$F$36:$O$36,0))),0))</f>
        <v>124052.57142857143</v>
      </c>
      <c r="H23" s="148" cm="1">
        <f t="array" ref="H23">_xlfn.IFS($E$8=35,IF(ISNUMBER(IF(MONTH(B23)=4,INDEX('35h'!$F$70:$O$89,MATCH(D23,'35h'!$D$70:$D$89,0),MATCH(B23,'35h'!$F$67:$O$67,0)),INDEX('35h'!$F$70:$O$89,MATCH(D23,'35h'!$D$70:$D$89,0),MATCH(EDATE(B23,-6),'35h'!$F$67:$O$67,0)))),IF(MONTH(B23)=4,INDEX('35h'!$F$70:$O$89,MATCH(D23,'35h'!$D$70:$D$89,0),MATCH(B23,'35h'!$F$67:$O$67,0)),INDEX('35h'!$F$70:$O$89,MATCH(D23,'35h'!$D$70:$D$89,0),MATCH(EDATE(B23,-6),'35h'!$F$67:$O$67,0))),0),$E$8=37.5,IF(ISNUMBER(IF(MONTH(B23)=4,INDEX('37,5h'!$F$70:$O$89,MATCH(D23,'37,5h'!$D$70:$D$89,0),MATCH(B23,'37,5h'!$F$67:$O$67,0)),INDEX('37,5h'!$F$70:$O$89,MATCH(D23,'37,5h'!$D$70:$D$89,0),MATCH(EDATE(B23,-6),'37,5h'!$F$67:$O$67,0)))),IF(MONTH(B23)=4,INDEX('37,5h'!$F$70:$O$89,MATCH(D23,'37,5h'!$D$70:$D$89,0),MATCH(B23,'37,5h'!$F$67:$O$67,0)),INDEX('37,5h'!$F$70:$O$89,MATCH(D23,'37,5h'!$D$70:$D$89,0),MATCH(EDATE(B23,-6),'37,5h'!$F$67:$O$67,0))),0),$E$8=40,IF(ISNUMBER(IF(MONTH(B23)=4,INDEX('40h'!$F$70:$O$89,MATCH(D23,'40h'!$D$70:$D$89,0),MATCH(B23,'40h'!$F$67:$O$67,0)),INDEX('40h'!$F$70:$O$89,MATCH(D23,'40h'!$D$70:$D$89,0),MATCH(EDATE(B23,-6),'40h'!$F$67:$O$67,0)))),IF(MONTH(B23)=4,INDEX('40h'!$F$70:$O$89,MATCH(D23,'40h'!$D$70:$D$89,0),MATCH(B23,'40h'!$F$67:$O$67,0)),INDEX('40h'!$F$70:$O$89,MATCH(D23,'40h'!$D$70:$D$89,0),MATCH(EDATE(B23,-6),'40h'!$F$67:$O$67,0))),0))</f>
        <v>124760</v>
      </c>
      <c r="I23" s="149">
        <f t="shared" si="1"/>
        <v>1120</v>
      </c>
      <c r="J23" s="104"/>
      <c r="K23" s="104"/>
      <c r="L23" s="104"/>
      <c r="M23" s="190">
        <f>IF(SUM(I23:L23)&lt;0,"ERREUR",MAX(0,J23+I23+K23*1.5+L23))</f>
        <v>1120</v>
      </c>
      <c r="N23" s="148">
        <f t="shared" si="2"/>
        <v>66567.113836719058</v>
      </c>
      <c r="O23" s="148">
        <f t="shared" si="3"/>
        <v>66946.722882330403</v>
      </c>
      <c r="P23" s="129"/>
      <c r="Q23" s="148">
        <f t="shared" ref="Q23:Q40" si="5">IF(E23=0,0,O23-N23+P23*(O23/N23-1))</f>
        <v>379.60904561134521</v>
      </c>
      <c r="R23" s="148">
        <f>-(I23+J23)*0.3</f>
        <v>-336</v>
      </c>
      <c r="S23" s="150">
        <f t="shared" ref="S23:S40" si="6">Q23+R23</f>
        <v>43.609045611345209</v>
      </c>
      <c r="T23" s="153">
        <f t="shared" ref="T23:T40" si="7">IF(E23=0,0,S23+0.02*(O23-N23)*(I23+L23)/M23)</f>
        <v>51.201226523572117</v>
      </c>
      <c r="U23" s="195">
        <f t="shared" si="4"/>
        <v>51.201226523572117</v>
      </c>
      <c r="V23" s="189"/>
      <c r="W23" s="210"/>
    </row>
    <row r="24" spans="1:23" ht="16.5" customHeight="1" x14ac:dyDescent="0.25">
      <c r="A24" s="167"/>
      <c r="B24" s="147">
        <v>42461</v>
      </c>
      <c r="C24" s="147">
        <v>42474</v>
      </c>
      <c r="D24" s="190">
        <f>VLOOKUP(C24,'Calcul de l''échelon de départ'!$H$7:I27,2,0)</f>
        <v>19</v>
      </c>
      <c r="E24" s="190">
        <f t="shared" si="0"/>
        <v>18</v>
      </c>
      <c r="F24" s="104"/>
      <c r="G24" s="148" cm="1">
        <f t="array" ref="G24">_xlfn.IFS(AND($E$8=35,$E$7="ARQ"),IF(ISNUMBER(IF(MONTH(B24)=4,INDEX('35h'!$F$8:$O$27,MATCH(D24,'35h'!$D$8:$D$27,0),MATCH(B24,'35h'!$F$5:$O$5,0)),INDEX('35h'!$F$8:$O$27,MATCH(D24,'35h'!$D$8:$D$27,0),MATCH(EDATE(B24,-6),'35h'!$F$5:$O$5,0)))),IF(MONTH(B24)=4,INDEX('35h'!$F$8:$O$27,MATCH(D24,'35h'!$D$8:$D$27,0),MATCH(B24,'35h'!$F$5:$O$5,0)),INDEX('35h'!$F$8:$O$27,MATCH(D24,'35h'!$D$8:$D$27,0),MATCH(EDATE(B24,-6),'35h'!$F$5:$O$5,0))),0),AND($E$8=37.5,$E$7="ARQ"),IF(ISNUMBER(IF(MONTH(B24)=4,INDEX('37,5h'!$F$8:$O$28,MATCH(D24,'37,5h'!$D$8:$D$28,0),MATCH(B24,'37,5h'!$F$5:$O$5,0)),INDEX('37,5h'!$F$8:$O$28,MATCH(D24,'37,5h'!$D$8:$D$28,0),MATCH(EDATE(B24,-6),'37,5h'!$F$5:$O$5,0)))),IF(MONTH(B24)=4,INDEX('37,5h'!$F$8:$O$28,MATCH(D24,'37,5h'!$D$8:$D$28,0),MATCH(B24,'37,5h'!$F$5:$O$5,0)),INDEX('37,5h'!$F$8:$O$28,MATCH(D24,'37,5h'!$D$8:$D$28,0),MATCH(EDATE(B24,-6),'37,5h'!$F$5:$O$5,0))),0),AND($E$8=40,$E$7="ARQ"),IF(ISNUMBER(IF(MONTH(B24)=4,INDEX('40h'!$F$8:$O$28,MATCH(D24,'40h'!$D$8:$D$28,0),MATCH(B24,'40h'!$F$5:$O$5,0)),INDEX('40h'!$F$8:$O$28,MATCH(D24,'40h'!$D$8:$D$28,0),MATCH(EDATE(B24,-6),'40h'!$F$5:$O$5,0)))),IF(MONTH(B24)=4,INDEX('40h'!$F$8:$O$28,MATCH(D24,'40h'!$D$8:$D$28,0),MATCH(B24,'40h'!$F$5:$O$5,0)),INDEX('40h'!$F$8:$O$28,MATCH(D24,'40h'!$D$8:$D$28,0),MATCH(EDATE(B24,-6),'40h'!$F$5:$O$5,0))),0),AND($E$8=35,$E$7="Fonction publique"),IF(ISNUMBER(IF(MONTH(B24)=4,INDEX('35h'!$F$39:$O$58,MATCH(D24,'35h'!$D$39:$D$58,0),MATCH(B24,'35h'!$F$36:$O$36,0)),INDEX('35h'!$F$39:$O$58,MATCH(D24,'35h'!$D$39:$D$58,0),MATCH(EDATE(B24,-6),'35h'!$F$36:$O$36,0)))),IF(MONTH(B24)=4,INDEX('35h'!$F$39:$O$58,MATCH(D24,'35h'!$D$39:$D$58,0),MATCH(B24,'35h'!$F$36:$O$36,0)),INDEX('35h'!$F$39:$O$58,MATCH(D24,'35h'!$D$39:$D$58,0),MATCH(EDATE(B24,-6),'35h'!$F$36:$O$36,0))),0),AND($E$8=37.5,$E$7="Fonction publique"),IF(ISNUMBER(IF(MONTH(B24)=4,INDEX('37,5h'!$F$39:$O$58,MATCH(D24,'37,5h'!$D$39:$D$58,0),MATCH(B24,'37,5h'!$F$36:$O$36,0)),INDEX('37,5h'!$F$39:$O$58,MATCH(D24,'37,5h'!$D$39:$D$58,0),MATCH(EDATE(B24,-6),'37,5h'!$F$36:$O$36,0)))),IF(MONTH(B24)=4,INDEX('37,5h'!$F$39:$O$58,MATCH(D24,'37,5h'!$D$39:$D$58,0),MATCH(B24,'37,5h'!$F$36:$O$36,0)),INDEX('37,5h'!$F$39:$O$58,MATCH(D24,'37,5h'!$D$39:$D$58,0),MATCH(EDATE(B24,-6),'37,5h'!$F$36:$O$36,0))),0),AND($E$8=40,$E$7="Fonction publique"),IF(ISNUMBER(IF(MONTH(B24)=4,INDEX('40h'!$F$39:$O$58,MATCH(D24,'40h'!$D$39:$D$58,0),MATCH(B24,'40h'!$F$36:$O$36,0)),INDEX('40h'!$F$39:$O$58,MATCH(D24,'40h'!$D$39:$D$58,0),MATCH(EDATE(B24,-6),'40h'!$F$36:$O$36,0)))),IF(MONTH(B24)=4,INDEX('40h'!$F$39:$O$58,MATCH(D24,'40h'!$D$39:$D$58,0),MATCH(B24,'40h'!$F$36:$O$36,0)),INDEX('40h'!$F$39:$O$58,MATCH(D24,'40h'!$D$39:$D$58,0),MATCH(EDATE(B24,-6),'40h'!$F$36:$O$36,0))),0))</f>
        <v>125913.14285714286</v>
      </c>
      <c r="H24" s="148" cm="1">
        <f t="array" ref="H24">_xlfn.IFS($E$8=35,IF(ISNUMBER(IF(MONTH(B24)=4,INDEX('35h'!$F$70:$O$89,MATCH(D24,'35h'!$D$70:$D$89,0),MATCH(B24,'35h'!$F$67:$O$67,0)),INDEX('35h'!$F$70:$O$89,MATCH(D24,'35h'!$D$70:$D$89,0),MATCH(EDATE(B24,-6),'35h'!$F$67:$O$67,0)))),IF(MONTH(B24)=4,INDEX('35h'!$F$70:$O$89,MATCH(D24,'35h'!$D$70:$D$89,0),MATCH(B24,'35h'!$F$67:$O$67,0)),INDEX('35h'!$F$70:$O$89,MATCH(D24,'35h'!$D$70:$D$89,0),MATCH(EDATE(B24,-6),'35h'!$F$67:$O$67,0))),0),$E$8=37.5,IF(ISNUMBER(IF(MONTH(B24)=4,INDEX('37,5h'!$F$70:$O$89,MATCH(D24,'37,5h'!$D$70:$D$89,0),MATCH(B24,'37,5h'!$F$67:$O$67,0)),INDEX('37,5h'!$F$70:$O$89,MATCH(D24,'37,5h'!$D$70:$D$89,0),MATCH(EDATE(B24,-6),'37,5h'!$F$67:$O$67,0)))),IF(MONTH(B24)=4,INDEX('37,5h'!$F$70:$O$89,MATCH(D24,'37,5h'!$D$70:$D$89,0),MATCH(B24,'37,5h'!$F$67:$O$67,0)),INDEX('37,5h'!$F$70:$O$89,MATCH(D24,'37,5h'!$D$70:$D$89,0),MATCH(EDATE(B24,-6),'37,5h'!$F$67:$O$67,0))),0),$E$8=40,IF(ISNUMBER(IF(MONTH(B24)=4,INDEX('40h'!$F$70:$O$89,MATCH(D24,'40h'!$D$70:$D$89,0),MATCH(B24,'40h'!$F$67:$O$67,0)),INDEX('40h'!$F$70:$O$89,MATCH(D24,'40h'!$D$70:$D$89,0),MATCH(EDATE(B24,-6),'40h'!$F$67:$O$67,0)))),IF(MONTH(B24)=4,INDEX('40h'!$F$70:$O$89,MATCH(D24,'40h'!$D$70:$D$89,0),MATCH(B24,'40h'!$F$67:$O$67,0)),INDEX('40h'!$F$70:$O$89,MATCH(D24,'40h'!$D$70:$D$89,0),MATCH(EDATE(B24,-6),'40h'!$F$67:$O$67,0))),0))</f>
        <v>127878.85714285714</v>
      </c>
      <c r="I24" s="149">
        <f t="shared" si="1"/>
        <v>1040</v>
      </c>
      <c r="J24" s="104"/>
      <c r="K24" s="104"/>
      <c r="L24" s="104"/>
      <c r="M24" s="190">
        <f>IF(SUM(I24:L24)&lt;0,"ERREUR",MAX(0,J24+I24+K24*1.5+L24))</f>
        <v>1040</v>
      </c>
      <c r="N24" s="148">
        <f t="shared" si="2"/>
        <v>62739.396594206875</v>
      </c>
      <c r="O24" s="148">
        <f t="shared" si="3"/>
        <v>63718.863275475014</v>
      </c>
      <c r="P24" s="129"/>
      <c r="Q24" s="148">
        <f t="shared" si="5"/>
        <v>979.46668126813893</v>
      </c>
      <c r="R24" s="148"/>
      <c r="S24" s="150">
        <f t="shared" si="6"/>
        <v>979.46668126813893</v>
      </c>
      <c r="T24" s="153">
        <f t="shared" si="7"/>
        <v>999.0560148935017</v>
      </c>
      <c r="U24" s="195">
        <f t="shared" si="4"/>
        <v>999.0560148935017</v>
      </c>
      <c r="V24" s="189"/>
      <c r="W24" s="210"/>
    </row>
    <row r="25" spans="1:23" x14ac:dyDescent="0.25">
      <c r="A25" s="167"/>
      <c r="B25" s="147">
        <v>42644</v>
      </c>
      <c r="C25" s="147">
        <v>42656</v>
      </c>
      <c r="D25" s="190">
        <f>VLOOKUP(C25,'Calcul de l''échelon de départ'!$H$7:I28,2,0)</f>
        <v>20</v>
      </c>
      <c r="E25" s="190" t="str">
        <f t="shared" si="0"/>
        <v>18E</v>
      </c>
      <c r="F25" s="104"/>
      <c r="G25" s="148" cm="1">
        <f t="array" ref="G25">_xlfn.IFS(AND($E$8=35,$E$7="ARQ"),IF(ISNUMBER(IF(MONTH(B25)=4,INDEX('35h'!$F$8:$O$27,MATCH(D25,'35h'!$D$8:$D$27,0),MATCH(B25,'35h'!$F$5:$O$5,0)),INDEX('35h'!$F$8:$O$27,MATCH(D25,'35h'!$D$8:$D$27,0),MATCH(EDATE(B25,-6),'35h'!$F$5:$O$5,0)))),IF(MONTH(B25)=4,INDEX('35h'!$F$8:$O$27,MATCH(D25,'35h'!$D$8:$D$27,0),MATCH(B25,'35h'!$F$5:$O$5,0)),INDEX('35h'!$F$8:$O$27,MATCH(D25,'35h'!$D$8:$D$27,0),MATCH(EDATE(B25,-6),'35h'!$F$5:$O$5,0))),0),AND($E$8=37.5,$E$7="ARQ"),IF(ISNUMBER(IF(MONTH(B25)=4,INDEX('37,5h'!$F$8:$O$28,MATCH(D25,'37,5h'!$D$8:$D$28,0),MATCH(B25,'37,5h'!$F$5:$O$5,0)),INDEX('37,5h'!$F$8:$O$28,MATCH(D25,'37,5h'!$D$8:$D$28,0),MATCH(EDATE(B25,-6),'37,5h'!$F$5:$O$5,0)))),IF(MONTH(B25)=4,INDEX('37,5h'!$F$8:$O$28,MATCH(D25,'37,5h'!$D$8:$D$28,0),MATCH(B25,'37,5h'!$F$5:$O$5,0)),INDEX('37,5h'!$F$8:$O$28,MATCH(D25,'37,5h'!$D$8:$D$28,0),MATCH(EDATE(B25,-6),'37,5h'!$F$5:$O$5,0))),0),AND($E$8=40,$E$7="ARQ"),IF(ISNUMBER(IF(MONTH(B25)=4,INDEX('40h'!$F$8:$O$28,MATCH(D25,'40h'!$D$8:$D$28,0),MATCH(B25,'40h'!$F$5:$O$5,0)),INDEX('40h'!$F$8:$O$28,MATCH(D25,'40h'!$D$8:$D$28,0),MATCH(EDATE(B25,-6),'40h'!$F$5:$O$5,0)))),IF(MONTH(B25)=4,INDEX('40h'!$F$8:$O$28,MATCH(D25,'40h'!$D$8:$D$28,0),MATCH(B25,'40h'!$F$5:$O$5,0)),INDEX('40h'!$F$8:$O$28,MATCH(D25,'40h'!$D$8:$D$28,0),MATCH(EDATE(B25,-6),'40h'!$F$5:$O$5,0))),0),AND($E$8=35,$E$7="Fonction publique"),IF(ISNUMBER(IF(MONTH(B25)=4,INDEX('35h'!$F$39:$O$58,MATCH(D25,'35h'!$D$39:$D$58,0),MATCH(B25,'35h'!$F$36:$O$36,0)),INDEX('35h'!$F$39:$O$58,MATCH(D25,'35h'!$D$39:$D$58,0),MATCH(EDATE(B25,-6),'35h'!$F$36:$O$36,0)))),IF(MONTH(B25)=4,INDEX('35h'!$F$39:$O$58,MATCH(D25,'35h'!$D$39:$D$58,0),MATCH(B25,'35h'!$F$36:$O$36,0)),INDEX('35h'!$F$39:$O$58,MATCH(D25,'35h'!$D$39:$D$58,0),MATCH(EDATE(B25,-6),'35h'!$F$36:$O$36,0))),0),AND($E$8=37.5,$E$7="Fonction publique"),IF(ISNUMBER(IF(MONTH(B25)=4,INDEX('37,5h'!$F$39:$O$58,MATCH(D25,'37,5h'!$D$39:$D$58,0),MATCH(B25,'37,5h'!$F$36:$O$36,0)),INDEX('37,5h'!$F$39:$O$58,MATCH(D25,'37,5h'!$D$39:$D$58,0),MATCH(EDATE(B25,-6),'37,5h'!$F$36:$O$36,0)))),IF(MONTH(B25)=4,INDEX('37,5h'!$F$39:$O$58,MATCH(D25,'37,5h'!$D$39:$D$58,0),MATCH(B25,'37,5h'!$F$36:$O$36,0)),INDEX('37,5h'!$F$39:$O$58,MATCH(D25,'37,5h'!$D$39:$D$58,0),MATCH(EDATE(B25,-6),'37,5h'!$F$36:$O$36,0))),0),AND($E$8=40,$E$7="Fonction publique"),IF(ISNUMBER(IF(MONTH(B25)=4,INDEX('40h'!$F$39:$O$58,MATCH(D25,'40h'!$D$39:$D$58,0),MATCH(B25,'40h'!$F$36:$O$36,0)),INDEX('40h'!$F$39:$O$58,MATCH(D25,'40h'!$D$39:$D$58,0),MATCH(EDATE(B25,-6),'40h'!$F$36:$O$36,0)))),IF(MONTH(B25)=4,INDEX('40h'!$F$39:$O$58,MATCH(D25,'40h'!$D$39:$D$58,0),MATCH(B25,'40h'!$F$36:$O$36,0)),INDEX('40h'!$F$39:$O$58,MATCH(D25,'40h'!$D$39:$D$58,0),MATCH(EDATE(B25,-6),'40h'!$F$36:$O$36,0))),0))</f>
        <v>144800</v>
      </c>
      <c r="H25" s="148" cm="1">
        <f t="array" ref="H25">_xlfn.IFS($E$8=35,IF(ISNUMBER(IF(MONTH(B25)=4,INDEX('35h'!$F$70:$O$89,MATCH(D25,'35h'!$D$70:$D$89,0),MATCH(B25,'35h'!$F$67:$O$67,0)),INDEX('35h'!$F$70:$O$89,MATCH(D25,'35h'!$D$70:$D$89,0),MATCH(EDATE(B25,-6),'35h'!$F$67:$O$67,0)))),IF(MONTH(B25)=4,INDEX('35h'!$F$70:$O$89,MATCH(D25,'35h'!$D$70:$D$89,0),MATCH(B25,'35h'!$F$67:$O$67,0)),INDEX('35h'!$F$70:$O$89,MATCH(D25,'35h'!$D$70:$D$89,0),MATCH(EDATE(B25,-6),'35h'!$F$67:$O$67,0))),0),$E$8=37.5,IF(ISNUMBER(IF(MONTH(B25)=4,INDEX('37,5h'!$F$70:$O$89,MATCH(D25,'37,5h'!$D$70:$D$89,0),MATCH(B25,'37,5h'!$F$67:$O$67,0)),INDEX('37,5h'!$F$70:$O$89,MATCH(D25,'37,5h'!$D$70:$D$89,0),MATCH(EDATE(B25,-6),'37,5h'!$F$67:$O$67,0)))),IF(MONTH(B25)=4,INDEX('37,5h'!$F$70:$O$89,MATCH(D25,'37,5h'!$D$70:$D$89,0),MATCH(B25,'37,5h'!$F$67:$O$67,0)),INDEX('37,5h'!$F$70:$O$89,MATCH(D25,'37,5h'!$D$70:$D$89,0),MATCH(EDATE(B25,-6),'37,5h'!$F$67:$O$67,0))),0),$E$8=40,IF(ISNUMBER(IF(MONTH(B25)=4,INDEX('40h'!$F$70:$O$89,MATCH(D25,'40h'!$D$70:$D$89,0),MATCH(B25,'40h'!$F$67:$O$67,0)),INDEX('40h'!$F$70:$O$89,MATCH(D25,'40h'!$D$70:$D$89,0),MATCH(EDATE(B25,-6),'40h'!$F$67:$O$67,0)))),IF(MONTH(B25)=4,INDEX('40h'!$F$70:$O$89,MATCH(D25,'40h'!$D$70:$D$89,0),MATCH(B25,'40h'!$F$67:$O$67,0)),INDEX('40h'!$F$70:$O$89,MATCH(D25,'40h'!$D$70:$D$89,0),MATCH(EDATE(B25,-6),'40h'!$F$67:$O$67,0))),0))</f>
        <v>147060.57142857142</v>
      </c>
      <c r="I25" s="149">
        <f t="shared" si="1"/>
        <v>296</v>
      </c>
      <c r="J25" s="104"/>
      <c r="K25" s="104"/>
      <c r="L25" s="104"/>
      <c r="M25" s="190">
        <f t="shared" ref="M25:M40" si="8">IF(SUM(I25:L25)&lt;0,"ERREUR",MAX(0,J25+I25+K25*1.5+L25))</f>
        <v>296</v>
      </c>
      <c r="N25" s="148">
        <f t="shared" si="2"/>
        <v>20535.070908394024</v>
      </c>
      <c r="O25" s="148">
        <f t="shared" si="3"/>
        <v>20855.657887532172</v>
      </c>
      <c r="P25" s="129"/>
      <c r="Q25" s="148">
        <f t="shared" si="5"/>
        <v>320.58697913814831</v>
      </c>
      <c r="R25" s="148"/>
      <c r="S25" s="150">
        <f t="shared" si="6"/>
        <v>320.58697913814831</v>
      </c>
      <c r="T25" s="153">
        <f t="shared" si="7"/>
        <v>326.99871872091126</v>
      </c>
      <c r="U25" s="195">
        <f t="shared" si="4"/>
        <v>326.99871872091126</v>
      </c>
      <c r="V25" s="189"/>
      <c r="W25" s="210"/>
    </row>
    <row r="26" spans="1:23" x14ac:dyDescent="0.25">
      <c r="A26" s="170"/>
      <c r="B26" s="147">
        <v>42826</v>
      </c>
      <c r="C26" s="147">
        <v>42838</v>
      </c>
      <c r="D26" s="190">
        <f>VLOOKUP(C26,'Calcul de l''échelon de départ'!$H$7:I29,2,0)</f>
        <v>20</v>
      </c>
      <c r="E26" s="151" t="str">
        <f t="shared" si="0"/>
        <v>18E</v>
      </c>
      <c r="F26" s="104"/>
      <c r="G26" s="148" cm="1">
        <f t="array" ref="G26">_xlfn.IFS(AND($E$8=35,$E$7="ARQ"),IF(ISNUMBER(IF(MONTH(B26)=4,INDEX('35h'!$F$8:$O$27,MATCH(D26,'35h'!$D$8:$D$27,0),MATCH(B26,'35h'!$F$5:$O$5,0)),INDEX('35h'!$F$8:$O$27,MATCH(D26,'35h'!$D$8:$D$27,0),MATCH(EDATE(B26,-6),'35h'!$F$5:$O$5,0)))),IF(MONTH(B26)=4,INDEX('35h'!$F$8:$O$27,MATCH(D26,'35h'!$D$8:$D$27,0),MATCH(B26,'35h'!$F$5:$O$5,0)),INDEX('35h'!$F$8:$O$27,MATCH(D26,'35h'!$D$8:$D$27,0),MATCH(EDATE(B26,-6),'35h'!$F$5:$O$5,0))),0),AND($E$8=37.5,$E$7="ARQ"),IF(ISNUMBER(IF(MONTH(B26)=4,INDEX('37,5h'!$F$8:$O$28,MATCH(D26,'37,5h'!$D$8:$D$28,0),MATCH(B26,'37,5h'!$F$5:$O$5,0)),INDEX('37,5h'!$F$8:$O$28,MATCH(D26,'37,5h'!$D$8:$D$28,0),MATCH(EDATE(B26,-6),'37,5h'!$F$5:$O$5,0)))),IF(MONTH(B26)=4,INDEX('37,5h'!$F$8:$O$28,MATCH(D26,'37,5h'!$D$8:$D$28,0),MATCH(B26,'37,5h'!$F$5:$O$5,0)),INDEX('37,5h'!$F$8:$O$28,MATCH(D26,'37,5h'!$D$8:$D$28,0),MATCH(EDATE(B26,-6),'37,5h'!$F$5:$O$5,0))),0),AND($E$8=40,$E$7="ARQ"),IF(ISNUMBER(IF(MONTH(B26)=4,INDEX('40h'!$F$8:$O$28,MATCH(D26,'40h'!$D$8:$D$28,0),MATCH(B26,'40h'!$F$5:$O$5,0)),INDEX('40h'!$F$8:$O$28,MATCH(D26,'40h'!$D$8:$D$28,0),MATCH(EDATE(B26,-6),'40h'!$F$5:$O$5,0)))),IF(MONTH(B26)=4,INDEX('40h'!$F$8:$O$28,MATCH(D26,'40h'!$D$8:$D$28,0),MATCH(B26,'40h'!$F$5:$O$5,0)),INDEX('40h'!$F$8:$O$28,MATCH(D26,'40h'!$D$8:$D$28,0),MATCH(EDATE(B26,-6),'40h'!$F$5:$O$5,0))),0),AND($E$8=35,$E$7="Fonction publique"),IF(ISNUMBER(IF(MONTH(B26)=4,INDEX('35h'!$F$39:$O$58,MATCH(D26,'35h'!$D$39:$D$58,0),MATCH(B26,'35h'!$F$36:$O$36,0)),INDEX('35h'!$F$39:$O$58,MATCH(D26,'35h'!$D$39:$D$58,0),MATCH(EDATE(B26,-6),'35h'!$F$36:$O$36,0)))),IF(MONTH(B26)=4,INDEX('35h'!$F$39:$O$58,MATCH(D26,'35h'!$D$39:$D$58,0),MATCH(B26,'35h'!$F$36:$O$36,0)),INDEX('35h'!$F$39:$O$58,MATCH(D26,'35h'!$D$39:$D$58,0),MATCH(EDATE(B26,-6),'35h'!$F$36:$O$36,0))),0),AND($E$8=37.5,$E$7="Fonction publique"),IF(ISNUMBER(IF(MONTH(B26)=4,INDEX('37,5h'!$F$39:$O$58,MATCH(D26,'37,5h'!$D$39:$D$58,0),MATCH(B26,'37,5h'!$F$36:$O$36,0)),INDEX('37,5h'!$F$39:$O$58,MATCH(D26,'37,5h'!$D$39:$D$58,0),MATCH(EDATE(B26,-6),'37,5h'!$F$36:$O$36,0)))),IF(MONTH(B26)=4,INDEX('37,5h'!$F$39:$O$58,MATCH(D26,'37,5h'!$D$39:$D$58,0),MATCH(B26,'37,5h'!$F$36:$O$36,0)),INDEX('37,5h'!$F$39:$O$58,MATCH(D26,'37,5h'!$D$39:$D$58,0),MATCH(EDATE(B26,-6),'37,5h'!$F$36:$O$36,0))),0),AND($E$8=40,$E$7="Fonction publique"),IF(ISNUMBER(IF(MONTH(B26)=4,INDEX('40h'!$F$39:$O$58,MATCH(D26,'40h'!$D$39:$D$58,0),MATCH(B26,'40h'!$F$36:$O$36,0)),INDEX('40h'!$F$39:$O$58,MATCH(D26,'40h'!$D$39:$D$58,0),MATCH(EDATE(B26,-6),'40h'!$F$36:$O$36,0)))),IF(MONTH(B26)=4,INDEX('40h'!$F$39:$O$58,MATCH(D26,'40h'!$D$39:$D$58,0),MATCH(B26,'40h'!$F$36:$O$36,0)),INDEX('40h'!$F$39:$O$58,MATCH(D26,'40h'!$D$39:$D$58,0),MATCH(EDATE(B26,-6),'40h'!$F$36:$O$36,0))),0))</f>
        <v>147333.71428571429</v>
      </c>
      <c r="H26" s="148" cm="1">
        <f t="array" ref="H26">_xlfn.IFS($E$8=35,IF(ISNUMBER(IF(MONTH(B26)=4,INDEX('35h'!$F$70:$O$89,MATCH(D26,'35h'!$D$70:$D$89,0),MATCH(B26,'35h'!$F$67:$O$67,0)),INDEX('35h'!$F$70:$O$89,MATCH(D26,'35h'!$D$70:$D$89,0),MATCH(EDATE(B26,-6),'35h'!$F$67:$O$67,0)))),IF(MONTH(B26)=4,INDEX('35h'!$F$70:$O$89,MATCH(D26,'35h'!$D$70:$D$89,0),MATCH(B26,'35h'!$F$67:$O$67,0)),INDEX('35h'!$F$70:$O$89,MATCH(D26,'35h'!$D$70:$D$89,0),MATCH(EDATE(B26,-6),'35h'!$F$67:$O$67,0))),0),$E$8=37.5,IF(ISNUMBER(IF(MONTH(B26)=4,INDEX('37,5h'!$F$70:$O$89,MATCH(D26,'37,5h'!$D$70:$D$89,0),MATCH(B26,'37,5h'!$F$67:$O$67,0)),INDEX('37,5h'!$F$70:$O$89,MATCH(D26,'37,5h'!$D$70:$D$89,0),MATCH(EDATE(B26,-6),'37,5h'!$F$67:$O$67,0)))),IF(MONTH(B26)=4,INDEX('37,5h'!$F$70:$O$89,MATCH(D26,'37,5h'!$D$70:$D$89,0),MATCH(B26,'37,5h'!$F$67:$O$67,0)),INDEX('37,5h'!$F$70:$O$89,MATCH(D26,'37,5h'!$D$70:$D$89,0),MATCH(EDATE(B26,-6),'37,5h'!$F$67:$O$67,0))),0),$E$8=40,IF(ISNUMBER(IF(MONTH(B26)=4,INDEX('40h'!$F$70:$O$89,MATCH(D26,'40h'!$D$70:$D$89,0),MATCH(B26,'40h'!$F$67:$O$67,0)),INDEX('40h'!$F$70:$O$89,MATCH(D26,'40h'!$D$70:$D$89,0),MATCH(EDATE(B26,-6),'40h'!$F$67:$O$67,0)))),IF(MONTH(B26)=4,INDEX('40h'!$F$70:$O$89,MATCH(D26,'40h'!$D$70:$D$89,0),MATCH(B26,'40h'!$F$67:$O$67,0)),INDEX('40h'!$F$70:$O$89,MATCH(D26,'40h'!$D$70:$D$89,0),MATCH(EDATE(B26,-6),'40h'!$F$67:$O$67,0))),0))</f>
        <v>150737.14285714287</v>
      </c>
      <c r="I26" s="149">
        <f t="shared" si="1"/>
        <v>1040</v>
      </c>
      <c r="J26" s="104"/>
      <c r="K26" s="104"/>
      <c r="L26" s="104"/>
      <c r="M26" s="190">
        <f t="shared" si="8"/>
        <v>1040</v>
      </c>
      <c r="N26" s="148">
        <f t="shared" si="2"/>
        <v>73412.736133165425</v>
      </c>
      <c r="O26" s="148">
        <f t="shared" si="3"/>
        <v>75108.580189454107</v>
      </c>
      <c r="P26" s="129"/>
      <c r="Q26" s="148">
        <f t="shared" si="5"/>
        <v>1695.8440562886826</v>
      </c>
      <c r="R26" s="148"/>
      <c r="S26" s="150">
        <f t="shared" si="6"/>
        <v>1695.8440562886826</v>
      </c>
      <c r="T26" s="153">
        <f t="shared" si="7"/>
        <v>1729.7609374144563</v>
      </c>
      <c r="U26" s="195">
        <f t="shared" si="4"/>
        <v>1729.7609374144563</v>
      </c>
      <c r="V26" s="189"/>
      <c r="W26" s="210"/>
    </row>
    <row r="27" spans="1:23" x14ac:dyDescent="0.25">
      <c r="A27" s="167"/>
      <c r="B27" s="147">
        <v>43009</v>
      </c>
      <c r="C27" s="147">
        <v>43020</v>
      </c>
      <c r="D27" s="190">
        <f>VLOOKUP(C27,'Calcul de l''échelon de départ'!$H$7:I30,2,0)</f>
        <v>20</v>
      </c>
      <c r="E27" s="151" t="str">
        <f t="shared" si="0"/>
        <v>18E</v>
      </c>
      <c r="F27" s="104"/>
      <c r="G27" s="148" cm="1">
        <f t="array" ref="G27">_xlfn.IFS(AND($E$8=35,$E$7="ARQ"),IF(ISNUMBER(IF(MONTH(B27)=4,INDEX('35h'!$F$8:$O$27,MATCH(D27,'35h'!$D$8:$D$27,0),MATCH(B27,'35h'!$F$5:$O$5,0)),INDEX('35h'!$F$8:$O$27,MATCH(D27,'35h'!$D$8:$D$27,0),MATCH(EDATE(B27,-6),'35h'!$F$5:$O$5,0)))),IF(MONTH(B27)=4,INDEX('35h'!$F$8:$O$27,MATCH(D27,'35h'!$D$8:$D$27,0),MATCH(B27,'35h'!$F$5:$O$5,0)),INDEX('35h'!$F$8:$O$27,MATCH(D27,'35h'!$D$8:$D$27,0),MATCH(EDATE(B27,-6),'35h'!$F$5:$O$5,0))),0),AND($E$8=37.5,$E$7="ARQ"),IF(ISNUMBER(IF(MONTH(B27)=4,INDEX('37,5h'!$F$8:$O$28,MATCH(D27,'37,5h'!$D$8:$D$28,0),MATCH(B27,'37,5h'!$F$5:$O$5,0)),INDEX('37,5h'!$F$8:$O$28,MATCH(D27,'37,5h'!$D$8:$D$28,0),MATCH(EDATE(B27,-6),'37,5h'!$F$5:$O$5,0)))),IF(MONTH(B27)=4,INDEX('37,5h'!$F$8:$O$28,MATCH(D27,'37,5h'!$D$8:$D$28,0),MATCH(B27,'37,5h'!$F$5:$O$5,0)),INDEX('37,5h'!$F$8:$O$28,MATCH(D27,'37,5h'!$D$8:$D$28,0),MATCH(EDATE(B27,-6),'37,5h'!$F$5:$O$5,0))),0),AND($E$8=40,$E$7="ARQ"),IF(ISNUMBER(IF(MONTH(B27)=4,INDEX('40h'!$F$8:$O$28,MATCH(D27,'40h'!$D$8:$D$28,0),MATCH(B27,'40h'!$F$5:$O$5,0)),INDEX('40h'!$F$8:$O$28,MATCH(D27,'40h'!$D$8:$D$28,0),MATCH(EDATE(B27,-6),'40h'!$F$5:$O$5,0)))),IF(MONTH(B27)=4,INDEX('40h'!$F$8:$O$28,MATCH(D27,'40h'!$D$8:$D$28,0),MATCH(B27,'40h'!$F$5:$O$5,0)),INDEX('40h'!$F$8:$O$28,MATCH(D27,'40h'!$D$8:$D$28,0),MATCH(EDATE(B27,-6),'40h'!$F$5:$O$5,0))),0),AND($E$8=35,$E$7="Fonction publique"),IF(ISNUMBER(IF(MONTH(B27)=4,INDEX('35h'!$F$39:$O$58,MATCH(D27,'35h'!$D$39:$D$58,0),MATCH(B27,'35h'!$F$36:$O$36,0)),INDEX('35h'!$F$39:$O$58,MATCH(D27,'35h'!$D$39:$D$58,0),MATCH(EDATE(B27,-6),'35h'!$F$36:$O$36,0)))),IF(MONTH(B27)=4,INDEX('35h'!$F$39:$O$58,MATCH(D27,'35h'!$D$39:$D$58,0),MATCH(B27,'35h'!$F$36:$O$36,0)),INDEX('35h'!$F$39:$O$58,MATCH(D27,'35h'!$D$39:$D$58,0),MATCH(EDATE(B27,-6),'35h'!$F$36:$O$36,0))),0),AND($E$8=37.5,$E$7="Fonction publique"),IF(ISNUMBER(IF(MONTH(B27)=4,INDEX('37,5h'!$F$39:$O$58,MATCH(D27,'37,5h'!$D$39:$D$58,0),MATCH(B27,'37,5h'!$F$36:$O$36,0)),INDEX('37,5h'!$F$39:$O$58,MATCH(D27,'37,5h'!$D$39:$D$58,0),MATCH(EDATE(B27,-6),'37,5h'!$F$36:$O$36,0)))),IF(MONTH(B27)=4,INDEX('37,5h'!$F$39:$O$58,MATCH(D27,'37,5h'!$D$39:$D$58,0),MATCH(B27,'37,5h'!$F$36:$O$36,0)),INDEX('37,5h'!$F$39:$O$58,MATCH(D27,'37,5h'!$D$39:$D$58,0),MATCH(EDATE(B27,-6),'37,5h'!$F$36:$O$36,0))),0),AND($E$8=40,$E$7="Fonction publique"),IF(ISNUMBER(IF(MONTH(B27)=4,INDEX('40h'!$F$39:$O$58,MATCH(D27,'40h'!$D$39:$D$58,0),MATCH(B27,'40h'!$F$36:$O$36,0)),INDEX('40h'!$F$39:$O$58,MATCH(D27,'40h'!$D$39:$D$58,0),MATCH(EDATE(B27,-6),'40h'!$F$36:$O$36,0)))),IF(MONTH(B27)=4,INDEX('40h'!$F$39:$O$58,MATCH(D27,'40h'!$D$39:$D$58,0),MATCH(B27,'40h'!$F$36:$O$36,0)),INDEX('40h'!$F$39:$O$58,MATCH(D27,'40h'!$D$39:$D$58,0),MATCH(EDATE(B27,-6),'40h'!$F$36:$O$36,0))),0))</f>
        <v>147333.71428571429</v>
      </c>
      <c r="H27" s="148" cm="1">
        <f t="array" ref="H27">_xlfn.IFS($E$8=35,IF(ISNUMBER(IF(MONTH(B27)=4,INDEX('35h'!$F$70:$O$89,MATCH(D27,'35h'!$D$70:$D$89,0),MATCH(B27,'35h'!$F$67:$O$67,0)),INDEX('35h'!$F$70:$O$89,MATCH(D27,'35h'!$D$70:$D$89,0),MATCH(EDATE(B27,-6),'35h'!$F$67:$O$67,0)))),IF(MONTH(B27)=4,INDEX('35h'!$F$70:$O$89,MATCH(D27,'35h'!$D$70:$D$89,0),MATCH(B27,'35h'!$F$67:$O$67,0)),INDEX('35h'!$F$70:$O$89,MATCH(D27,'35h'!$D$70:$D$89,0),MATCH(EDATE(B27,-6),'35h'!$F$67:$O$67,0))),0),$E$8=37.5,IF(ISNUMBER(IF(MONTH(B27)=4,INDEX('37,5h'!$F$70:$O$89,MATCH(D27,'37,5h'!$D$70:$D$89,0),MATCH(B27,'37,5h'!$F$67:$O$67,0)),INDEX('37,5h'!$F$70:$O$89,MATCH(D27,'37,5h'!$D$70:$D$89,0),MATCH(EDATE(B27,-6),'37,5h'!$F$67:$O$67,0)))),IF(MONTH(B27)=4,INDEX('37,5h'!$F$70:$O$89,MATCH(D27,'37,5h'!$D$70:$D$89,0),MATCH(B27,'37,5h'!$F$67:$O$67,0)),INDEX('37,5h'!$F$70:$O$89,MATCH(D27,'37,5h'!$D$70:$D$89,0),MATCH(EDATE(B27,-6),'37,5h'!$F$67:$O$67,0))),0),$E$8=40,IF(ISNUMBER(IF(MONTH(B27)=4,INDEX('40h'!$F$70:$O$89,MATCH(D27,'40h'!$D$70:$D$89,0),MATCH(B27,'40h'!$F$67:$O$67,0)),INDEX('40h'!$F$70:$O$89,MATCH(D27,'40h'!$D$70:$D$89,0),MATCH(EDATE(B27,-6),'40h'!$F$67:$O$67,0)))),IF(MONTH(B27)=4,INDEX('40h'!$F$70:$O$89,MATCH(D27,'40h'!$D$70:$D$89,0),MATCH(B27,'40h'!$F$67:$O$67,0)),INDEX('40h'!$F$70:$O$89,MATCH(D27,'40h'!$D$70:$D$89,0),MATCH(EDATE(B27,-6),'40h'!$F$67:$O$67,0))),0))</f>
        <v>150737.14285714287</v>
      </c>
      <c r="I27" s="149">
        <f t="shared" si="1"/>
        <v>1040</v>
      </c>
      <c r="J27" s="104"/>
      <c r="K27" s="104"/>
      <c r="L27" s="104"/>
      <c r="M27" s="190">
        <f t="shared" si="8"/>
        <v>1040</v>
      </c>
      <c r="N27" s="148">
        <f t="shared" si="2"/>
        <v>73412.736133165425</v>
      </c>
      <c r="O27" s="148">
        <f t="shared" si="3"/>
        <v>75108.580189454107</v>
      </c>
      <c r="P27" s="129"/>
      <c r="Q27" s="148">
        <f t="shared" si="5"/>
        <v>1695.8440562886826</v>
      </c>
      <c r="R27" s="148"/>
      <c r="S27" s="150">
        <f t="shared" si="6"/>
        <v>1695.8440562886826</v>
      </c>
      <c r="T27" s="153">
        <f t="shared" si="7"/>
        <v>1729.7609374144563</v>
      </c>
      <c r="U27" s="195">
        <f t="shared" si="4"/>
        <v>1729.7609374144563</v>
      </c>
      <c r="V27" s="189"/>
      <c r="W27" s="210"/>
    </row>
    <row r="28" spans="1:23" x14ac:dyDescent="0.25">
      <c r="A28" s="167"/>
      <c r="B28" s="147">
        <v>43191</v>
      </c>
      <c r="C28" s="147">
        <v>43202</v>
      </c>
      <c r="D28" s="190">
        <f>VLOOKUP(C28,'Calcul de l''échelon de départ'!$H$7:I31,2,0)</f>
        <v>20</v>
      </c>
      <c r="E28" s="190" t="str">
        <f t="shared" si="0"/>
        <v>18E</v>
      </c>
      <c r="F28" s="104"/>
      <c r="G28" s="148" cm="1">
        <f t="array" ref="G28">_xlfn.IFS(AND($E$8=35,$E$7="ARQ"),IF(ISNUMBER(IF(MONTH(B28)=4,INDEX('35h'!$F$8:$O$27,MATCH(D28,'35h'!$D$8:$D$27,0),MATCH(B28,'35h'!$F$5:$O$5,0)),INDEX('35h'!$F$8:$O$27,MATCH(D28,'35h'!$D$8:$D$27,0),MATCH(EDATE(B28,-6),'35h'!$F$5:$O$5,0)))),IF(MONTH(B28)=4,INDEX('35h'!$F$8:$O$27,MATCH(D28,'35h'!$D$8:$D$27,0),MATCH(B28,'35h'!$F$5:$O$5,0)),INDEX('35h'!$F$8:$O$27,MATCH(D28,'35h'!$D$8:$D$27,0),MATCH(EDATE(B28,-6),'35h'!$F$5:$O$5,0))),0),AND($E$8=37.5,$E$7="ARQ"),IF(ISNUMBER(IF(MONTH(B28)=4,INDEX('37,5h'!$F$8:$O$28,MATCH(D28,'37,5h'!$D$8:$D$28,0),MATCH(B28,'37,5h'!$F$5:$O$5,0)),INDEX('37,5h'!$F$8:$O$28,MATCH(D28,'37,5h'!$D$8:$D$28,0),MATCH(EDATE(B28,-6),'37,5h'!$F$5:$O$5,0)))),IF(MONTH(B28)=4,INDEX('37,5h'!$F$8:$O$28,MATCH(D28,'37,5h'!$D$8:$D$28,0),MATCH(B28,'37,5h'!$F$5:$O$5,0)),INDEX('37,5h'!$F$8:$O$28,MATCH(D28,'37,5h'!$D$8:$D$28,0),MATCH(EDATE(B28,-6),'37,5h'!$F$5:$O$5,0))),0),AND($E$8=40,$E$7="ARQ"),IF(ISNUMBER(IF(MONTH(B28)=4,INDEX('40h'!$F$8:$O$28,MATCH(D28,'40h'!$D$8:$D$28,0),MATCH(B28,'40h'!$F$5:$O$5,0)),INDEX('40h'!$F$8:$O$28,MATCH(D28,'40h'!$D$8:$D$28,0),MATCH(EDATE(B28,-6),'40h'!$F$5:$O$5,0)))),IF(MONTH(B28)=4,INDEX('40h'!$F$8:$O$28,MATCH(D28,'40h'!$D$8:$D$28,0),MATCH(B28,'40h'!$F$5:$O$5,0)),INDEX('40h'!$F$8:$O$28,MATCH(D28,'40h'!$D$8:$D$28,0),MATCH(EDATE(B28,-6),'40h'!$F$5:$O$5,0))),0),AND($E$8=35,$E$7="Fonction publique"),IF(ISNUMBER(IF(MONTH(B28)=4,INDEX('35h'!$F$39:$O$58,MATCH(D28,'35h'!$D$39:$D$58,0),MATCH(B28,'35h'!$F$36:$O$36,0)),INDEX('35h'!$F$39:$O$58,MATCH(D28,'35h'!$D$39:$D$58,0),MATCH(EDATE(B28,-6),'35h'!$F$36:$O$36,0)))),IF(MONTH(B28)=4,INDEX('35h'!$F$39:$O$58,MATCH(D28,'35h'!$D$39:$D$58,0),MATCH(B28,'35h'!$F$36:$O$36,0)),INDEX('35h'!$F$39:$O$58,MATCH(D28,'35h'!$D$39:$D$58,0),MATCH(EDATE(B28,-6),'35h'!$F$36:$O$36,0))),0),AND($E$8=37.5,$E$7="Fonction publique"),IF(ISNUMBER(IF(MONTH(B28)=4,INDEX('37,5h'!$F$39:$O$58,MATCH(D28,'37,5h'!$D$39:$D$58,0),MATCH(B28,'37,5h'!$F$36:$O$36,0)),INDEX('37,5h'!$F$39:$O$58,MATCH(D28,'37,5h'!$D$39:$D$58,0),MATCH(EDATE(B28,-6),'37,5h'!$F$36:$O$36,0)))),IF(MONTH(B28)=4,INDEX('37,5h'!$F$39:$O$58,MATCH(D28,'37,5h'!$D$39:$D$58,0),MATCH(B28,'37,5h'!$F$36:$O$36,0)),INDEX('37,5h'!$F$39:$O$58,MATCH(D28,'37,5h'!$D$39:$D$58,0),MATCH(EDATE(B28,-6),'37,5h'!$F$36:$O$36,0))),0),AND($E$8=40,$E$7="Fonction publique"),IF(ISNUMBER(IF(MONTH(B28)=4,INDEX('40h'!$F$39:$O$58,MATCH(D28,'40h'!$D$39:$D$58,0),MATCH(B28,'40h'!$F$36:$O$36,0)),INDEX('40h'!$F$39:$O$58,MATCH(D28,'40h'!$D$39:$D$58,0),MATCH(EDATE(B28,-6),'40h'!$F$36:$O$36,0)))),IF(MONTH(B28)=4,INDEX('40h'!$F$39:$O$58,MATCH(D28,'40h'!$D$39:$D$58,0),MATCH(B28,'40h'!$F$36:$O$36,0)),INDEX('40h'!$F$39:$O$58,MATCH(D28,'40h'!$D$39:$D$58,0),MATCH(EDATE(B28,-6),'40h'!$F$36:$O$36,0))),0))</f>
        <v>150281.14285714287</v>
      </c>
      <c r="H28" s="148" cm="1">
        <f t="array" ref="H28">_xlfn.IFS($E$8=35,IF(ISNUMBER(IF(MONTH(B28)=4,INDEX('35h'!$F$70:$O$89,MATCH(D28,'35h'!$D$70:$D$89,0),MATCH(B28,'35h'!$F$67:$O$67,0)),INDEX('35h'!$F$70:$O$89,MATCH(D28,'35h'!$D$70:$D$89,0),MATCH(EDATE(B28,-6),'35h'!$F$67:$O$67,0)))),IF(MONTH(B28)=4,INDEX('35h'!$F$70:$O$89,MATCH(D28,'35h'!$D$70:$D$89,0),MATCH(B28,'35h'!$F$67:$O$67,0)),INDEX('35h'!$F$70:$O$89,MATCH(D28,'35h'!$D$70:$D$89,0),MATCH(EDATE(B28,-6),'35h'!$F$67:$O$67,0))),0),$E$8=37.5,IF(ISNUMBER(IF(MONTH(B28)=4,INDEX('37,5h'!$F$70:$O$89,MATCH(D28,'37,5h'!$D$70:$D$89,0),MATCH(B28,'37,5h'!$F$67:$O$67,0)),INDEX('37,5h'!$F$70:$O$89,MATCH(D28,'37,5h'!$D$70:$D$89,0),MATCH(EDATE(B28,-6),'37,5h'!$F$67:$O$67,0)))),IF(MONTH(B28)=4,INDEX('37,5h'!$F$70:$O$89,MATCH(D28,'37,5h'!$D$70:$D$89,0),MATCH(B28,'37,5h'!$F$67:$O$67,0)),INDEX('37,5h'!$F$70:$O$89,MATCH(D28,'37,5h'!$D$70:$D$89,0),MATCH(EDATE(B28,-6),'37,5h'!$F$67:$O$67,0))),0),$E$8=40,IF(ISNUMBER(IF(MONTH(B28)=4,INDEX('40h'!$F$70:$O$89,MATCH(D28,'40h'!$D$70:$D$89,0),MATCH(B28,'40h'!$F$67:$O$67,0)),INDEX('40h'!$F$70:$O$89,MATCH(D28,'40h'!$D$70:$D$89,0),MATCH(EDATE(B28,-6),'40h'!$F$67:$O$67,0)))),IF(MONTH(B28)=4,INDEX('40h'!$F$70:$O$89,MATCH(D28,'40h'!$D$70:$D$89,0),MATCH(B28,'40h'!$F$67:$O$67,0)),INDEX('40h'!$F$70:$O$89,MATCH(D28,'40h'!$D$70:$D$89,0),MATCH(EDATE(B28,-6),'40h'!$F$67:$O$67,0))),0))</f>
        <v>154505.14285714287</v>
      </c>
      <c r="I28" s="149">
        <f t="shared" si="1"/>
        <v>1040</v>
      </c>
      <c r="J28" s="104"/>
      <c r="K28" s="104"/>
      <c r="L28" s="104"/>
      <c r="M28" s="190">
        <f t="shared" si="8"/>
        <v>1040</v>
      </c>
      <c r="N28" s="148">
        <f t="shared" si="2"/>
        <v>74881.366697694815</v>
      </c>
      <c r="O28" s="148">
        <f t="shared" si="3"/>
        <v>76986.08114767565</v>
      </c>
      <c r="P28" s="129"/>
      <c r="Q28" s="148">
        <f t="shared" si="5"/>
        <v>2104.7144499808346</v>
      </c>
      <c r="R28" s="148"/>
      <c r="S28" s="150">
        <f t="shared" si="6"/>
        <v>2104.7144499808346</v>
      </c>
      <c r="T28" s="153">
        <f t="shared" si="7"/>
        <v>2146.8087389804514</v>
      </c>
      <c r="U28" s="195">
        <f t="shared" si="4"/>
        <v>2146.8087389804514</v>
      </c>
      <c r="V28" s="189"/>
      <c r="W28" s="210"/>
    </row>
    <row r="29" spans="1:23" x14ac:dyDescent="0.25">
      <c r="A29" s="167"/>
      <c r="B29" s="147">
        <v>43374</v>
      </c>
      <c r="C29" s="147">
        <v>43384</v>
      </c>
      <c r="D29" s="190">
        <f>VLOOKUP(C29,'Calcul de l''échelon de départ'!$H$7:I32,2,0)</f>
        <v>20</v>
      </c>
      <c r="E29" s="190" t="str">
        <f t="shared" si="0"/>
        <v>18E</v>
      </c>
      <c r="F29" s="104"/>
      <c r="G29" s="148" cm="1">
        <f t="array" ref="G29">_xlfn.IFS(AND($E$8=35,$E$7="ARQ"),IF(ISNUMBER(IF(MONTH(B29)=4,INDEX('35h'!$F$8:$O$27,MATCH(D29,'35h'!$D$8:$D$27,0),MATCH(B29,'35h'!$F$5:$O$5,0)),INDEX('35h'!$F$8:$O$27,MATCH(D29,'35h'!$D$8:$D$27,0),MATCH(EDATE(B29,-6),'35h'!$F$5:$O$5,0)))),IF(MONTH(B29)=4,INDEX('35h'!$F$8:$O$27,MATCH(D29,'35h'!$D$8:$D$27,0),MATCH(B29,'35h'!$F$5:$O$5,0)),INDEX('35h'!$F$8:$O$27,MATCH(D29,'35h'!$D$8:$D$27,0),MATCH(EDATE(B29,-6),'35h'!$F$5:$O$5,0))),0),AND($E$8=37.5,$E$7="ARQ"),IF(ISNUMBER(IF(MONTH(B29)=4,INDEX('37,5h'!$F$8:$O$28,MATCH(D29,'37,5h'!$D$8:$D$28,0),MATCH(B29,'37,5h'!$F$5:$O$5,0)),INDEX('37,5h'!$F$8:$O$28,MATCH(D29,'37,5h'!$D$8:$D$28,0),MATCH(EDATE(B29,-6),'37,5h'!$F$5:$O$5,0)))),IF(MONTH(B29)=4,INDEX('37,5h'!$F$8:$O$28,MATCH(D29,'37,5h'!$D$8:$D$28,0),MATCH(B29,'37,5h'!$F$5:$O$5,0)),INDEX('37,5h'!$F$8:$O$28,MATCH(D29,'37,5h'!$D$8:$D$28,0),MATCH(EDATE(B29,-6),'37,5h'!$F$5:$O$5,0))),0),AND($E$8=40,$E$7="ARQ"),IF(ISNUMBER(IF(MONTH(B29)=4,INDEX('40h'!$F$8:$O$28,MATCH(D29,'40h'!$D$8:$D$28,0),MATCH(B29,'40h'!$F$5:$O$5,0)),INDEX('40h'!$F$8:$O$28,MATCH(D29,'40h'!$D$8:$D$28,0),MATCH(EDATE(B29,-6),'40h'!$F$5:$O$5,0)))),IF(MONTH(B29)=4,INDEX('40h'!$F$8:$O$28,MATCH(D29,'40h'!$D$8:$D$28,0),MATCH(B29,'40h'!$F$5:$O$5,0)),INDEX('40h'!$F$8:$O$28,MATCH(D29,'40h'!$D$8:$D$28,0),MATCH(EDATE(B29,-6),'40h'!$F$5:$O$5,0))),0),AND($E$8=35,$E$7="Fonction publique"),IF(ISNUMBER(IF(MONTH(B29)=4,INDEX('35h'!$F$39:$O$58,MATCH(D29,'35h'!$D$39:$D$58,0),MATCH(B29,'35h'!$F$36:$O$36,0)),INDEX('35h'!$F$39:$O$58,MATCH(D29,'35h'!$D$39:$D$58,0),MATCH(EDATE(B29,-6),'35h'!$F$36:$O$36,0)))),IF(MONTH(B29)=4,INDEX('35h'!$F$39:$O$58,MATCH(D29,'35h'!$D$39:$D$58,0),MATCH(B29,'35h'!$F$36:$O$36,0)),INDEX('35h'!$F$39:$O$58,MATCH(D29,'35h'!$D$39:$D$58,0),MATCH(EDATE(B29,-6),'35h'!$F$36:$O$36,0))),0),AND($E$8=37.5,$E$7="Fonction publique"),IF(ISNUMBER(IF(MONTH(B29)=4,INDEX('37,5h'!$F$39:$O$58,MATCH(D29,'37,5h'!$D$39:$D$58,0),MATCH(B29,'37,5h'!$F$36:$O$36,0)),INDEX('37,5h'!$F$39:$O$58,MATCH(D29,'37,5h'!$D$39:$D$58,0),MATCH(EDATE(B29,-6),'37,5h'!$F$36:$O$36,0)))),IF(MONTH(B29)=4,INDEX('37,5h'!$F$39:$O$58,MATCH(D29,'37,5h'!$D$39:$D$58,0),MATCH(B29,'37,5h'!$F$36:$O$36,0)),INDEX('37,5h'!$F$39:$O$58,MATCH(D29,'37,5h'!$D$39:$D$58,0),MATCH(EDATE(B29,-6),'37,5h'!$F$36:$O$36,0))),0),AND($E$8=40,$E$7="Fonction publique"),IF(ISNUMBER(IF(MONTH(B29)=4,INDEX('40h'!$F$39:$O$58,MATCH(D29,'40h'!$D$39:$D$58,0),MATCH(B29,'40h'!$F$36:$O$36,0)),INDEX('40h'!$F$39:$O$58,MATCH(D29,'40h'!$D$39:$D$58,0),MATCH(EDATE(B29,-6),'40h'!$F$36:$O$36,0)))),IF(MONTH(B29)=4,INDEX('40h'!$F$39:$O$58,MATCH(D29,'40h'!$D$39:$D$58,0),MATCH(B29,'40h'!$F$36:$O$36,0)),INDEX('40h'!$F$39:$O$58,MATCH(D29,'40h'!$D$39:$D$58,0),MATCH(EDATE(B29,-6),'40h'!$F$36:$O$36,0))),0))</f>
        <v>150281.14285714287</v>
      </c>
      <c r="H29" s="148" cm="1">
        <f t="array" ref="H29">_xlfn.IFS($E$8=35,IF(ISNUMBER(IF(MONTH(B29)=4,INDEX('35h'!$F$70:$O$89,MATCH(D29,'35h'!$D$70:$D$89,0),MATCH(B29,'35h'!$F$67:$O$67,0)),INDEX('35h'!$F$70:$O$89,MATCH(D29,'35h'!$D$70:$D$89,0),MATCH(EDATE(B29,-6),'35h'!$F$67:$O$67,0)))),IF(MONTH(B29)=4,INDEX('35h'!$F$70:$O$89,MATCH(D29,'35h'!$D$70:$D$89,0),MATCH(B29,'35h'!$F$67:$O$67,0)),INDEX('35h'!$F$70:$O$89,MATCH(D29,'35h'!$D$70:$D$89,0),MATCH(EDATE(B29,-6),'35h'!$F$67:$O$67,0))),0),$E$8=37.5,IF(ISNUMBER(IF(MONTH(B29)=4,INDEX('37,5h'!$F$70:$O$89,MATCH(D29,'37,5h'!$D$70:$D$89,0),MATCH(B29,'37,5h'!$F$67:$O$67,0)),INDEX('37,5h'!$F$70:$O$89,MATCH(D29,'37,5h'!$D$70:$D$89,0),MATCH(EDATE(B29,-6),'37,5h'!$F$67:$O$67,0)))),IF(MONTH(B29)=4,INDEX('37,5h'!$F$70:$O$89,MATCH(D29,'37,5h'!$D$70:$D$89,0),MATCH(B29,'37,5h'!$F$67:$O$67,0)),INDEX('37,5h'!$F$70:$O$89,MATCH(D29,'37,5h'!$D$70:$D$89,0),MATCH(EDATE(B29,-6),'37,5h'!$F$67:$O$67,0))),0),$E$8=40,IF(ISNUMBER(IF(MONTH(B29)=4,INDEX('40h'!$F$70:$O$89,MATCH(D29,'40h'!$D$70:$D$89,0),MATCH(B29,'40h'!$F$67:$O$67,0)),INDEX('40h'!$F$70:$O$89,MATCH(D29,'40h'!$D$70:$D$89,0),MATCH(EDATE(B29,-6),'40h'!$F$67:$O$67,0)))),IF(MONTH(B29)=4,INDEX('40h'!$F$70:$O$89,MATCH(D29,'40h'!$D$70:$D$89,0),MATCH(B29,'40h'!$F$67:$O$67,0)),INDEX('40h'!$F$70:$O$89,MATCH(D29,'40h'!$D$70:$D$89,0),MATCH(EDATE(B29,-6),'40h'!$F$67:$O$67,0))),0))</f>
        <v>154505.14285714287</v>
      </c>
      <c r="I29" s="149">
        <f t="shared" si="1"/>
        <v>1040</v>
      </c>
      <c r="J29" s="104"/>
      <c r="K29" s="104"/>
      <c r="L29" s="104"/>
      <c r="M29" s="190">
        <f t="shared" si="8"/>
        <v>1040</v>
      </c>
      <c r="N29" s="148">
        <f t="shared" si="2"/>
        <v>74881.366697694815</v>
      </c>
      <c r="O29" s="148">
        <f t="shared" si="3"/>
        <v>76986.08114767565</v>
      </c>
      <c r="P29" s="129"/>
      <c r="Q29" s="148">
        <f t="shared" si="5"/>
        <v>2104.7144499808346</v>
      </c>
      <c r="R29" s="148"/>
      <c r="S29" s="150">
        <f t="shared" si="6"/>
        <v>2104.7144499808346</v>
      </c>
      <c r="T29" s="153">
        <f t="shared" si="7"/>
        <v>2146.8087389804514</v>
      </c>
      <c r="U29" s="195">
        <f t="shared" si="4"/>
        <v>2146.8087389804514</v>
      </c>
      <c r="V29" s="189"/>
      <c r="W29" s="210"/>
    </row>
    <row r="30" spans="1:23" x14ac:dyDescent="0.25">
      <c r="A30" s="167"/>
      <c r="B30" s="147">
        <v>43556</v>
      </c>
      <c r="C30" s="147">
        <v>43566</v>
      </c>
      <c r="D30" s="190">
        <f>VLOOKUP(C30,'Calcul de l''échelon de départ'!$H$7:I33,2,0)</f>
        <v>20</v>
      </c>
      <c r="E30" s="190" t="str">
        <f t="shared" si="0"/>
        <v>18E</v>
      </c>
      <c r="F30" s="104"/>
      <c r="G30" s="148" cm="1">
        <f t="array" ref="G30">_xlfn.IFS(AND($E$8=35,$E$7="ARQ"),IF(ISNUMBER(IF(MONTH(B30)=4,INDEX('35h'!$F$8:$O$27,MATCH(D30,'35h'!$D$8:$D$27,0),MATCH(B30,'35h'!$F$5:$O$5,0)),INDEX('35h'!$F$8:$O$27,MATCH(D30,'35h'!$D$8:$D$27,0),MATCH(EDATE(B30,-6),'35h'!$F$5:$O$5,0)))),IF(MONTH(B30)=4,INDEX('35h'!$F$8:$O$27,MATCH(D30,'35h'!$D$8:$D$27,0),MATCH(B30,'35h'!$F$5:$O$5,0)),INDEX('35h'!$F$8:$O$27,MATCH(D30,'35h'!$D$8:$D$27,0),MATCH(EDATE(B30,-6),'35h'!$F$5:$O$5,0))),0),AND($E$8=37.5,$E$7="ARQ"),IF(ISNUMBER(IF(MONTH(B30)=4,INDEX('37,5h'!$F$8:$O$28,MATCH(D30,'37,5h'!$D$8:$D$28,0),MATCH(B30,'37,5h'!$F$5:$O$5,0)),INDEX('37,5h'!$F$8:$O$28,MATCH(D30,'37,5h'!$D$8:$D$28,0),MATCH(EDATE(B30,-6),'37,5h'!$F$5:$O$5,0)))),IF(MONTH(B30)=4,INDEX('37,5h'!$F$8:$O$28,MATCH(D30,'37,5h'!$D$8:$D$28,0),MATCH(B30,'37,5h'!$F$5:$O$5,0)),INDEX('37,5h'!$F$8:$O$28,MATCH(D30,'37,5h'!$D$8:$D$28,0),MATCH(EDATE(B30,-6),'37,5h'!$F$5:$O$5,0))),0),AND($E$8=40,$E$7="ARQ"),IF(ISNUMBER(IF(MONTH(B30)=4,INDEX('40h'!$F$8:$O$28,MATCH(D30,'40h'!$D$8:$D$28,0),MATCH(B30,'40h'!$F$5:$O$5,0)),INDEX('40h'!$F$8:$O$28,MATCH(D30,'40h'!$D$8:$D$28,0),MATCH(EDATE(B30,-6),'40h'!$F$5:$O$5,0)))),IF(MONTH(B30)=4,INDEX('40h'!$F$8:$O$28,MATCH(D30,'40h'!$D$8:$D$28,0),MATCH(B30,'40h'!$F$5:$O$5,0)),INDEX('40h'!$F$8:$O$28,MATCH(D30,'40h'!$D$8:$D$28,0),MATCH(EDATE(B30,-6),'40h'!$F$5:$O$5,0))),0),AND($E$8=35,$E$7="Fonction publique"),IF(ISNUMBER(IF(MONTH(B30)=4,INDEX('35h'!$F$39:$O$58,MATCH(D30,'35h'!$D$39:$D$58,0),MATCH(B30,'35h'!$F$36:$O$36,0)),INDEX('35h'!$F$39:$O$58,MATCH(D30,'35h'!$D$39:$D$58,0),MATCH(EDATE(B30,-6),'35h'!$F$36:$O$36,0)))),IF(MONTH(B30)=4,INDEX('35h'!$F$39:$O$58,MATCH(D30,'35h'!$D$39:$D$58,0),MATCH(B30,'35h'!$F$36:$O$36,0)),INDEX('35h'!$F$39:$O$58,MATCH(D30,'35h'!$D$39:$D$58,0),MATCH(EDATE(B30,-6),'35h'!$F$36:$O$36,0))),0),AND($E$8=37.5,$E$7="Fonction publique"),IF(ISNUMBER(IF(MONTH(B30)=4,INDEX('37,5h'!$F$39:$O$58,MATCH(D30,'37,5h'!$D$39:$D$58,0),MATCH(B30,'37,5h'!$F$36:$O$36,0)),INDEX('37,5h'!$F$39:$O$58,MATCH(D30,'37,5h'!$D$39:$D$58,0),MATCH(EDATE(B30,-6),'37,5h'!$F$36:$O$36,0)))),IF(MONTH(B30)=4,INDEX('37,5h'!$F$39:$O$58,MATCH(D30,'37,5h'!$D$39:$D$58,0),MATCH(B30,'37,5h'!$F$36:$O$36,0)),INDEX('37,5h'!$F$39:$O$58,MATCH(D30,'37,5h'!$D$39:$D$58,0),MATCH(EDATE(B30,-6),'37,5h'!$F$36:$O$36,0))),0),AND($E$8=40,$E$7="Fonction publique"),IF(ISNUMBER(IF(MONTH(B30)=4,INDEX('40h'!$F$39:$O$58,MATCH(D30,'40h'!$D$39:$D$58,0),MATCH(B30,'40h'!$F$36:$O$36,0)),INDEX('40h'!$F$39:$O$58,MATCH(D30,'40h'!$D$39:$D$58,0),MATCH(EDATE(B30,-6),'40h'!$F$36:$O$36,0)))),IF(MONTH(B30)=4,INDEX('40h'!$F$39:$O$58,MATCH(D30,'40h'!$D$39:$D$58,0),MATCH(B30,'40h'!$F$36:$O$36,0)),INDEX('40h'!$F$39:$O$58,MATCH(D30,'40h'!$D$39:$D$58,0),MATCH(EDATE(B30,-6),'40h'!$F$36:$O$36,0))),0))</f>
        <v>150281.14285714287</v>
      </c>
      <c r="H30" s="148" cm="1">
        <f t="array" ref="H30">_xlfn.IFS($E$8=35,IF(ISNUMBER(IF(MONTH(B30)=4,INDEX('35h'!$F$70:$O$89,MATCH(D30,'35h'!$D$70:$D$89,0),MATCH(B30,'35h'!$F$67:$O$67,0)),INDEX('35h'!$F$70:$O$89,MATCH(D30,'35h'!$D$70:$D$89,0),MATCH(EDATE(B30,-6),'35h'!$F$67:$O$67,0)))),IF(MONTH(B30)=4,INDEX('35h'!$F$70:$O$89,MATCH(D30,'35h'!$D$70:$D$89,0),MATCH(B30,'35h'!$F$67:$O$67,0)),INDEX('35h'!$F$70:$O$89,MATCH(D30,'35h'!$D$70:$D$89,0),MATCH(EDATE(B30,-6),'35h'!$F$67:$O$67,0))),0),$E$8=37.5,IF(ISNUMBER(IF(MONTH(B30)=4,INDEX('37,5h'!$F$70:$O$89,MATCH(D30,'37,5h'!$D$70:$D$89,0),MATCH(B30,'37,5h'!$F$67:$O$67,0)),INDEX('37,5h'!$F$70:$O$89,MATCH(D30,'37,5h'!$D$70:$D$89,0),MATCH(EDATE(B30,-6),'37,5h'!$F$67:$O$67,0)))),IF(MONTH(B30)=4,INDEX('37,5h'!$F$70:$O$89,MATCH(D30,'37,5h'!$D$70:$D$89,0),MATCH(B30,'37,5h'!$F$67:$O$67,0)),INDEX('37,5h'!$F$70:$O$89,MATCH(D30,'37,5h'!$D$70:$D$89,0),MATCH(EDATE(B30,-6),'37,5h'!$F$67:$O$67,0))),0),$E$8=40,IF(ISNUMBER(IF(MONTH(B30)=4,INDEX('40h'!$F$70:$O$89,MATCH(D30,'40h'!$D$70:$D$89,0),MATCH(B30,'40h'!$F$67:$O$67,0)),INDEX('40h'!$F$70:$O$89,MATCH(D30,'40h'!$D$70:$D$89,0),MATCH(EDATE(B30,-6),'40h'!$F$67:$O$67,0)))),IF(MONTH(B30)=4,INDEX('40h'!$F$70:$O$89,MATCH(D30,'40h'!$D$70:$D$89,0),MATCH(B30,'40h'!$F$67:$O$67,0)),INDEX('40h'!$F$70:$O$89,MATCH(D30,'40h'!$D$70:$D$89,0),MATCH(EDATE(B30,-6),'40h'!$F$67:$O$67,0))),0))</f>
        <v>161457.14285714287</v>
      </c>
      <c r="I30" s="149">
        <f t="shared" si="1"/>
        <v>1040</v>
      </c>
      <c r="J30" s="104"/>
      <c r="K30" s="104"/>
      <c r="L30" s="104"/>
      <c r="M30" s="190">
        <f t="shared" si="8"/>
        <v>1040</v>
      </c>
      <c r="N30" s="148">
        <f t="shared" si="2"/>
        <v>74881.366697694815</v>
      </c>
      <c r="O30" s="148">
        <f t="shared" si="3"/>
        <v>80450.090346602432</v>
      </c>
      <c r="P30" s="129"/>
      <c r="Q30" s="148">
        <f t="shared" si="5"/>
        <v>5568.7236489076167</v>
      </c>
      <c r="R30" s="148">
        <f>-(I30+J30)*0.16</f>
        <v>-166.4</v>
      </c>
      <c r="S30" s="150">
        <f t="shared" si="6"/>
        <v>5402.3236489076171</v>
      </c>
      <c r="T30" s="153">
        <f t="shared" si="7"/>
        <v>5513.6981218857691</v>
      </c>
      <c r="U30" s="195">
        <f t="shared" si="4"/>
        <v>5513.6981218857691</v>
      </c>
      <c r="V30" s="189"/>
      <c r="W30" s="210"/>
    </row>
    <row r="31" spans="1:23" x14ac:dyDescent="0.25">
      <c r="A31" s="167"/>
      <c r="B31" s="147">
        <v>43739</v>
      </c>
      <c r="C31" s="147">
        <v>43748</v>
      </c>
      <c r="D31" s="190">
        <f>VLOOKUP(C31,'Calcul de l''échelon de départ'!$H$7:I34,2,0)</f>
        <v>20</v>
      </c>
      <c r="E31" s="190" t="str">
        <f t="shared" si="0"/>
        <v>18E</v>
      </c>
      <c r="F31" s="104"/>
      <c r="G31" s="148" cm="1">
        <f t="array" ref="G31">_xlfn.IFS(AND($E$8=35,$E$7="ARQ"),IF(ISNUMBER(IF(MONTH(B31)=4,INDEX('35h'!$F$8:$O$27,MATCH(D31,'35h'!$D$8:$D$27,0),MATCH(B31,'35h'!$F$5:$O$5,0)),INDEX('35h'!$F$8:$O$27,MATCH(D31,'35h'!$D$8:$D$27,0),MATCH(EDATE(B31,-6),'35h'!$F$5:$O$5,0)))),IF(MONTH(B31)=4,INDEX('35h'!$F$8:$O$27,MATCH(D31,'35h'!$D$8:$D$27,0),MATCH(B31,'35h'!$F$5:$O$5,0)),INDEX('35h'!$F$8:$O$27,MATCH(D31,'35h'!$D$8:$D$27,0),MATCH(EDATE(B31,-6),'35h'!$F$5:$O$5,0))),0),AND($E$8=37.5,$E$7="ARQ"),IF(ISNUMBER(IF(MONTH(B31)=4,INDEX('37,5h'!$F$8:$O$28,MATCH(D31,'37,5h'!$D$8:$D$28,0),MATCH(B31,'37,5h'!$F$5:$O$5,0)),INDEX('37,5h'!$F$8:$O$28,MATCH(D31,'37,5h'!$D$8:$D$28,0),MATCH(EDATE(B31,-6),'37,5h'!$F$5:$O$5,0)))),IF(MONTH(B31)=4,INDEX('37,5h'!$F$8:$O$28,MATCH(D31,'37,5h'!$D$8:$D$28,0),MATCH(B31,'37,5h'!$F$5:$O$5,0)),INDEX('37,5h'!$F$8:$O$28,MATCH(D31,'37,5h'!$D$8:$D$28,0),MATCH(EDATE(B31,-6),'37,5h'!$F$5:$O$5,0))),0),AND($E$8=40,$E$7="ARQ"),IF(ISNUMBER(IF(MONTH(B31)=4,INDEX('40h'!$F$8:$O$28,MATCH(D31,'40h'!$D$8:$D$28,0),MATCH(B31,'40h'!$F$5:$O$5,0)),INDEX('40h'!$F$8:$O$28,MATCH(D31,'40h'!$D$8:$D$28,0),MATCH(EDATE(B31,-6),'40h'!$F$5:$O$5,0)))),IF(MONTH(B31)=4,INDEX('40h'!$F$8:$O$28,MATCH(D31,'40h'!$D$8:$D$28,0),MATCH(B31,'40h'!$F$5:$O$5,0)),INDEX('40h'!$F$8:$O$28,MATCH(D31,'40h'!$D$8:$D$28,0),MATCH(EDATE(B31,-6),'40h'!$F$5:$O$5,0))),0),AND($E$8=35,$E$7="Fonction publique"),IF(ISNUMBER(IF(MONTH(B31)=4,INDEX('35h'!$F$39:$O$58,MATCH(D31,'35h'!$D$39:$D$58,0),MATCH(B31,'35h'!$F$36:$O$36,0)),INDEX('35h'!$F$39:$O$58,MATCH(D31,'35h'!$D$39:$D$58,0),MATCH(EDATE(B31,-6),'35h'!$F$36:$O$36,0)))),IF(MONTH(B31)=4,INDEX('35h'!$F$39:$O$58,MATCH(D31,'35h'!$D$39:$D$58,0),MATCH(B31,'35h'!$F$36:$O$36,0)),INDEX('35h'!$F$39:$O$58,MATCH(D31,'35h'!$D$39:$D$58,0),MATCH(EDATE(B31,-6),'35h'!$F$36:$O$36,0))),0),AND($E$8=37.5,$E$7="Fonction publique"),IF(ISNUMBER(IF(MONTH(B31)=4,INDEX('37,5h'!$F$39:$O$58,MATCH(D31,'37,5h'!$D$39:$D$58,0),MATCH(B31,'37,5h'!$F$36:$O$36,0)),INDEX('37,5h'!$F$39:$O$58,MATCH(D31,'37,5h'!$D$39:$D$58,0),MATCH(EDATE(B31,-6),'37,5h'!$F$36:$O$36,0)))),IF(MONTH(B31)=4,INDEX('37,5h'!$F$39:$O$58,MATCH(D31,'37,5h'!$D$39:$D$58,0),MATCH(B31,'37,5h'!$F$36:$O$36,0)),INDEX('37,5h'!$F$39:$O$58,MATCH(D31,'37,5h'!$D$39:$D$58,0),MATCH(EDATE(B31,-6),'37,5h'!$F$36:$O$36,0))),0),AND($E$8=40,$E$7="Fonction publique"),IF(ISNUMBER(IF(MONTH(B31)=4,INDEX('40h'!$F$39:$O$58,MATCH(D31,'40h'!$D$39:$D$58,0),MATCH(B31,'40h'!$F$36:$O$36,0)),INDEX('40h'!$F$39:$O$58,MATCH(D31,'40h'!$D$39:$D$58,0),MATCH(EDATE(B31,-6),'40h'!$F$36:$O$36,0)))),IF(MONTH(B31)=4,INDEX('40h'!$F$39:$O$58,MATCH(D31,'40h'!$D$39:$D$58,0),MATCH(B31,'40h'!$F$36:$O$36,0)),INDEX('40h'!$F$39:$O$58,MATCH(D31,'40h'!$D$39:$D$58,0),MATCH(EDATE(B31,-6),'40h'!$F$36:$O$36,0))),0))</f>
        <v>150281.14285714287</v>
      </c>
      <c r="H31" s="148" cm="1">
        <f t="array" ref="H31">_xlfn.IFS($E$8=35,IF(ISNUMBER(IF(MONTH(B31)=4,INDEX('35h'!$F$70:$O$89,MATCH(D31,'35h'!$D$70:$D$89,0),MATCH(B31,'35h'!$F$67:$O$67,0)),INDEX('35h'!$F$70:$O$89,MATCH(D31,'35h'!$D$70:$D$89,0),MATCH(EDATE(B31,-6),'35h'!$F$67:$O$67,0)))),IF(MONTH(B31)=4,INDEX('35h'!$F$70:$O$89,MATCH(D31,'35h'!$D$70:$D$89,0),MATCH(B31,'35h'!$F$67:$O$67,0)),INDEX('35h'!$F$70:$O$89,MATCH(D31,'35h'!$D$70:$D$89,0),MATCH(EDATE(B31,-6),'35h'!$F$67:$O$67,0))),0),$E$8=37.5,IF(ISNUMBER(IF(MONTH(B31)=4,INDEX('37,5h'!$F$70:$O$89,MATCH(D31,'37,5h'!$D$70:$D$89,0),MATCH(B31,'37,5h'!$F$67:$O$67,0)),INDEX('37,5h'!$F$70:$O$89,MATCH(D31,'37,5h'!$D$70:$D$89,0),MATCH(EDATE(B31,-6),'37,5h'!$F$67:$O$67,0)))),IF(MONTH(B31)=4,INDEX('37,5h'!$F$70:$O$89,MATCH(D31,'37,5h'!$D$70:$D$89,0),MATCH(B31,'37,5h'!$F$67:$O$67,0)),INDEX('37,5h'!$F$70:$O$89,MATCH(D31,'37,5h'!$D$70:$D$89,0),MATCH(EDATE(B31,-6),'37,5h'!$F$67:$O$67,0))),0),$E$8=40,IF(ISNUMBER(IF(MONTH(B31)=4,INDEX('40h'!$F$70:$O$89,MATCH(D31,'40h'!$D$70:$D$89,0),MATCH(B31,'40h'!$F$67:$O$67,0)),INDEX('40h'!$F$70:$O$89,MATCH(D31,'40h'!$D$70:$D$89,0),MATCH(EDATE(B31,-6),'40h'!$F$67:$O$67,0)))),IF(MONTH(B31)=4,INDEX('40h'!$F$70:$O$89,MATCH(D31,'40h'!$D$70:$D$89,0),MATCH(B31,'40h'!$F$67:$O$67,0)),INDEX('40h'!$F$70:$O$89,MATCH(D31,'40h'!$D$70:$D$89,0),MATCH(EDATE(B31,-6),'40h'!$F$67:$O$67,0))),0))</f>
        <v>161457.14285714287</v>
      </c>
      <c r="I31" s="149">
        <f t="shared" si="1"/>
        <v>1040</v>
      </c>
      <c r="J31" s="104"/>
      <c r="K31" s="104"/>
      <c r="L31" s="104"/>
      <c r="M31" s="190">
        <f t="shared" si="8"/>
        <v>1040</v>
      </c>
      <c r="N31" s="148">
        <f t="shared" si="2"/>
        <v>74881.366697694815</v>
      </c>
      <c r="O31" s="148">
        <f t="shared" si="3"/>
        <v>80450.090346602432</v>
      </c>
      <c r="P31" s="129"/>
      <c r="Q31" s="148">
        <f t="shared" si="5"/>
        <v>5568.7236489076167</v>
      </c>
      <c r="R31" s="148">
        <f>-(I31+J31)*0.16</f>
        <v>-166.4</v>
      </c>
      <c r="S31" s="150">
        <f t="shared" si="6"/>
        <v>5402.3236489076171</v>
      </c>
      <c r="T31" s="153">
        <f t="shared" si="7"/>
        <v>5513.6981218857691</v>
      </c>
      <c r="U31" s="195">
        <f t="shared" si="4"/>
        <v>5513.6981218857691</v>
      </c>
      <c r="V31" s="189"/>
      <c r="W31" s="210"/>
    </row>
    <row r="32" spans="1:23" x14ac:dyDescent="0.25">
      <c r="A32" s="167"/>
      <c r="B32" s="147">
        <v>43922</v>
      </c>
      <c r="C32" s="147">
        <v>43930</v>
      </c>
      <c r="D32" s="190">
        <f>VLOOKUP(C32,'Calcul de l''échelon de départ'!$H$7:I35,2,0)</f>
        <v>20</v>
      </c>
      <c r="E32" s="190" t="str">
        <f t="shared" si="0"/>
        <v>18E</v>
      </c>
      <c r="F32" s="104"/>
      <c r="G32" s="148" cm="1">
        <f t="array" ref="G32">_xlfn.IFS(AND($E$8=35,$E$7="ARQ"),IF(ISNUMBER(IF(MONTH(B32)=4,INDEX('35h'!$F$8:$O$27,MATCH(D32,'35h'!$D$8:$D$27,0),MATCH(B32,'35h'!$F$5:$O$5,0)),INDEX('35h'!$F$8:$O$27,MATCH(D32,'35h'!$D$8:$D$27,0),MATCH(EDATE(B32,-6),'35h'!$F$5:$O$5,0)))),IF(MONTH(B32)=4,INDEX('35h'!$F$8:$O$27,MATCH(D32,'35h'!$D$8:$D$27,0),MATCH(B32,'35h'!$F$5:$O$5,0)),INDEX('35h'!$F$8:$O$27,MATCH(D32,'35h'!$D$8:$D$27,0),MATCH(EDATE(B32,-6),'35h'!$F$5:$O$5,0))),0),AND($E$8=37.5,$E$7="ARQ"),IF(ISNUMBER(IF(MONTH(B32)=4,INDEX('37,5h'!$F$8:$O$28,MATCH(D32,'37,5h'!$D$8:$D$28,0),MATCH(B32,'37,5h'!$F$5:$O$5,0)),INDEX('37,5h'!$F$8:$O$28,MATCH(D32,'37,5h'!$D$8:$D$28,0),MATCH(EDATE(B32,-6),'37,5h'!$F$5:$O$5,0)))),IF(MONTH(B32)=4,INDEX('37,5h'!$F$8:$O$28,MATCH(D32,'37,5h'!$D$8:$D$28,0),MATCH(B32,'37,5h'!$F$5:$O$5,0)),INDEX('37,5h'!$F$8:$O$28,MATCH(D32,'37,5h'!$D$8:$D$28,0),MATCH(EDATE(B32,-6),'37,5h'!$F$5:$O$5,0))),0),AND($E$8=40,$E$7="ARQ"),IF(ISNUMBER(IF(MONTH(B32)=4,INDEX('40h'!$F$8:$O$28,MATCH(D32,'40h'!$D$8:$D$28,0),MATCH(B32,'40h'!$F$5:$O$5,0)),INDEX('40h'!$F$8:$O$28,MATCH(D32,'40h'!$D$8:$D$28,0),MATCH(EDATE(B32,-6),'40h'!$F$5:$O$5,0)))),IF(MONTH(B32)=4,INDEX('40h'!$F$8:$O$28,MATCH(D32,'40h'!$D$8:$D$28,0),MATCH(B32,'40h'!$F$5:$O$5,0)),INDEX('40h'!$F$8:$O$28,MATCH(D32,'40h'!$D$8:$D$28,0),MATCH(EDATE(B32,-6),'40h'!$F$5:$O$5,0))),0),AND($E$8=35,$E$7="Fonction publique"),IF(ISNUMBER(IF(MONTH(B32)=4,INDEX('35h'!$F$39:$O$58,MATCH(D32,'35h'!$D$39:$D$58,0),MATCH(B32,'35h'!$F$36:$O$36,0)),INDEX('35h'!$F$39:$O$58,MATCH(D32,'35h'!$D$39:$D$58,0),MATCH(EDATE(B32,-6),'35h'!$F$36:$O$36,0)))),IF(MONTH(B32)=4,INDEX('35h'!$F$39:$O$58,MATCH(D32,'35h'!$D$39:$D$58,0),MATCH(B32,'35h'!$F$36:$O$36,0)),INDEX('35h'!$F$39:$O$58,MATCH(D32,'35h'!$D$39:$D$58,0),MATCH(EDATE(B32,-6),'35h'!$F$36:$O$36,0))),0),AND($E$8=37.5,$E$7="Fonction publique"),IF(ISNUMBER(IF(MONTH(B32)=4,INDEX('37,5h'!$F$39:$O$58,MATCH(D32,'37,5h'!$D$39:$D$58,0),MATCH(B32,'37,5h'!$F$36:$O$36,0)),INDEX('37,5h'!$F$39:$O$58,MATCH(D32,'37,5h'!$D$39:$D$58,0),MATCH(EDATE(B32,-6),'37,5h'!$F$36:$O$36,0)))),IF(MONTH(B32)=4,INDEX('37,5h'!$F$39:$O$58,MATCH(D32,'37,5h'!$D$39:$D$58,0),MATCH(B32,'37,5h'!$F$36:$O$36,0)),INDEX('37,5h'!$F$39:$O$58,MATCH(D32,'37,5h'!$D$39:$D$58,0),MATCH(EDATE(B32,-6),'37,5h'!$F$36:$O$36,0))),0),AND($E$8=40,$E$7="Fonction publique"),IF(ISNUMBER(IF(MONTH(B32)=4,INDEX('40h'!$F$39:$O$58,MATCH(D32,'40h'!$D$39:$D$58,0),MATCH(B32,'40h'!$F$36:$O$36,0)),INDEX('40h'!$F$39:$O$58,MATCH(D32,'40h'!$D$39:$D$58,0),MATCH(EDATE(B32,-6),'40h'!$F$36:$O$36,0)))),IF(MONTH(B32)=4,INDEX('40h'!$F$39:$O$58,MATCH(D32,'40h'!$D$39:$D$58,0),MATCH(B32,'40h'!$F$36:$O$36,0)),INDEX('40h'!$F$39:$O$58,MATCH(D32,'40h'!$D$39:$D$58,0),MATCH(EDATE(B32,-6),'40h'!$F$36:$O$36,0))),0))</f>
        <v>153286.85714285713</v>
      </c>
      <c r="H32" s="148" cm="1">
        <f t="array" ref="H32">_xlfn.IFS($E$8=35,IF(ISNUMBER(IF(MONTH(B32)=4,INDEX('35h'!$F$70:$O$89,MATCH(D32,'35h'!$D$70:$D$89,0),MATCH(B32,'35h'!$F$67:$O$67,0)),INDEX('35h'!$F$70:$O$89,MATCH(D32,'35h'!$D$70:$D$89,0),MATCH(EDATE(B32,-6),'35h'!$F$67:$O$67,0)))),IF(MONTH(B32)=4,INDEX('35h'!$F$70:$O$89,MATCH(D32,'35h'!$D$70:$D$89,0),MATCH(B32,'35h'!$F$67:$O$67,0)),INDEX('35h'!$F$70:$O$89,MATCH(D32,'35h'!$D$70:$D$89,0),MATCH(EDATE(B32,-6),'35h'!$F$67:$O$67,0))),0),$E$8=37.5,IF(ISNUMBER(IF(MONTH(B32)=4,INDEX('37,5h'!$F$70:$O$89,MATCH(D32,'37,5h'!$D$70:$D$89,0),MATCH(B32,'37,5h'!$F$67:$O$67,0)),INDEX('37,5h'!$F$70:$O$89,MATCH(D32,'37,5h'!$D$70:$D$89,0),MATCH(EDATE(B32,-6),'37,5h'!$F$67:$O$67,0)))),IF(MONTH(B32)=4,INDEX('37,5h'!$F$70:$O$89,MATCH(D32,'37,5h'!$D$70:$D$89,0),MATCH(B32,'37,5h'!$F$67:$O$67,0)),INDEX('37,5h'!$F$70:$O$89,MATCH(D32,'37,5h'!$D$70:$D$89,0),MATCH(EDATE(B32,-6),'37,5h'!$F$67:$O$67,0))),0),$E$8=40,IF(ISNUMBER(IF(MONTH(B32)=4,INDEX('40h'!$F$70:$O$89,MATCH(D32,'40h'!$D$70:$D$89,0),MATCH(B32,'40h'!$F$67:$O$67,0)),INDEX('40h'!$F$70:$O$89,MATCH(D32,'40h'!$D$70:$D$89,0),MATCH(EDATE(B32,-6),'40h'!$F$67:$O$67,0)))),IF(MONTH(B32)=4,INDEX('40h'!$F$70:$O$89,MATCH(D32,'40h'!$D$70:$D$89,0),MATCH(B32,'40h'!$F$67:$O$67,0)),INDEX('40h'!$F$70:$O$89,MATCH(D32,'40h'!$D$70:$D$89,0),MATCH(EDATE(B32,-6),'40h'!$F$67:$O$67,0))),0))</f>
        <v>165493.71428571429</v>
      </c>
      <c r="I32" s="149">
        <f t="shared" si="1"/>
        <v>1040</v>
      </c>
      <c r="J32" s="104"/>
      <c r="K32" s="104"/>
      <c r="L32" s="104"/>
      <c r="M32" s="190">
        <f t="shared" si="8"/>
        <v>1040</v>
      </c>
      <c r="N32" s="148">
        <f t="shared" si="2"/>
        <v>76379.03958823852</v>
      </c>
      <c r="O32" s="148">
        <f t="shared" si="3"/>
        <v>82461.413787439102</v>
      </c>
      <c r="P32" s="129"/>
      <c r="Q32" s="148">
        <f t="shared" si="5"/>
        <v>6082.3741992005816</v>
      </c>
      <c r="R32" s="148"/>
      <c r="S32" s="150">
        <f t="shared" si="6"/>
        <v>6082.3741992005816</v>
      </c>
      <c r="T32" s="153">
        <f t="shared" si="7"/>
        <v>6204.0216831845937</v>
      </c>
      <c r="U32" s="195">
        <f t="shared" si="4"/>
        <v>6204.0216831845937</v>
      </c>
      <c r="V32" s="189"/>
      <c r="W32" s="210"/>
    </row>
    <row r="33" spans="1:23" x14ac:dyDescent="0.25">
      <c r="A33" s="167"/>
      <c r="B33" s="147">
        <v>44105</v>
      </c>
      <c r="C33" s="147">
        <v>44112</v>
      </c>
      <c r="D33" s="190">
        <f>VLOOKUP(C33,'Calcul de l''échelon de départ'!$H$7:I36,2,0)</f>
        <v>20</v>
      </c>
      <c r="E33" s="190" t="str">
        <f t="shared" si="0"/>
        <v>18E</v>
      </c>
      <c r="F33" s="104"/>
      <c r="G33" s="148" cm="1">
        <f t="array" ref="G33">_xlfn.IFS(AND($E$8=35,$E$7="ARQ"),IF(ISNUMBER(IF(MONTH(B33)=4,INDEX('35h'!$F$8:$O$27,MATCH(D33,'35h'!$D$8:$D$27,0),MATCH(B33,'35h'!$F$5:$O$5,0)),INDEX('35h'!$F$8:$O$27,MATCH(D33,'35h'!$D$8:$D$27,0),MATCH(EDATE(B33,-6),'35h'!$F$5:$O$5,0)))),IF(MONTH(B33)=4,INDEX('35h'!$F$8:$O$27,MATCH(D33,'35h'!$D$8:$D$27,0),MATCH(B33,'35h'!$F$5:$O$5,0)),INDEX('35h'!$F$8:$O$27,MATCH(D33,'35h'!$D$8:$D$27,0),MATCH(EDATE(B33,-6),'35h'!$F$5:$O$5,0))),0),AND($E$8=37.5,$E$7="ARQ"),IF(ISNUMBER(IF(MONTH(B33)=4,INDEX('37,5h'!$F$8:$O$28,MATCH(D33,'37,5h'!$D$8:$D$28,0),MATCH(B33,'37,5h'!$F$5:$O$5,0)),INDEX('37,5h'!$F$8:$O$28,MATCH(D33,'37,5h'!$D$8:$D$28,0),MATCH(EDATE(B33,-6),'37,5h'!$F$5:$O$5,0)))),IF(MONTH(B33)=4,INDEX('37,5h'!$F$8:$O$28,MATCH(D33,'37,5h'!$D$8:$D$28,0),MATCH(B33,'37,5h'!$F$5:$O$5,0)),INDEX('37,5h'!$F$8:$O$28,MATCH(D33,'37,5h'!$D$8:$D$28,0),MATCH(EDATE(B33,-6),'37,5h'!$F$5:$O$5,0))),0),AND($E$8=40,$E$7="ARQ"),IF(ISNUMBER(IF(MONTH(B33)=4,INDEX('40h'!$F$8:$O$28,MATCH(D33,'40h'!$D$8:$D$28,0),MATCH(B33,'40h'!$F$5:$O$5,0)),INDEX('40h'!$F$8:$O$28,MATCH(D33,'40h'!$D$8:$D$28,0),MATCH(EDATE(B33,-6),'40h'!$F$5:$O$5,0)))),IF(MONTH(B33)=4,INDEX('40h'!$F$8:$O$28,MATCH(D33,'40h'!$D$8:$D$28,0),MATCH(B33,'40h'!$F$5:$O$5,0)),INDEX('40h'!$F$8:$O$28,MATCH(D33,'40h'!$D$8:$D$28,0),MATCH(EDATE(B33,-6),'40h'!$F$5:$O$5,0))),0),AND($E$8=35,$E$7="Fonction publique"),IF(ISNUMBER(IF(MONTH(B33)=4,INDEX('35h'!$F$39:$O$58,MATCH(D33,'35h'!$D$39:$D$58,0),MATCH(B33,'35h'!$F$36:$O$36,0)),INDEX('35h'!$F$39:$O$58,MATCH(D33,'35h'!$D$39:$D$58,0),MATCH(EDATE(B33,-6),'35h'!$F$36:$O$36,0)))),IF(MONTH(B33)=4,INDEX('35h'!$F$39:$O$58,MATCH(D33,'35h'!$D$39:$D$58,0),MATCH(B33,'35h'!$F$36:$O$36,0)),INDEX('35h'!$F$39:$O$58,MATCH(D33,'35h'!$D$39:$D$58,0),MATCH(EDATE(B33,-6),'35h'!$F$36:$O$36,0))),0),AND($E$8=37.5,$E$7="Fonction publique"),IF(ISNUMBER(IF(MONTH(B33)=4,INDEX('37,5h'!$F$39:$O$58,MATCH(D33,'37,5h'!$D$39:$D$58,0),MATCH(B33,'37,5h'!$F$36:$O$36,0)),INDEX('37,5h'!$F$39:$O$58,MATCH(D33,'37,5h'!$D$39:$D$58,0),MATCH(EDATE(B33,-6),'37,5h'!$F$36:$O$36,0)))),IF(MONTH(B33)=4,INDEX('37,5h'!$F$39:$O$58,MATCH(D33,'37,5h'!$D$39:$D$58,0),MATCH(B33,'37,5h'!$F$36:$O$36,0)),INDEX('37,5h'!$F$39:$O$58,MATCH(D33,'37,5h'!$D$39:$D$58,0),MATCH(EDATE(B33,-6),'37,5h'!$F$36:$O$36,0))),0),AND($E$8=40,$E$7="Fonction publique"),IF(ISNUMBER(IF(MONTH(B33)=4,INDEX('40h'!$F$39:$O$58,MATCH(D33,'40h'!$D$39:$D$58,0),MATCH(B33,'40h'!$F$36:$O$36,0)),INDEX('40h'!$F$39:$O$58,MATCH(D33,'40h'!$D$39:$D$58,0),MATCH(EDATE(B33,-6),'40h'!$F$36:$O$36,0)))),IF(MONTH(B33)=4,INDEX('40h'!$F$39:$O$58,MATCH(D33,'40h'!$D$39:$D$58,0),MATCH(B33,'40h'!$F$36:$O$36,0)),INDEX('40h'!$F$39:$O$58,MATCH(D33,'40h'!$D$39:$D$58,0),MATCH(EDATE(B33,-6),'40h'!$F$36:$O$36,0))),0))</f>
        <v>153286.85714285713</v>
      </c>
      <c r="H33" s="148" cm="1">
        <f t="array" ref="H33">_xlfn.IFS($E$8=35,IF(ISNUMBER(IF(MONTH(B33)=4,INDEX('35h'!$F$70:$O$89,MATCH(D33,'35h'!$D$70:$D$89,0),MATCH(B33,'35h'!$F$67:$O$67,0)),INDEX('35h'!$F$70:$O$89,MATCH(D33,'35h'!$D$70:$D$89,0),MATCH(EDATE(B33,-6),'35h'!$F$67:$O$67,0)))),IF(MONTH(B33)=4,INDEX('35h'!$F$70:$O$89,MATCH(D33,'35h'!$D$70:$D$89,0),MATCH(B33,'35h'!$F$67:$O$67,0)),INDEX('35h'!$F$70:$O$89,MATCH(D33,'35h'!$D$70:$D$89,0),MATCH(EDATE(B33,-6),'35h'!$F$67:$O$67,0))),0),$E$8=37.5,IF(ISNUMBER(IF(MONTH(B33)=4,INDEX('37,5h'!$F$70:$O$89,MATCH(D33,'37,5h'!$D$70:$D$89,0),MATCH(B33,'37,5h'!$F$67:$O$67,0)),INDEX('37,5h'!$F$70:$O$89,MATCH(D33,'37,5h'!$D$70:$D$89,0),MATCH(EDATE(B33,-6),'37,5h'!$F$67:$O$67,0)))),IF(MONTH(B33)=4,INDEX('37,5h'!$F$70:$O$89,MATCH(D33,'37,5h'!$D$70:$D$89,0),MATCH(B33,'37,5h'!$F$67:$O$67,0)),INDEX('37,5h'!$F$70:$O$89,MATCH(D33,'37,5h'!$D$70:$D$89,0),MATCH(EDATE(B33,-6),'37,5h'!$F$67:$O$67,0))),0),$E$8=40,IF(ISNUMBER(IF(MONTH(B33)=4,INDEX('40h'!$F$70:$O$89,MATCH(D33,'40h'!$D$70:$D$89,0),MATCH(B33,'40h'!$F$67:$O$67,0)),INDEX('40h'!$F$70:$O$89,MATCH(D33,'40h'!$D$70:$D$89,0),MATCH(EDATE(B33,-6),'40h'!$F$67:$O$67,0)))),IF(MONTH(B33)=4,INDEX('40h'!$F$70:$O$89,MATCH(D33,'40h'!$D$70:$D$89,0),MATCH(B33,'40h'!$F$67:$O$67,0)),INDEX('40h'!$F$70:$O$89,MATCH(D33,'40h'!$D$70:$D$89,0),MATCH(EDATE(B33,-6),'40h'!$F$67:$O$67,0))),0))</f>
        <v>165493.71428571429</v>
      </c>
      <c r="I33" s="149">
        <f t="shared" si="1"/>
        <v>1040</v>
      </c>
      <c r="J33" s="104"/>
      <c r="K33" s="104"/>
      <c r="L33" s="104"/>
      <c r="M33" s="190">
        <f t="shared" si="8"/>
        <v>1040</v>
      </c>
      <c r="N33" s="148">
        <f t="shared" si="2"/>
        <v>76379.03958823852</v>
      </c>
      <c r="O33" s="148">
        <f t="shared" si="3"/>
        <v>82461.413787439102</v>
      </c>
      <c r="P33" s="129"/>
      <c r="Q33" s="148">
        <f t="shared" si="5"/>
        <v>6082.3741992005816</v>
      </c>
      <c r="R33" s="148"/>
      <c r="S33" s="150">
        <f t="shared" si="6"/>
        <v>6082.3741992005816</v>
      </c>
      <c r="T33" s="153">
        <f t="shared" si="7"/>
        <v>6204.0216831845937</v>
      </c>
      <c r="U33" s="195">
        <f t="shared" si="4"/>
        <v>6204.0216831845937</v>
      </c>
      <c r="V33" s="189"/>
      <c r="W33" s="210"/>
    </row>
    <row r="34" spans="1:23" x14ac:dyDescent="0.25">
      <c r="A34" s="167"/>
      <c r="B34" s="147">
        <v>44287</v>
      </c>
      <c r="C34" s="147">
        <v>44294</v>
      </c>
      <c r="D34" s="190">
        <f>VLOOKUP(C34,'Calcul de l''échelon de départ'!$H$7:I37,2,0)</f>
        <v>20</v>
      </c>
      <c r="E34" s="190" t="str">
        <f t="shared" si="0"/>
        <v>18E</v>
      </c>
      <c r="F34" s="104"/>
      <c r="G34" s="148" cm="1">
        <f t="array" ref="G34">_xlfn.IFS(AND($E$8=35,$E$7="ARQ"),IF(ISNUMBER(IF(MONTH(B34)=4,INDEX('35h'!$F$8:$O$27,MATCH(D34,'35h'!$D$8:$D$27,0),MATCH(B34,'35h'!$F$5:$O$5,0)),INDEX('35h'!$F$8:$O$27,MATCH(D34,'35h'!$D$8:$D$27,0),MATCH(EDATE(B34,-6),'35h'!$F$5:$O$5,0)))),IF(MONTH(B34)=4,INDEX('35h'!$F$8:$O$27,MATCH(D34,'35h'!$D$8:$D$27,0),MATCH(B34,'35h'!$F$5:$O$5,0)),INDEX('35h'!$F$8:$O$27,MATCH(D34,'35h'!$D$8:$D$27,0),MATCH(EDATE(B34,-6),'35h'!$F$5:$O$5,0))),0),AND($E$8=37.5,$E$7="ARQ"),IF(ISNUMBER(IF(MONTH(B34)=4,INDEX('37,5h'!$F$8:$O$28,MATCH(D34,'37,5h'!$D$8:$D$28,0),MATCH(B34,'37,5h'!$F$5:$O$5,0)),INDEX('37,5h'!$F$8:$O$28,MATCH(D34,'37,5h'!$D$8:$D$28,0),MATCH(EDATE(B34,-6),'37,5h'!$F$5:$O$5,0)))),IF(MONTH(B34)=4,INDEX('37,5h'!$F$8:$O$28,MATCH(D34,'37,5h'!$D$8:$D$28,0),MATCH(B34,'37,5h'!$F$5:$O$5,0)),INDEX('37,5h'!$F$8:$O$28,MATCH(D34,'37,5h'!$D$8:$D$28,0),MATCH(EDATE(B34,-6),'37,5h'!$F$5:$O$5,0))),0),AND($E$8=40,$E$7="ARQ"),IF(ISNUMBER(IF(MONTH(B34)=4,INDEX('40h'!$F$8:$O$28,MATCH(D34,'40h'!$D$8:$D$28,0),MATCH(B34,'40h'!$F$5:$O$5,0)),INDEX('40h'!$F$8:$O$28,MATCH(D34,'40h'!$D$8:$D$28,0),MATCH(EDATE(B34,-6),'40h'!$F$5:$O$5,0)))),IF(MONTH(B34)=4,INDEX('40h'!$F$8:$O$28,MATCH(D34,'40h'!$D$8:$D$28,0),MATCH(B34,'40h'!$F$5:$O$5,0)),INDEX('40h'!$F$8:$O$28,MATCH(D34,'40h'!$D$8:$D$28,0),MATCH(EDATE(B34,-6),'40h'!$F$5:$O$5,0))),0),AND($E$8=35,$E$7="Fonction publique"),IF(ISNUMBER(IF(MONTH(B34)=4,INDEX('35h'!$F$39:$O$58,MATCH(D34,'35h'!$D$39:$D$58,0),MATCH(B34,'35h'!$F$36:$O$36,0)),INDEX('35h'!$F$39:$O$58,MATCH(D34,'35h'!$D$39:$D$58,0),MATCH(EDATE(B34,-6),'35h'!$F$36:$O$36,0)))),IF(MONTH(B34)=4,INDEX('35h'!$F$39:$O$58,MATCH(D34,'35h'!$D$39:$D$58,0),MATCH(B34,'35h'!$F$36:$O$36,0)),INDEX('35h'!$F$39:$O$58,MATCH(D34,'35h'!$D$39:$D$58,0),MATCH(EDATE(B34,-6),'35h'!$F$36:$O$36,0))),0),AND($E$8=37.5,$E$7="Fonction publique"),IF(ISNUMBER(IF(MONTH(B34)=4,INDEX('37,5h'!$F$39:$O$58,MATCH(D34,'37,5h'!$D$39:$D$58,0),MATCH(B34,'37,5h'!$F$36:$O$36,0)),INDEX('37,5h'!$F$39:$O$58,MATCH(D34,'37,5h'!$D$39:$D$58,0),MATCH(EDATE(B34,-6),'37,5h'!$F$36:$O$36,0)))),IF(MONTH(B34)=4,INDEX('37,5h'!$F$39:$O$58,MATCH(D34,'37,5h'!$D$39:$D$58,0),MATCH(B34,'37,5h'!$F$36:$O$36,0)),INDEX('37,5h'!$F$39:$O$58,MATCH(D34,'37,5h'!$D$39:$D$58,0),MATCH(EDATE(B34,-6),'37,5h'!$F$36:$O$36,0))),0),AND($E$8=40,$E$7="Fonction publique"),IF(ISNUMBER(IF(MONTH(B34)=4,INDEX('40h'!$F$39:$O$58,MATCH(D34,'40h'!$D$39:$D$58,0),MATCH(B34,'40h'!$F$36:$O$36,0)),INDEX('40h'!$F$39:$O$58,MATCH(D34,'40h'!$D$39:$D$58,0),MATCH(EDATE(B34,-6),'40h'!$F$36:$O$36,0)))),IF(MONTH(B34)=4,INDEX('40h'!$F$39:$O$58,MATCH(D34,'40h'!$D$39:$D$58,0),MATCH(B34,'40h'!$F$36:$O$36,0)),INDEX('40h'!$F$39:$O$58,MATCH(D34,'40h'!$D$39:$D$58,0),MATCH(EDATE(B34,-6),'40h'!$F$36:$O$36,0))),0))</f>
        <v>156353.14285714287</v>
      </c>
      <c r="H34" s="148" cm="1">
        <f t="array" ref="H34">_xlfn.IFS($E$8=35,IF(ISNUMBER(IF(MONTH(B34)=4,INDEX('35h'!$F$70:$O$89,MATCH(D34,'35h'!$D$70:$D$89,0),MATCH(B34,'35h'!$F$67:$O$67,0)),INDEX('35h'!$F$70:$O$89,MATCH(D34,'35h'!$D$70:$D$89,0),MATCH(EDATE(B34,-6),'35h'!$F$67:$O$67,0)))),IF(MONTH(B34)=4,INDEX('35h'!$F$70:$O$89,MATCH(D34,'35h'!$D$70:$D$89,0),MATCH(B34,'35h'!$F$67:$O$67,0)),INDEX('35h'!$F$70:$O$89,MATCH(D34,'35h'!$D$70:$D$89,0),MATCH(EDATE(B34,-6),'35h'!$F$67:$O$67,0))),0),$E$8=37.5,IF(ISNUMBER(IF(MONTH(B34)=4,INDEX('37,5h'!$F$70:$O$89,MATCH(D34,'37,5h'!$D$70:$D$89,0),MATCH(B34,'37,5h'!$F$67:$O$67,0)),INDEX('37,5h'!$F$70:$O$89,MATCH(D34,'37,5h'!$D$70:$D$89,0),MATCH(EDATE(B34,-6),'37,5h'!$F$67:$O$67,0)))),IF(MONTH(B34)=4,INDEX('37,5h'!$F$70:$O$89,MATCH(D34,'37,5h'!$D$70:$D$89,0),MATCH(B34,'37,5h'!$F$67:$O$67,0)),INDEX('37,5h'!$F$70:$O$89,MATCH(D34,'37,5h'!$D$70:$D$89,0),MATCH(EDATE(B34,-6),'37,5h'!$F$67:$O$67,0))),0),$E$8=40,IF(ISNUMBER(IF(MONTH(B34)=4,INDEX('40h'!$F$70:$O$89,MATCH(D34,'40h'!$D$70:$D$89,0),MATCH(B34,'40h'!$F$67:$O$67,0)),INDEX('40h'!$F$70:$O$89,MATCH(D34,'40h'!$D$70:$D$89,0),MATCH(EDATE(B34,-6),'40h'!$F$67:$O$67,0)))),IF(MONTH(B34)=4,INDEX('40h'!$F$70:$O$89,MATCH(D34,'40h'!$D$70:$D$89,0),MATCH(B34,'40h'!$F$67:$O$67,0)),INDEX('40h'!$F$70:$O$89,MATCH(D34,'40h'!$D$70:$D$89,0),MATCH(EDATE(B34,-6),'40h'!$F$67:$O$67,0))),0))</f>
        <v>168803.42857142858</v>
      </c>
      <c r="I34" s="149">
        <f t="shared" si="1"/>
        <v>1040</v>
      </c>
      <c r="J34" s="104"/>
      <c r="K34" s="104"/>
      <c r="L34" s="104"/>
      <c r="M34" s="190">
        <f t="shared" si="8"/>
        <v>1040</v>
      </c>
      <c r="N34" s="148">
        <f t="shared" si="2"/>
        <v>77906.893719542262</v>
      </c>
      <c r="O34" s="148">
        <f t="shared" si="3"/>
        <v>84110.562339155687</v>
      </c>
      <c r="P34" s="129"/>
      <c r="Q34" s="148">
        <f t="shared" si="5"/>
        <v>6203.6686196134251</v>
      </c>
      <c r="R34" s="148"/>
      <c r="S34" s="150">
        <f t="shared" si="6"/>
        <v>6203.6686196134251</v>
      </c>
      <c r="T34" s="153">
        <f t="shared" si="7"/>
        <v>6327.7419920056936</v>
      </c>
      <c r="U34" s="195">
        <f t="shared" si="4"/>
        <v>6327.7419920056936</v>
      </c>
      <c r="V34" s="167"/>
      <c r="W34" s="210"/>
    </row>
    <row r="35" spans="1:23" x14ac:dyDescent="0.25">
      <c r="A35" s="167"/>
      <c r="B35" s="147">
        <v>44470</v>
      </c>
      <c r="C35" s="147">
        <v>44476</v>
      </c>
      <c r="D35" s="190">
        <f>VLOOKUP(C35,'Calcul de l''échelon de départ'!$H$7:I38,2,0)</f>
        <v>20</v>
      </c>
      <c r="E35" s="190" t="str">
        <f t="shared" si="0"/>
        <v>18E</v>
      </c>
      <c r="F35" s="104"/>
      <c r="G35" s="148" cm="1">
        <f t="array" ref="G35">_xlfn.IFS(AND($E$8=35,$E$7="ARQ"),IF(ISNUMBER(IF(MONTH(B35)=4,INDEX('35h'!$F$8:$O$27,MATCH(D35,'35h'!$D$8:$D$27,0),MATCH(B35,'35h'!$F$5:$O$5,0)),INDEX('35h'!$F$8:$O$27,MATCH(D35,'35h'!$D$8:$D$27,0),MATCH(EDATE(B35,-6),'35h'!$F$5:$O$5,0)))),IF(MONTH(B35)=4,INDEX('35h'!$F$8:$O$27,MATCH(D35,'35h'!$D$8:$D$27,0),MATCH(B35,'35h'!$F$5:$O$5,0)),INDEX('35h'!$F$8:$O$27,MATCH(D35,'35h'!$D$8:$D$27,0),MATCH(EDATE(B35,-6),'35h'!$F$5:$O$5,0))),0),AND($E$8=37.5,$E$7="ARQ"),IF(ISNUMBER(IF(MONTH(B35)=4,INDEX('37,5h'!$F$8:$O$28,MATCH(D35,'37,5h'!$D$8:$D$28,0),MATCH(B35,'37,5h'!$F$5:$O$5,0)),INDEX('37,5h'!$F$8:$O$28,MATCH(D35,'37,5h'!$D$8:$D$28,0),MATCH(EDATE(B35,-6),'37,5h'!$F$5:$O$5,0)))),IF(MONTH(B35)=4,INDEX('37,5h'!$F$8:$O$28,MATCH(D35,'37,5h'!$D$8:$D$28,0),MATCH(B35,'37,5h'!$F$5:$O$5,0)),INDEX('37,5h'!$F$8:$O$28,MATCH(D35,'37,5h'!$D$8:$D$28,0),MATCH(EDATE(B35,-6),'37,5h'!$F$5:$O$5,0))),0),AND($E$8=40,$E$7="ARQ"),IF(ISNUMBER(IF(MONTH(B35)=4,INDEX('40h'!$F$8:$O$28,MATCH(D35,'40h'!$D$8:$D$28,0),MATCH(B35,'40h'!$F$5:$O$5,0)),INDEX('40h'!$F$8:$O$28,MATCH(D35,'40h'!$D$8:$D$28,0),MATCH(EDATE(B35,-6),'40h'!$F$5:$O$5,0)))),IF(MONTH(B35)=4,INDEX('40h'!$F$8:$O$28,MATCH(D35,'40h'!$D$8:$D$28,0),MATCH(B35,'40h'!$F$5:$O$5,0)),INDEX('40h'!$F$8:$O$28,MATCH(D35,'40h'!$D$8:$D$28,0),MATCH(EDATE(B35,-6),'40h'!$F$5:$O$5,0))),0),AND($E$8=35,$E$7="Fonction publique"),IF(ISNUMBER(IF(MONTH(B35)=4,INDEX('35h'!$F$39:$O$58,MATCH(D35,'35h'!$D$39:$D$58,0),MATCH(B35,'35h'!$F$36:$O$36,0)),INDEX('35h'!$F$39:$O$58,MATCH(D35,'35h'!$D$39:$D$58,0),MATCH(EDATE(B35,-6),'35h'!$F$36:$O$36,0)))),IF(MONTH(B35)=4,INDEX('35h'!$F$39:$O$58,MATCH(D35,'35h'!$D$39:$D$58,0),MATCH(B35,'35h'!$F$36:$O$36,0)),INDEX('35h'!$F$39:$O$58,MATCH(D35,'35h'!$D$39:$D$58,0),MATCH(EDATE(B35,-6),'35h'!$F$36:$O$36,0))),0),AND($E$8=37.5,$E$7="Fonction publique"),IF(ISNUMBER(IF(MONTH(B35)=4,INDEX('37,5h'!$F$39:$O$58,MATCH(D35,'37,5h'!$D$39:$D$58,0),MATCH(B35,'37,5h'!$F$36:$O$36,0)),INDEX('37,5h'!$F$39:$O$58,MATCH(D35,'37,5h'!$D$39:$D$58,0),MATCH(EDATE(B35,-6),'37,5h'!$F$36:$O$36,0)))),IF(MONTH(B35)=4,INDEX('37,5h'!$F$39:$O$58,MATCH(D35,'37,5h'!$D$39:$D$58,0),MATCH(B35,'37,5h'!$F$36:$O$36,0)),INDEX('37,5h'!$F$39:$O$58,MATCH(D35,'37,5h'!$D$39:$D$58,0),MATCH(EDATE(B35,-6),'37,5h'!$F$36:$O$36,0))),0),AND($E$8=40,$E$7="Fonction publique"),IF(ISNUMBER(IF(MONTH(B35)=4,INDEX('40h'!$F$39:$O$58,MATCH(D35,'40h'!$D$39:$D$58,0),MATCH(B35,'40h'!$F$36:$O$36,0)),INDEX('40h'!$F$39:$O$58,MATCH(D35,'40h'!$D$39:$D$58,0),MATCH(EDATE(B35,-6),'40h'!$F$36:$O$36,0)))),IF(MONTH(B35)=4,INDEX('40h'!$F$39:$O$58,MATCH(D35,'40h'!$D$39:$D$58,0),MATCH(B35,'40h'!$F$36:$O$36,0)),INDEX('40h'!$F$39:$O$58,MATCH(D35,'40h'!$D$39:$D$58,0),MATCH(EDATE(B35,-6),'40h'!$F$36:$O$36,0))),0))</f>
        <v>156353.14285714287</v>
      </c>
      <c r="H35" s="148" cm="1">
        <f t="array" ref="H35">_xlfn.IFS($E$8=35,IF(ISNUMBER(IF(MONTH(B35)=4,INDEX('35h'!$F$70:$O$89,MATCH(D35,'35h'!$D$70:$D$89,0),MATCH(B35,'35h'!$F$67:$O$67,0)),INDEX('35h'!$F$70:$O$89,MATCH(D35,'35h'!$D$70:$D$89,0),MATCH(EDATE(B35,-6),'35h'!$F$67:$O$67,0)))),IF(MONTH(B35)=4,INDEX('35h'!$F$70:$O$89,MATCH(D35,'35h'!$D$70:$D$89,0),MATCH(B35,'35h'!$F$67:$O$67,0)),INDEX('35h'!$F$70:$O$89,MATCH(D35,'35h'!$D$70:$D$89,0),MATCH(EDATE(B35,-6),'35h'!$F$67:$O$67,0))),0),$E$8=37.5,IF(ISNUMBER(IF(MONTH(B35)=4,INDEX('37,5h'!$F$70:$O$89,MATCH(D35,'37,5h'!$D$70:$D$89,0),MATCH(B35,'37,5h'!$F$67:$O$67,0)),INDEX('37,5h'!$F$70:$O$89,MATCH(D35,'37,5h'!$D$70:$D$89,0),MATCH(EDATE(B35,-6),'37,5h'!$F$67:$O$67,0)))),IF(MONTH(B35)=4,INDEX('37,5h'!$F$70:$O$89,MATCH(D35,'37,5h'!$D$70:$D$89,0),MATCH(B35,'37,5h'!$F$67:$O$67,0)),INDEX('37,5h'!$F$70:$O$89,MATCH(D35,'37,5h'!$D$70:$D$89,0),MATCH(EDATE(B35,-6),'37,5h'!$F$67:$O$67,0))),0),$E$8=40,IF(ISNUMBER(IF(MONTH(B35)=4,INDEX('40h'!$F$70:$O$89,MATCH(D35,'40h'!$D$70:$D$89,0),MATCH(B35,'40h'!$F$67:$O$67,0)),INDEX('40h'!$F$70:$O$89,MATCH(D35,'40h'!$D$70:$D$89,0),MATCH(EDATE(B35,-6),'40h'!$F$67:$O$67,0)))),IF(MONTH(B35)=4,INDEX('40h'!$F$70:$O$89,MATCH(D35,'40h'!$D$70:$D$89,0),MATCH(B35,'40h'!$F$67:$O$67,0)),INDEX('40h'!$F$70:$O$89,MATCH(D35,'40h'!$D$70:$D$89,0),MATCH(EDATE(B35,-6),'40h'!$F$67:$O$67,0))),0))</f>
        <v>168803.42857142858</v>
      </c>
      <c r="I35" s="149">
        <f t="shared" si="1"/>
        <v>1040</v>
      </c>
      <c r="J35" s="104"/>
      <c r="K35" s="104"/>
      <c r="L35" s="104"/>
      <c r="M35" s="190">
        <f t="shared" si="8"/>
        <v>1040</v>
      </c>
      <c r="N35" s="148">
        <f t="shared" si="2"/>
        <v>77906.893719542262</v>
      </c>
      <c r="O35" s="148">
        <f t="shared" si="3"/>
        <v>84110.562339155687</v>
      </c>
      <c r="P35" s="129"/>
      <c r="Q35" s="148">
        <f t="shared" si="5"/>
        <v>6203.6686196134251</v>
      </c>
      <c r="R35" s="148"/>
      <c r="S35" s="150">
        <f t="shared" si="6"/>
        <v>6203.6686196134251</v>
      </c>
      <c r="T35" s="153">
        <f t="shared" si="7"/>
        <v>6327.7419920056936</v>
      </c>
      <c r="U35" s="195">
        <f t="shared" si="4"/>
        <v>6327.7419920056936</v>
      </c>
      <c r="V35" s="167"/>
      <c r="W35" s="210"/>
    </row>
    <row r="36" spans="1:23" x14ac:dyDescent="0.25">
      <c r="A36" s="167"/>
      <c r="B36" s="147">
        <v>44652</v>
      </c>
      <c r="C36" s="147">
        <v>44658</v>
      </c>
      <c r="D36" s="190">
        <f>VLOOKUP(C36,'Calcul de l''échelon de départ'!$H$7:I39,2,0)</f>
        <v>20</v>
      </c>
      <c r="E36" s="190" t="str">
        <f t="shared" si="0"/>
        <v>18E</v>
      </c>
      <c r="F36" s="104"/>
      <c r="G36" s="148" cm="1">
        <f t="array" ref="G36">_xlfn.IFS(AND($E$8=35,$E$7="ARQ"),IF(ISNUMBER(IF(MONTH(B36)=4,INDEX('35h'!$F$8:$O$27,MATCH(D36,'35h'!$D$8:$D$27,0),MATCH(B36,'35h'!$F$5:$O$5,0)),INDEX('35h'!$F$8:$O$27,MATCH(D36,'35h'!$D$8:$D$27,0),MATCH(EDATE(B36,-6),'35h'!$F$5:$O$5,0)))),IF(MONTH(B36)=4,INDEX('35h'!$F$8:$O$27,MATCH(D36,'35h'!$D$8:$D$27,0),MATCH(B36,'35h'!$F$5:$O$5,0)),INDEX('35h'!$F$8:$O$27,MATCH(D36,'35h'!$D$8:$D$27,0),MATCH(EDATE(B36,-6),'35h'!$F$5:$O$5,0))),0),AND($E$8=37.5,$E$7="ARQ"),IF(ISNUMBER(IF(MONTH(B36)=4,INDEX('37,5h'!$F$8:$O$28,MATCH(D36,'37,5h'!$D$8:$D$28,0),MATCH(B36,'37,5h'!$F$5:$O$5,0)),INDEX('37,5h'!$F$8:$O$28,MATCH(D36,'37,5h'!$D$8:$D$28,0),MATCH(EDATE(B36,-6),'37,5h'!$F$5:$O$5,0)))),IF(MONTH(B36)=4,INDEX('37,5h'!$F$8:$O$28,MATCH(D36,'37,5h'!$D$8:$D$28,0),MATCH(B36,'37,5h'!$F$5:$O$5,0)),INDEX('37,5h'!$F$8:$O$28,MATCH(D36,'37,5h'!$D$8:$D$28,0),MATCH(EDATE(B36,-6),'37,5h'!$F$5:$O$5,0))),0),AND($E$8=40,$E$7="ARQ"),IF(ISNUMBER(IF(MONTH(B36)=4,INDEX('40h'!$F$8:$O$28,MATCH(D36,'40h'!$D$8:$D$28,0),MATCH(B36,'40h'!$F$5:$O$5,0)),INDEX('40h'!$F$8:$O$28,MATCH(D36,'40h'!$D$8:$D$28,0),MATCH(EDATE(B36,-6),'40h'!$F$5:$O$5,0)))),IF(MONTH(B36)=4,INDEX('40h'!$F$8:$O$28,MATCH(D36,'40h'!$D$8:$D$28,0),MATCH(B36,'40h'!$F$5:$O$5,0)),INDEX('40h'!$F$8:$O$28,MATCH(D36,'40h'!$D$8:$D$28,0),MATCH(EDATE(B36,-6),'40h'!$F$5:$O$5,0))),0),AND($E$8=35,$E$7="Fonction publique"),IF(ISNUMBER(IF(MONTH(B36)=4,INDEX('35h'!$F$39:$O$58,MATCH(D36,'35h'!$D$39:$D$58,0),MATCH(B36,'35h'!$F$36:$O$36,0)),INDEX('35h'!$F$39:$O$58,MATCH(D36,'35h'!$D$39:$D$58,0),MATCH(EDATE(B36,-6),'35h'!$F$36:$O$36,0)))),IF(MONTH(B36)=4,INDEX('35h'!$F$39:$O$58,MATCH(D36,'35h'!$D$39:$D$58,0),MATCH(B36,'35h'!$F$36:$O$36,0)),INDEX('35h'!$F$39:$O$58,MATCH(D36,'35h'!$D$39:$D$58,0),MATCH(EDATE(B36,-6),'35h'!$F$36:$O$36,0))),0),AND($E$8=37.5,$E$7="Fonction publique"),IF(ISNUMBER(IF(MONTH(B36)=4,INDEX('37,5h'!$F$39:$O$58,MATCH(D36,'37,5h'!$D$39:$D$58,0),MATCH(B36,'37,5h'!$F$36:$O$36,0)),INDEX('37,5h'!$F$39:$O$58,MATCH(D36,'37,5h'!$D$39:$D$58,0),MATCH(EDATE(B36,-6),'37,5h'!$F$36:$O$36,0)))),IF(MONTH(B36)=4,INDEX('37,5h'!$F$39:$O$58,MATCH(D36,'37,5h'!$D$39:$D$58,0),MATCH(B36,'37,5h'!$F$36:$O$36,0)),INDEX('37,5h'!$F$39:$O$58,MATCH(D36,'37,5h'!$D$39:$D$58,0),MATCH(EDATE(B36,-6),'37,5h'!$F$36:$O$36,0))),0),AND($E$8=40,$E$7="Fonction publique"),IF(ISNUMBER(IF(MONTH(B36)=4,INDEX('40h'!$F$39:$O$58,MATCH(D36,'40h'!$D$39:$D$58,0),MATCH(B36,'40h'!$F$36:$O$36,0)),INDEX('40h'!$F$39:$O$58,MATCH(D36,'40h'!$D$39:$D$58,0),MATCH(EDATE(B36,-6),'40h'!$F$36:$O$36,0)))),IF(MONTH(B36)=4,INDEX('40h'!$F$39:$O$58,MATCH(D36,'40h'!$D$39:$D$58,0),MATCH(B36,'40h'!$F$36:$O$36,0)),INDEX('40h'!$F$39:$O$58,MATCH(D36,'40h'!$D$39:$D$58,0),MATCH(EDATE(B36,-6),'40h'!$F$36:$O$36,0))),0))</f>
        <v>159478.85714285713</v>
      </c>
      <c r="H36" s="148" cm="1">
        <f t="array" ref="H36">_xlfn.IFS($E$8=35,IF(ISNUMBER(IF(MONTH(B36)=4,INDEX('35h'!$F$70:$O$89,MATCH(D36,'35h'!$D$70:$D$89,0),MATCH(B36,'35h'!$F$67:$O$67,0)),INDEX('35h'!$F$70:$O$89,MATCH(D36,'35h'!$D$70:$D$89,0),MATCH(EDATE(B36,-6),'35h'!$F$67:$O$67,0)))),IF(MONTH(B36)=4,INDEX('35h'!$F$70:$O$89,MATCH(D36,'35h'!$D$70:$D$89,0),MATCH(B36,'35h'!$F$67:$O$67,0)),INDEX('35h'!$F$70:$O$89,MATCH(D36,'35h'!$D$70:$D$89,0),MATCH(EDATE(B36,-6),'35h'!$F$67:$O$67,0))),0),$E$8=37.5,IF(ISNUMBER(IF(MONTH(B36)=4,INDEX('37,5h'!$F$70:$O$89,MATCH(D36,'37,5h'!$D$70:$D$89,0),MATCH(B36,'37,5h'!$F$67:$O$67,0)),INDEX('37,5h'!$F$70:$O$89,MATCH(D36,'37,5h'!$D$70:$D$89,0),MATCH(EDATE(B36,-6),'37,5h'!$F$67:$O$67,0)))),IF(MONTH(B36)=4,INDEX('37,5h'!$F$70:$O$89,MATCH(D36,'37,5h'!$D$70:$D$89,0),MATCH(B36,'37,5h'!$F$67:$O$67,0)),INDEX('37,5h'!$F$70:$O$89,MATCH(D36,'37,5h'!$D$70:$D$89,0),MATCH(EDATE(B36,-6),'37,5h'!$F$67:$O$67,0))),0),$E$8=40,IF(ISNUMBER(IF(MONTH(B36)=4,INDEX('40h'!$F$70:$O$89,MATCH(D36,'40h'!$D$70:$D$89,0),MATCH(B36,'40h'!$F$67:$O$67,0)),INDEX('40h'!$F$70:$O$89,MATCH(D36,'40h'!$D$70:$D$89,0),MATCH(EDATE(B36,-6),'40h'!$F$67:$O$67,0)))),IF(MONTH(B36)=4,INDEX('40h'!$F$70:$O$89,MATCH(D36,'40h'!$D$70:$D$89,0),MATCH(B36,'40h'!$F$67:$O$67,0)),INDEX('40h'!$F$70:$O$89,MATCH(D36,'40h'!$D$70:$D$89,0),MATCH(EDATE(B36,-6),'40h'!$F$67:$O$67,0))),0))</f>
        <v>172179.42857142858</v>
      </c>
      <c r="I36" s="149">
        <f t="shared" si="1"/>
        <v>1040</v>
      </c>
      <c r="J36" s="104"/>
      <c r="K36" s="104"/>
      <c r="L36" s="104"/>
      <c r="M36" s="190">
        <f t="shared" si="8"/>
        <v>1040</v>
      </c>
      <c r="N36" s="148">
        <f t="shared" si="2"/>
        <v>79464.359634233158</v>
      </c>
      <c r="O36" s="148">
        <f t="shared" si="3"/>
        <v>85792.739418496421</v>
      </c>
      <c r="P36" s="129"/>
      <c r="Q36" s="148">
        <f t="shared" si="5"/>
        <v>6328.379784263263</v>
      </c>
      <c r="R36" s="148"/>
      <c r="S36" s="150">
        <f t="shared" si="6"/>
        <v>6328.379784263263</v>
      </c>
      <c r="T36" s="153">
        <f t="shared" si="7"/>
        <v>6454.9473799485286</v>
      </c>
      <c r="U36" s="195">
        <f t="shared" si="4"/>
        <v>6454.9473799485286</v>
      </c>
      <c r="V36" s="167"/>
      <c r="W36" s="210"/>
    </row>
    <row r="37" spans="1:23" x14ac:dyDescent="0.25">
      <c r="A37" s="167"/>
      <c r="B37" s="147">
        <v>44835</v>
      </c>
      <c r="C37" s="147">
        <v>44840</v>
      </c>
      <c r="D37" s="190">
        <f>VLOOKUP(C37,'Calcul de l''échelon de départ'!$H$7:I40,2,0)</f>
        <v>20</v>
      </c>
      <c r="E37" s="190" t="str">
        <f t="shared" si="0"/>
        <v>18E</v>
      </c>
      <c r="F37" s="104"/>
      <c r="G37" s="148" cm="1">
        <f t="array" ref="G37">_xlfn.IFS(AND($E$8=35,$E$7="ARQ"),IF(ISNUMBER(IF(MONTH(B37)=4,INDEX('35h'!$F$8:$O$27,MATCH(D37,'35h'!$D$8:$D$27,0),MATCH(B37,'35h'!$F$5:$O$5,0)),INDEX('35h'!$F$8:$O$27,MATCH(D37,'35h'!$D$8:$D$27,0),MATCH(EDATE(B37,-6),'35h'!$F$5:$O$5,0)))),IF(MONTH(B37)=4,INDEX('35h'!$F$8:$O$27,MATCH(D37,'35h'!$D$8:$D$27,0),MATCH(B37,'35h'!$F$5:$O$5,0)),INDEX('35h'!$F$8:$O$27,MATCH(D37,'35h'!$D$8:$D$27,0),MATCH(EDATE(B37,-6),'35h'!$F$5:$O$5,0))),0),AND($E$8=37.5,$E$7="ARQ"),IF(ISNUMBER(IF(MONTH(B37)=4,INDEX('37,5h'!$F$8:$O$28,MATCH(D37,'37,5h'!$D$8:$D$28,0),MATCH(B37,'37,5h'!$F$5:$O$5,0)),INDEX('37,5h'!$F$8:$O$28,MATCH(D37,'37,5h'!$D$8:$D$28,0),MATCH(EDATE(B37,-6),'37,5h'!$F$5:$O$5,0)))),IF(MONTH(B37)=4,INDEX('37,5h'!$F$8:$O$28,MATCH(D37,'37,5h'!$D$8:$D$28,0),MATCH(B37,'37,5h'!$F$5:$O$5,0)),INDEX('37,5h'!$F$8:$O$28,MATCH(D37,'37,5h'!$D$8:$D$28,0),MATCH(EDATE(B37,-6),'37,5h'!$F$5:$O$5,0))),0),AND($E$8=40,$E$7="ARQ"),IF(ISNUMBER(IF(MONTH(B37)=4,INDEX('40h'!$F$8:$O$28,MATCH(D37,'40h'!$D$8:$D$28,0),MATCH(B37,'40h'!$F$5:$O$5,0)),INDEX('40h'!$F$8:$O$28,MATCH(D37,'40h'!$D$8:$D$28,0),MATCH(EDATE(B37,-6),'40h'!$F$5:$O$5,0)))),IF(MONTH(B37)=4,INDEX('40h'!$F$8:$O$28,MATCH(D37,'40h'!$D$8:$D$28,0),MATCH(B37,'40h'!$F$5:$O$5,0)),INDEX('40h'!$F$8:$O$28,MATCH(D37,'40h'!$D$8:$D$28,0),MATCH(EDATE(B37,-6),'40h'!$F$5:$O$5,0))),0),AND($E$8=35,$E$7="Fonction publique"),IF(ISNUMBER(IF(MONTH(B37)=4,INDEX('35h'!$F$39:$O$58,MATCH(D37,'35h'!$D$39:$D$58,0),MATCH(B37,'35h'!$F$36:$O$36,0)),INDEX('35h'!$F$39:$O$58,MATCH(D37,'35h'!$D$39:$D$58,0),MATCH(EDATE(B37,-6),'35h'!$F$36:$O$36,0)))),IF(MONTH(B37)=4,INDEX('35h'!$F$39:$O$58,MATCH(D37,'35h'!$D$39:$D$58,0),MATCH(B37,'35h'!$F$36:$O$36,0)),INDEX('35h'!$F$39:$O$58,MATCH(D37,'35h'!$D$39:$D$58,0),MATCH(EDATE(B37,-6),'35h'!$F$36:$O$36,0))),0),AND($E$8=37.5,$E$7="Fonction publique"),IF(ISNUMBER(IF(MONTH(B37)=4,INDEX('37,5h'!$F$39:$O$58,MATCH(D37,'37,5h'!$D$39:$D$58,0),MATCH(B37,'37,5h'!$F$36:$O$36,0)),INDEX('37,5h'!$F$39:$O$58,MATCH(D37,'37,5h'!$D$39:$D$58,0),MATCH(EDATE(B37,-6),'37,5h'!$F$36:$O$36,0)))),IF(MONTH(B37)=4,INDEX('37,5h'!$F$39:$O$58,MATCH(D37,'37,5h'!$D$39:$D$58,0),MATCH(B37,'37,5h'!$F$36:$O$36,0)),INDEX('37,5h'!$F$39:$O$58,MATCH(D37,'37,5h'!$D$39:$D$58,0),MATCH(EDATE(B37,-6),'37,5h'!$F$36:$O$36,0))),0),AND($E$8=40,$E$7="Fonction publique"),IF(ISNUMBER(IF(MONTH(B37)=4,INDEX('40h'!$F$39:$O$58,MATCH(D37,'40h'!$D$39:$D$58,0),MATCH(B37,'40h'!$F$36:$O$36,0)),INDEX('40h'!$F$39:$O$58,MATCH(D37,'40h'!$D$39:$D$58,0),MATCH(EDATE(B37,-6),'40h'!$F$36:$O$36,0)))),IF(MONTH(B37)=4,INDEX('40h'!$F$39:$O$58,MATCH(D37,'40h'!$D$39:$D$58,0),MATCH(B37,'40h'!$F$36:$O$36,0)),INDEX('40h'!$F$39:$O$58,MATCH(D37,'40h'!$D$39:$D$58,0),MATCH(EDATE(B37,-6),'40h'!$F$36:$O$36,0))),0))</f>
        <v>159478.85714285713</v>
      </c>
      <c r="H37" s="148" cm="1">
        <f t="array" ref="H37">_xlfn.IFS($E$8=35,IF(ISNUMBER(IF(MONTH(B37)=4,INDEX('35h'!$F$70:$O$89,MATCH(D37,'35h'!$D$70:$D$89,0),MATCH(B37,'35h'!$F$67:$O$67,0)),INDEX('35h'!$F$70:$O$89,MATCH(D37,'35h'!$D$70:$D$89,0),MATCH(EDATE(B37,-6),'35h'!$F$67:$O$67,0)))),IF(MONTH(B37)=4,INDEX('35h'!$F$70:$O$89,MATCH(D37,'35h'!$D$70:$D$89,0),MATCH(B37,'35h'!$F$67:$O$67,0)),INDEX('35h'!$F$70:$O$89,MATCH(D37,'35h'!$D$70:$D$89,0),MATCH(EDATE(B37,-6),'35h'!$F$67:$O$67,0))),0),$E$8=37.5,IF(ISNUMBER(IF(MONTH(B37)=4,INDEX('37,5h'!$F$70:$O$89,MATCH(D37,'37,5h'!$D$70:$D$89,0),MATCH(B37,'37,5h'!$F$67:$O$67,0)),INDEX('37,5h'!$F$70:$O$89,MATCH(D37,'37,5h'!$D$70:$D$89,0),MATCH(EDATE(B37,-6),'37,5h'!$F$67:$O$67,0)))),IF(MONTH(B37)=4,INDEX('37,5h'!$F$70:$O$89,MATCH(D37,'37,5h'!$D$70:$D$89,0),MATCH(B37,'37,5h'!$F$67:$O$67,0)),INDEX('37,5h'!$F$70:$O$89,MATCH(D37,'37,5h'!$D$70:$D$89,0),MATCH(EDATE(B37,-6),'37,5h'!$F$67:$O$67,0))),0),$E$8=40,IF(ISNUMBER(IF(MONTH(B37)=4,INDEX('40h'!$F$70:$O$89,MATCH(D37,'40h'!$D$70:$D$89,0),MATCH(B37,'40h'!$F$67:$O$67,0)),INDEX('40h'!$F$70:$O$89,MATCH(D37,'40h'!$D$70:$D$89,0),MATCH(EDATE(B37,-6),'40h'!$F$67:$O$67,0)))),IF(MONTH(B37)=4,INDEX('40h'!$F$70:$O$89,MATCH(D37,'40h'!$D$70:$D$89,0),MATCH(B37,'40h'!$F$67:$O$67,0)),INDEX('40h'!$F$70:$O$89,MATCH(D37,'40h'!$D$70:$D$89,0),MATCH(EDATE(B37,-6),'40h'!$F$67:$O$67,0))),0))</f>
        <v>172179.42857142858</v>
      </c>
      <c r="I37" s="149">
        <f t="shared" si="1"/>
        <v>1040</v>
      </c>
      <c r="J37" s="104"/>
      <c r="K37" s="104"/>
      <c r="L37" s="104"/>
      <c r="M37" s="190">
        <f t="shared" si="8"/>
        <v>1040</v>
      </c>
      <c r="N37" s="148">
        <f t="shared" si="2"/>
        <v>79464.359634233158</v>
      </c>
      <c r="O37" s="148">
        <f t="shared" si="3"/>
        <v>85792.739418496421</v>
      </c>
      <c r="P37" s="129"/>
      <c r="Q37" s="148">
        <f t="shared" si="5"/>
        <v>6328.379784263263</v>
      </c>
      <c r="R37" s="148"/>
      <c r="S37" s="150">
        <f t="shared" si="6"/>
        <v>6328.379784263263</v>
      </c>
      <c r="T37" s="153">
        <f t="shared" si="7"/>
        <v>6454.9473799485286</v>
      </c>
      <c r="U37" s="195">
        <f t="shared" si="4"/>
        <v>6454.9473799485286</v>
      </c>
      <c r="V37" s="167"/>
      <c r="W37" s="210"/>
    </row>
    <row r="38" spans="1:23" x14ac:dyDescent="0.25">
      <c r="A38" s="167"/>
      <c r="B38" s="152">
        <v>45017</v>
      </c>
      <c r="C38" s="147">
        <v>45022</v>
      </c>
      <c r="D38" s="190">
        <f>VLOOKUP(C38,'Calcul de l''échelon de départ'!$H$7:I41,2,0)</f>
        <v>20</v>
      </c>
      <c r="E38" s="190" t="str">
        <f t="shared" si="0"/>
        <v>18E</v>
      </c>
      <c r="F38" s="104"/>
      <c r="G38" s="153" cm="1">
        <f t="array" ref="G38">_xlfn.IFS(AND($E$8=35,$E$7="ARQ"),IF(ISNUMBER(IF(MONTH(B38)=4,INDEX('35h'!$F$8:$O$27,MATCH(D38,'35h'!$D$8:$D$27,0),MATCH(B38,'35h'!$F$5:$O$5,0)),INDEX('35h'!$F$8:$O$27,MATCH(D38,'35h'!$D$8:$D$27,0),MATCH(EDATE(B38,-6),'35h'!$F$5:$O$5,0)))),IF(MONTH(B38)=4,INDEX('35h'!$F$8:$O$27,MATCH(D38,'35h'!$D$8:$D$27,0),MATCH(B38,'35h'!$F$5:$O$5,0)),INDEX('35h'!$F$8:$O$27,MATCH(D38,'35h'!$D$8:$D$27,0),MATCH(EDATE(B38,-6),'35h'!$F$5:$O$5,0))),0),AND($E$8=37.5,$E$7="ARQ"),IF(ISNUMBER(IF(MONTH(B38)=4,INDEX('37,5h'!$F$8:$O$28,MATCH(D38,'37,5h'!$D$8:$D$28,0),MATCH(B38,'37,5h'!$F$5:$O$5,0)),INDEX('37,5h'!$F$8:$O$28,MATCH(D38,'37,5h'!$D$8:$D$28,0),MATCH(EDATE(B38,-6),'37,5h'!$F$5:$O$5,0)))),IF(MONTH(B38)=4,INDEX('37,5h'!$F$8:$O$28,MATCH(D38,'37,5h'!$D$8:$D$28,0),MATCH(B38,'37,5h'!$F$5:$O$5,0)),INDEX('37,5h'!$F$8:$O$28,MATCH(D38,'37,5h'!$D$8:$D$28,0),MATCH(EDATE(B38,-6),'37,5h'!$F$5:$O$5,0))),0),AND($E$8=40,$E$7="ARQ"),IF(ISNUMBER(IF(MONTH(B38)=4,INDEX('40h'!$F$8:$O$28,MATCH(D38,'40h'!$D$8:$D$28,0),MATCH(B38,'40h'!$F$5:$O$5,0)),INDEX('40h'!$F$8:$O$28,MATCH(D38,'40h'!$D$8:$D$28,0),MATCH(EDATE(B38,-6),'40h'!$F$5:$O$5,0)))),IF(MONTH(B38)=4,INDEX('40h'!$F$8:$O$28,MATCH(D38,'40h'!$D$8:$D$28,0),MATCH(B38,'40h'!$F$5:$O$5,0)),INDEX('40h'!$F$8:$O$28,MATCH(D38,'40h'!$D$8:$D$28,0),MATCH(EDATE(B38,-6),'40h'!$F$5:$O$5,0))),0),AND($E$8=35,$E$7="Fonction publique"),IF(ISNUMBER(IF(MONTH(B38)=4,INDEX('35h'!$F$39:$O$58,MATCH(D38,'35h'!$D$39:$D$58,0),MATCH(B38,'35h'!$F$36:$O$36,0)),INDEX('35h'!$F$39:$O$58,MATCH(D38,'35h'!$D$39:$D$58,0),MATCH(EDATE(B38,-6),'35h'!$F$36:$O$36,0)))),IF(MONTH(B38)=4,INDEX('35h'!$F$39:$O$58,MATCH(D38,'35h'!$D$39:$D$58,0),MATCH(B38,'35h'!$F$36:$O$36,0)),INDEX('35h'!$F$39:$O$58,MATCH(D38,'35h'!$D$39:$D$58,0),MATCH(EDATE(B38,-6),'35h'!$F$36:$O$36,0))),0),AND($E$8=37.5,$E$7="Fonction publique"),IF(ISNUMBER(IF(MONTH(B38)=4,INDEX('37,5h'!$F$39:$O$58,MATCH(D38,'37,5h'!$D$39:$D$58,0),MATCH(B38,'37,5h'!$F$36:$O$36,0)),INDEX('37,5h'!$F$39:$O$58,MATCH(D38,'37,5h'!$D$39:$D$58,0),MATCH(EDATE(B38,-6),'37,5h'!$F$36:$O$36,0)))),IF(MONTH(B38)=4,INDEX('37,5h'!$F$39:$O$58,MATCH(D38,'37,5h'!$D$39:$D$58,0),MATCH(B38,'37,5h'!$F$36:$O$36,0)),INDEX('37,5h'!$F$39:$O$58,MATCH(D38,'37,5h'!$D$39:$D$58,0),MATCH(EDATE(B38,-6),'37,5h'!$F$36:$O$36,0))),0),AND($E$8=40,$E$7="Fonction publique"),IF(ISNUMBER(IF(MONTH(B38)=4,INDEX('40h'!$F$39:$O$58,MATCH(D38,'40h'!$D$39:$D$58,0),MATCH(B38,'40h'!$F$36:$O$36,0)),INDEX('40h'!$F$39:$O$58,MATCH(D38,'40h'!$D$39:$D$58,0),MATCH(EDATE(B38,-6),'40h'!$F$36:$O$36,0)))),IF(MONTH(B38)=4,INDEX('40h'!$F$39:$O$58,MATCH(D38,'40h'!$D$39:$D$58,0),MATCH(B38,'40h'!$F$36:$O$36,0)),INDEX('40h'!$F$39:$O$58,MATCH(D38,'40h'!$D$39:$D$58,0),MATCH(EDATE(B38,-6),'40h'!$F$36:$O$36,0))),0))</f>
        <v>159478.85714285713</v>
      </c>
      <c r="H38" s="153" cm="1">
        <f t="array" ref="H38">_xlfn.IFS($E$8=35,IF(ISNUMBER(IF(MONTH(B38)=4,INDEX('35h'!$F$70:$O$89,MATCH(D38,'35h'!$D$70:$D$89,0),MATCH(B38,'35h'!$F$67:$O$67,0)),INDEX('35h'!$F$70:$O$89,MATCH(D38,'35h'!$D$70:$D$89,0),MATCH(EDATE(B38,-6),'35h'!$F$67:$O$67,0)))),IF(MONTH(B38)=4,INDEX('35h'!$F$70:$O$89,MATCH(D38,'35h'!$D$70:$D$89,0),MATCH(B38,'35h'!$F$67:$O$67,0)),INDEX('35h'!$F$70:$O$89,MATCH(D38,'35h'!$D$70:$D$89,0),MATCH(EDATE(B38,-6),'35h'!$F$67:$O$67,0))),0),$E$8=37.5,IF(ISNUMBER(IF(MONTH(B38)=4,INDEX('37,5h'!$F$70:$O$89,MATCH(D38,'37,5h'!$D$70:$D$89,0),MATCH(B38,'37,5h'!$F$67:$O$67,0)),INDEX('37,5h'!$F$70:$O$89,MATCH(D38,'37,5h'!$D$70:$D$89,0),MATCH(EDATE(B38,-6),'37,5h'!$F$67:$O$67,0)))),IF(MONTH(B38)=4,INDEX('37,5h'!$F$70:$O$89,MATCH(D38,'37,5h'!$D$70:$D$89,0),MATCH(B38,'37,5h'!$F$67:$O$67,0)),INDEX('37,5h'!$F$70:$O$89,MATCH(D38,'37,5h'!$D$70:$D$89,0),MATCH(EDATE(B38,-6),'37,5h'!$F$67:$O$67,0))),0),$E$8=40,IF(ISNUMBER(IF(MONTH(B38)=4,INDEX('40h'!$F$70:$O$89,MATCH(D38,'40h'!$D$70:$D$89,0),MATCH(B38,'40h'!$F$67:$O$67,0)),INDEX('40h'!$F$70:$O$89,MATCH(D38,'40h'!$D$70:$D$89,0),MATCH(EDATE(B38,-6),'40h'!$F$67:$O$67,0)))),IF(MONTH(B38)=4,INDEX('40h'!$F$70:$O$89,MATCH(D38,'40h'!$D$70:$D$89,0),MATCH(B38,'40h'!$F$67:$O$67,0)),INDEX('40h'!$F$70:$O$89,MATCH(D38,'40h'!$D$70:$D$89,0),MATCH(EDATE(B38,-6),'40h'!$F$67:$O$67,0))),0))</f>
        <v>172179.42857142858</v>
      </c>
      <c r="I38" s="149">
        <f t="shared" si="1"/>
        <v>1040</v>
      </c>
      <c r="J38" s="104"/>
      <c r="K38" s="104"/>
      <c r="L38" s="104"/>
      <c r="M38" s="190">
        <f t="shared" si="8"/>
        <v>1040</v>
      </c>
      <c r="N38" s="148">
        <f t="shared" si="2"/>
        <v>79464.359634233158</v>
      </c>
      <c r="O38" s="148">
        <f t="shared" si="3"/>
        <v>85792.739418496421</v>
      </c>
      <c r="P38" s="129"/>
      <c r="Q38" s="148">
        <f t="shared" si="5"/>
        <v>6328.379784263263</v>
      </c>
      <c r="R38" s="148"/>
      <c r="S38" s="150">
        <f t="shared" si="6"/>
        <v>6328.379784263263</v>
      </c>
      <c r="T38" s="153">
        <f t="shared" si="7"/>
        <v>6454.9473799485286</v>
      </c>
      <c r="U38" s="195">
        <f t="shared" si="4"/>
        <v>6454.9473799485286</v>
      </c>
      <c r="V38" s="167"/>
      <c r="W38" s="210"/>
    </row>
    <row r="39" spans="1:23" x14ac:dyDescent="0.25">
      <c r="A39" s="167"/>
      <c r="B39" s="152">
        <v>45200</v>
      </c>
      <c r="C39" s="147">
        <v>45204</v>
      </c>
      <c r="D39" s="190">
        <f>VLOOKUP(C39,'Calcul de l''échelon de départ'!$H$7:I42,2,0)</f>
        <v>20</v>
      </c>
      <c r="E39" s="190" t="str">
        <f t="shared" si="0"/>
        <v>18E</v>
      </c>
      <c r="F39" s="104"/>
      <c r="G39" s="153" cm="1">
        <f t="array" ref="G39">_xlfn.IFS(AND($E$8=35,$E$7="ARQ"),IF(ISNUMBER(IF(MONTH(B39)=4,INDEX('35h'!$F$8:$O$27,MATCH(D39,'35h'!$D$8:$D$27,0),MATCH(B39,'35h'!$F$5:$O$5,0)),INDEX('35h'!$F$8:$O$27,MATCH(D39,'35h'!$D$8:$D$27,0),MATCH(EDATE(B39,-6),'35h'!$F$5:$O$5,0)))),IF(MONTH(B39)=4,INDEX('35h'!$F$8:$O$27,MATCH(D39,'35h'!$D$8:$D$27,0),MATCH(B39,'35h'!$F$5:$O$5,0)),INDEX('35h'!$F$8:$O$27,MATCH(D39,'35h'!$D$8:$D$27,0),MATCH(EDATE(B39,-6),'35h'!$F$5:$O$5,0))),0),AND($E$8=37.5,$E$7="ARQ"),IF(ISNUMBER(IF(MONTH(B39)=4,INDEX('37,5h'!$F$8:$O$28,MATCH(D39,'37,5h'!$D$8:$D$28,0),MATCH(B39,'37,5h'!$F$5:$O$5,0)),INDEX('37,5h'!$F$8:$O$28,MATCH(D39,'37,5h'!$D$8:$D$28,0),MATCH(EDATE(B39,-6),'37,5h'!$F$5:$O$5,0)))),IF(MONTH(B39)=4,INDEX('37,5h'!$F$8:$O$28,MATCH(D39,'37,5h'!$D$8:$D$28,0),MATCH(B39,'37,5h'!$F$5:$O$5,0)),INDEX('37,5h'!$F$8:$O$28,MATCH(D39,'37,5h'!$D$8:$D$28,0),MATCH(EDATE(B39,-6),'37,5h'!$F$5:$O$5,0))),0),AND($E$8=40,$E$7="ARQ"),IF(ISNUMBER(IF(MONTH(B39)=4,INDEX('40h'!$F$8:$O$28,MATCH(D39,'40h'!$D$8:$D$28,0),MATCH(B39,'40h'!$F$5:$O$5,0)),INDEX('40h'!$F$8:$O$28,MATCH(D39,'40h'!$D$8:$D$28,0),MATCH(EDATE(B39,-6),'40h'!$F$5:$O$5,0)))),IF(MONTH(B39)=4,INDEX('40h'!$F$8:$O$28,MATCH(D39,'40h'!$D$8:$D$28,0),MATCH(B39,'40h'!$F$5:$O$5,0)),INDEX('40h'!$F$8:$O$28,MATCH(D39,'40h'!$D$8:$D$28,0),MATCH(EDATE(B39,-6),'40h'!$F$5:$O$5,0))),0),AND($E$8=35,$E$7="Fonction publique"),IF(ISNUMBER(IF(MONTH(B39)=4,INDEX('35h'!$F$39:$O$58,MATCH(D39,'35h'!$D$39:$D$58,0),MATCH(B39,'35h'!$F$36:$O$36,0)),INDEX('35h'!$F$39:$O$58,MATCH(D39,'35h'!$D$39:$D$58,0),MATCH(EDATE(B39,-6),'35h'!$F$36:$O$36,0)))),IF(MONTH(B39)=4,INDEX('35h'!$F$39:$O$58,MATCH(D39,'35h'!$D$39:$D$58,0),MATCH(B39,'35h'!$F$36:$O$36,0)),INDEX('35h'!$F$39:$O$58,MATCH(D39,'35h'!$D$39:$D$58,0),MATCH(EDATE(B39,-6),'35h'!$F$36:$O$36,0))),0),AND($E$8=37.5,$E$7="Fonction publique"),IF(ISNUMBER(IF(MONTH(B39)=4,INDEX('37,5h'!$F$39:$O$58,MATCH(D39,'37,5h'!$D$39:$D$58,0),MATCH(B39,'37,5h'!$F$36:$O$36,0)),INDEX('37,5h'!$F$39:$O$58,MATCH(D39,'37,5h'!$D$39:$D$58,0),MATCH(EDATE(B39,-6),'37,5h'!$F$36:$O$36,0)))),IF(MONTH(B39)=4,INDEX('37,5h'!$F$39:$O$58,MATCH(D39,'37,5h'!$D$39:$D$58,0),MATCH(B39,'37,5h'!$F$36:$O$36,0)),INDEX('37,5h'!$F$39:$O$58,MATCH(D39,'37,5h'!$D$39:$D$58,0),MATCH(EDATE(B39,-6),'37,5h'!$F$36:$O$36,0))),0),AND($E$8=40,$E$7="Fonction publique"),IF(ISNUMBER(IF(MONTH(B39)=4,INDEX('40h'!$F$39:$O$58,MATCH(D39,'40h'!$D$39:$D$58,0),MATCH(B39,'40h'!$F$36:$O$36,0)),INDEX('40h'!$F$39:$O$58,MATCH(D39,'40h'!$D$39:$D$58,0),MATCH(EDATE(B39,-6),'40h'!$F$36:$O$36,0)))),IF(MONTH(B39)=4,INDEX('40h'!$F$39:$O$58,MATCH(D39,'40h'!$D$39:$D$58,0),MATCH(B39,'40h'!$F$36:$O$36,0)),INDEX('40h'!$F$39:$O$58,MATCH(D39,'40h'!$D$39:$D$58,0),MATCH(EDATE(B39,-6),'40h'!$F$36:$O$36,0))),0))</f>
        <v>159478.85714285713</v>
      </c>
      <c r="H39" s="153" cm="1">
        <f t="array" ref="H39">_xlfn.IFS($E$8=35,IF(ISNUMBER(IF(MONTH(B39)=4,INDEX('35h'!$F$70:$O$89,MATCH(D39,'35h'!$D$70:$D$89,0),MATCH(B39,'35h'!$F$67:$O$67,0)),INDEX('35h'!$F$70:$O$89,MATCH(D39,'35h'!$D$70:$D$89,0),MATCH(EDATE(B39,-6),'35h'!$F$67:$O$67,0)))),IF(MONTH(B39)=4,INDEX('35h'!$F$70:$O$89,MATCH(D39,'35h'!$D$70:$D$89,0),MATCH(B39,'35h'!$F$67:$O$67,0)),INDEX('35h'!$F$70:$O$89,MATCH(D39,'35h'!$D$70:$D$89,0),MATCH(EDATE(B39,-6),'35h'!$F$67:$O$67,0))),0),$E$8=37.5,IF(ISNUMBER(IF(MONTH(B39)=4,INDEX('37,5h'!$F$70:$O$89,MATCH(D39,'37,5h'!$D$70:$D$89,0),MATCH(B39,'37,5h'!$F$67:$O$67,0)),INDEX('37,5h'!$F$70:$O$89,MATCH(D39,'37,5h'!$D$70:$D$89,0),MATCH(EDATE(B39,-6),'37,5h'!$F$67:$O$67,0)))),IF(MONTH(B39)=4,INDEX('37,5h'!$F$70:$O$89,MATCH(D39,'37,5h'!$D$70:$D$89,0),MATCH(B39,'37,5h'!$F$67:$O$67,0)),INDEX('37,5h'!$F$70:$O$89,MATCH(D39,'37,5h'!$D$70:$D$89,0),MATCH(EDATE(B39,-6),'37,5h'!$F$67:$O$67,0))),0),$E$8=40,IF(ISNUMBER(IF(MONTH(B39)=4,INDEX('40h'!$F$70:$O$89,MATCH(D39,'40h'!$D$70:$D$89,0),MATCH(B39,'40h'!$F$67:$O$67,0)),INDEX('40h'!$F$70:$O$89,MATCH(D39,'40h'!$D$70:$D$89,0),MATCH(EDATE(B39,-6),'40h'!$F$67:$O$67,0)))),IF(MONTH(B39)=4,INDEX('40h'!$F$70:$O$89,MATCH(D39,'40h'!$D$70:$D$89,0),MATCH(B39,'40h'!$F$67:$O$67,0)),INDEX('40h'!$F$70:$O$89,MATCH(D39,'40h'!$D$70:$D$89,0),MATCH(EDATE(B39,-6),'40h'!$F$67:$O$67,0))),0))</f>
        <v>172179.42857142858</v>
      </c>
      <c r="I39" s="149">
        <f t="shared" si="1"/>
        <v>1040</v>
      </c>
      <c r="J39" s="104"/>
      <c r="K39" s="104"/>
      <c r="L39" s="104"/>
      <c r="M39" s="190">
        <f t="shared" si="8"/>
        <v>1040</v>
      </c>
      <c r="N39" s="148">
        <f t="shared" si="2"/>
        <v>79464.359634233158</v>
      </c>
      <c r="O39" s="148">
        <f t="shared" si="3"/>
        <v>85792.739418496421</v>
      </c>
      <c r="P39" s="129"/>
      <c r="Q39" s="148">
        <f t="shared" si="5"/>
        <v>6328.379784263263</v>
      </c>
      <c r="R39" s="148"/>
      <c r="S39" s="150">
        <f t="shared" si="6"/>
        <v>6328.379784263263</v>
      </c>
      <c r="T39" s="153">
        <f t="shared" si="7"/>
        <v>6454.9473799485286</v>
      </c>
      <c r="U39" s="195">
        <f t="shared" si="4"/>
        <v>6454.9473799485286</v>
      </c>
      <c r="V39" s="167"/>
      <c r="W39" s="210"/>
    </row>
    <row r="40" spans="1:23" ht="15.75" thickBot="1" x14ac:dyDescent="0.3">
      <c r="A40" s="167"/>
      <c r="B40" s="152">
        <v>45383</v>
      </c>
      <c r="C40" s="147">
        <v>45386</v>
      </c>
      <c r="D40" s="190">
        <f>VLOOKUP(C40,'Calcul de l''échelon de départ'!$H$7:I43,2,0)</f>
        <v>20</v>
      </c>
      <c r="E40" s="190" t="str">
        <f t="shared" si="0"/>
        <v>18E</v>
      </c>
      <c r="F40" s="105"/>
      <c r="G40" s="153" cm="1">
        <f t="array" ref="G40">_xlfn.IFS(AND($E$8=35,$E$7="ARQ"),IF(ISNUMBER(IF(MONTH(B40)=4,INDEX('35h'!$F$8:$O$27,MATCH(D40,'35h'!$D$8:$D$27,0),MATCH(B40,'35h'!$F$5:$O$5,0)),INDEX('35h'!$F$8:$O$27,MATCH(D40,'35h'!$D$8:$D$27,0),MATCH(EDATE(B40,-6),'35h'!$F$5:$O$5,0)))),IF(MONTH(B40)=4,INDEX('35h'!$F$8:$O$27,MATCH(D40,'35h'!$D$8:$D$27,0),MATCH(B40,'35h'!$F$5:$O$5,0)),INDEX('35h'!$F$8:$O$27,MATCH(D40,'35h'!$D$8:$D$27,0),MATCH(EDATE(B40,-6),'35h'!$F$5:$O$5,0))),0),AND($E$8=37.5,$E$7="ARQ"),IF(ISNUMBER(IF(MONTH(B40)=4,INDEX('37,5h'!$F$8:$O$28,MATCH(D40,'37,5h'!$D$8:$D$28,0),MATCH(B40,'37,5h'!$F$5:$O$5,0)),INDEX('37,5h'!$F$8:$O$28,MATCH(D40,'37,5h'!$D$8:$D$28,0),MATCH(EDATE(B40,-6),'37,5h'!$F$5:$O$5,0)))),IF(MONTH(B40)=4,INDEX('37,5h'!$F$8:$O$28,MATCH(D40,'37,5h'!$D$8:$D$28,0),MATCH(B40,'37,5h'!$F$5:$O$5,0)),INDEX('37,5h'!$F$8:$O$28,MATCH(D40,'37,5h'!$D$8:$D$28,0),MATCH(EDATE(B40,-6),'37,5h'!$F$5:$O$5,0))),0),AND($E$8=40,$E$7="ARQ"),IF(ISNUMBER(IF(MONTH(B40)=4,INDEX('40h'!$F$8:$O$28,MATCH(D40,'40h'!$D$8:$D$28,0),MATCH(B40,'40h'!$F$5:$O$5,0)),INDEX('40h'!$F$8:$O$28,MATCH(D40,'40h'!$D$8:$D$28,0),MATCH(EDATE(B40,-6),'40h'!$F$5:$O$5,0)))),IF(MONTH(B40)=4,INDEX('40h'!$F$8:$O$28,MATCH(D40,'40h'!$D$8:$D$28,0),MATCH(B40,'40h'!$F$5:$O$5,0)),INDEX('40h'!$F$8:$O$28,MATCH(D40,'40h'!$D$8:$D$28,0),MATCH(EDATE(B40,-6),'40h'!$F$5:$O$5,0))),0),AND($E$8=35,$E$7="Fonction publique"),IF(ISNUMBER(IF(MONTH(B40)=4,INDEX('35h'!$F$39:$O$58,MATCH(D40,'35h'!$D$39:$D$58,0),MATCH(B40,'35h'!$F$36:$O$36,0)),INDEX('35h'!$F$39:$O$58,MATCH(D40,'35h'!$D$39:$D$58,0),MATCH(EDATE(B40,-6),'35h'!$F$36:$O$36,0)))),IF(MONTH(B40)=4,INDEX('35h'!$F$39:$O$58,MATCH(D40,'35h'!$D$39:$D$58,0),MATCH(B40,'35h'!$F$36:$O$36,0)),INDEX('35h'!$F$39:$O$58,MATCH(D40,'35h'!$D$39:$D$58,0),MATCH(EDATE(B40,-6),'35h'!$F$36:$O$36,0))),0),AND($E$8=37.5,$E$7="Fonction publique"),IF(ISNUMBER(IF(MONTH(B40)=4,INDEX('37,5h'!$F$39:$O$58,MATCH(D40,'37,5h'!$D$39:$D$58,0),MATCH(B40,'37,5h'!$F$36:$O$36,0)),INDEX('37,5h'!$F$39:$O$58,MATCH(D40,'37,5h'!$D$39:$D$58,0),MATCH(EDATE(B40,-6),'37,5h'!$F$36:$O$36,0)))),IF(MONTH(B40)=4,INDEX('37,5h'!$F$39:$O$58,MATCH(D40,'37,5h'!$D$39:$D$58,0),MATCH(B40,'37,5h'!$F$36:$O$36,0)),INDEX('37,5h'!$F$39:$O$58,MATCH(D40,'37,5h'!$D$39:$D$58,0),MATCH(EDATE(B40,-6),'37,5h'!$F$36:$O$36,0))),0),AND($E$8=40,$E$7="Fonction publique"),IF(ISNUMBER(IF(MONTH(B40)=4,INDEX('40h'!$F$39:$O$58,MATCH(D40,'40h'!$D$39:$D$58,0),MATCH(B40,'40h'!$F$36:$O$36,0)),INDEX('40h'!$F$39:$O$58,MATCH(D40,'40h'!$D$39:$D$58,0),MATCH(EDATE(B40,-6),'40h'!$F$36:$O$36,0)))),IF(MONTH(B40)=4,INDEX('40h'!$F$39:$O$58,MATCH(D40,'40h'!$D$39:$D$58,0),MATCH(B40,'40h'!$F$36:$O$36,0)),INDEX('40h'!$F$39:$O$58,MATCH(D40,'40h'!$D$39:$D$58,0),MATCH(EDATE(B40,-6),'40h'!$F$36:$O$36,0))),0))</f>
        <v>159478.85714285713</v>
      </c>
      <c r="H40" s="153" cm="1">
        <f t="array" ref="H40">_xlfn.IFS($E$8=35,IF(ISNUMBER(IF(MONTH(B40)=4,INDEX('35h'!$F$70:$O$89,MATCH(D40,'35h'!$D$70:$D$89,0),MATCH(B40,'35h'!$F$67:$O$67,0)),INDEX('35h'!$F$70:$O$89,MATCH(D40,'35h'!$D$70:$D$89,0),MATCH(EDATE(B40,-6),'35h'!$F$67:$O$67,0)))),IF(MONTH(B40)=4,INDEX('35h'!$F$70:$O$89,MATCH(D40,'35h'!$D$70:$D$89,0),MATCH(B40,'35h'!$F$67:$O$67,0)),INDEX('35h'!$F$70:$O$89,MATCH(D40,'35h'!$D$70:$D$89,0),MATCH(EDATE(B40,-6),'35h'!$F$67:$O$67,0))),0),$E$8=37.5,IF(ISNUMBER(IF(MONTH(B40)=4,INDEX('37,5h'!$F$70:$O$89,MATCH(D40,'37,5h'!$D$70:$D$89,0),MATCH(B40,'37,5h'!$F$67:$O$67,0)),INDEX('37,5h'!$F$70:$O$89,MATCH(D40,'37,5h'!$D$70:$D$89,0),MATCH(EDATE(B40,-6),'37,5h'!$F$67:$O$67,0)))),IF(MONTH(B40)=4,INDEX('37,5h'!$F$70:$O$89,MATCH(D40,'37,5h'!$D$70:$D$89,0),MATCH(B40,'37,5h'!$F$67:$O$67,0)),INDEX('37,5h'!$F$70:$O$89,MATCH(D40,'37,5h'!$D$70:$D$89,0),MATCH(EDATE(B40,-6),'37,5h'!$F$67:$O$67,0))),0),$E$8=40,IF(ISNUMBER(IF(MONTH(B40)=4,INDEX('40h'!$F$70:$O$89,MATCH(D40,'40h'!$D$70:$D$89,0),MATCH(B40,'40h'!$F$67:$O$67,0)),INDEX('40h'!$F$70:$O$89,MATCH(D40,'40h'!$D$70:$D$89,0),MATCH(EDATE(B40,-6),'40h'!$F$67:$O$67,0)))),IF(MONTH(B40)=4,INDEX('40h'!$F$70:$O$89,MATCH(D40,'40h'!$D$70:$D$89,0),MATCH(B40,'40h'!$F$67:$O$67,0)),INDEX('40h'!$F$70:$O$89,MATCH(D40,'40h'!$D$70:$D$89,0),MATCH(EDATE(B40,-6),'40h'!$F$67:$O$67,0))),0))</f>
        <v>172179.42857142858</v>
      </c>
      <c r="I40" s="149">
        <f t="shared" si="1"/>
        <v>640</v>
      </c>
      <c r="J40" s="105"/>
      <c r="K40" s="105"/>
      <c r="L40" s="105"/>
      <c r="M40" s="190">
        <f t="shared" si="8"/>
        <v>640</v>
      </c>
      <c r="N40" s="148">
        <f t="shared" si="2"/>
        <v>48901.144390297326</v>
      </c>
      <c r="O40" s="148">
        <f t="shared" si="3"/>
        <v>52795.531949843957</v>
      </c>
      <c r="P40" s="130"/>
      <c r="Q40" s="148">
        <f t="shared" si="5"/>
        <v>3894.3875595466307</v>
      </c>
      <c r="R40" s="148"/>
      <c r="S40" s="150">
        <f t="shared" si="6"/>
        <v>3894.3875595466307</v>
      </c>
      <c r="T40" s="153">
        <f t="shared" si="7"/>
        <v>3972.2753107375634</v>
      </c>
      <c r="U40" s="195">
        <f t="shared" si="4"/>
        <v>3972.2753107375634</v>
      </c>
      <c r="V40" s="167"/>
      <c r="W40" s="210"/>
    </row>
    <row r="41" spans="1:23" x14ac:dyDescent="0.25">
      <c r="A41" s="170"/>
      <c r="B41" s="154"/>
      <c r="C41" s="206">
        <f>E16+1</f>
        <v>45498</v>
      </c>
      <c r="D41" s="190"/>
      <c r="E41" s="190"/>
      <c r="F41" s="190"/>
      <c r="G41" s="148"/>
      <c r="H41" s="148"/>
      <c r="I41" s="190"/>
      <c r="J41" s="190"/>
      <c r="K41" s="190"/>
      <c r="L41" s="190"/>
      <c r="M41" s="190"/>
      <c r="N41" s="148"/>
      <c r="O41" s="148"/>
      <c r="P41" s="148"/>
      <c r="Q41" s="148"/>
      <c r="R41" s="148"/>
      <c r="S41" s="155"/>
      <c r="T41" s="187"/>
      <c r="U41" s="196"/>
      <c r="V41" s="167"/>
      <c r="W41" s="210"/>
    </row>
    <row r="42" spans="1:23" ht="15.75" thickBot="1" x14ac:dyDescent="0.3">
      <c r="A42" s="170"/>
      <c r="B42" s="98"/>
      <c r="C42" s="156" t="s">
        <v>20</v>
      </c>
      <c r="D42" s="157"/>
      <c r="E42" s="157"/>
      <c r="F42" s="157"/>
      <c r="G42" s="158"/>
      <c r="H42" s="158"/>
      <c r="I42" s="159">
        <f>SUM(I22:I40)</f>
        <v>18696</v>
      </c>
      <c r="J42" s="159">
        <f>SUM(J22:J40)</f>
        <v>0</v>
      </c>
      <c r="K42" s="159">
        <f>SUM(K22:K40)</f>
        <v>0</v>
      </c>
      <c r="L42" s="159">
        <f>SUM(L22:L40)</f>
        <v>0</v>
      </c>
      <c r="M42" s="159">
        <f>SUM(M22:M40)</f>
        <v>18696</v>
      </c>
      <c r="N42" s="158" cm="1">
        <f t="array" ref="N42">SUMPRODUCT((ISNUMBER(N22:N40))*(N22:N40))</f>
        <v>1333335.289930461</v>
      </c>
      <c r="O42" s="158" cm="1">
        <f t="array" ref="O42">SUMPRODUCT((ISNUMBER(O22:O40))*(O22:O40))</f>
        <v>1407886.0033948421</v>
      </c>
      <c r="P42" s="158" cm="1">
        <f t="array" ref="P42">SUMPRODUCT((ISNUMBER(P22:P40))*(P22:P40))</f>
        <v>0</v>
      </c>
      <c r="Q42" s="158" cm="1">
        <f t="array" ref="Q42">SUMPRODUCT((ISNUMBER(Q22:Q40))*(Q22:Q40))</f>
        <v>74550.713464381552</v>
      </c>
      <c r="R42" s="158" cm="1">
        <f t="array" ref="R42">SUMPRODUCT((ISNUMBER(R22:R40))*(R22:R40))</f>
        <v>-980.8</v>
      </c>
      <c r="S42" s="160" cm="1">
        <f t="array" ref="S42">SUMPRODUCT((ISNUMBER(S22:S40))*(S22:S40))</f>
        <v>73569.913464381563</v>
      </c>
      <c r="T42" s="188" cm="1">
        <f t="array" ref="T42">SUMPRODUCT((ISNUMBER(T22:T40))*(T22:T40))</f>
        <v>75060.927733669188</v>
      </c>
      <c r="U42" s="197" cm="1">
        <f t="array" ref="U42">SUMPRODUCT((ISNUMBER(U22:U40))*(U22:U40))</f>
        <v>75060.927733669188</v>
      </c>
      <c r="V42" s="167"/>
    </row>
    <row r="43" spans="1:23" ht="24.75" customHeight="1" x14ac:dyDescent="0.25">
      <c r="A43" s="170"/>
      <c r="B43" s="167"/>
      <c r="C43" s="171"/>
      <c r="D43" s="171"/>
      <c r="E43" s="171"/>
      <c r="F43" s="171"/>
      <c r="G43" s="172"/>
      <c r="H43" s="172"/>
      <c r="I43" s="173"/>
      <c r="J43" s="173"/>
      <c r="K43" s="173"/>
      <c r="L43" s="173"/>
      <c r="M43" s="173"/>
      <c r="N43" s="172"/>
      <c r="O43" s="172"/>
      <c r="P43" s="172"/>
      <c r="Q43" s="172"/>
      <c r="R43" s="172"/>
      <c r="S43" s="174"/>
      <c r="T43" s="174"/>
      <c r="U43" s="174"/>
      <c r="V43" s="167"/>
    </row>
    <row r="44" spans="1:23" ht="51" customHeight="1" x14ac:dyDescent="0.25">
      <c r="S44" s="216" t="s">
        <v>127</v>
      </c>
      <c r="T44" s="216"/>
      <c r="U44" s="185"/>
      <c r="V44" s="167"/>
    </row>
    <row r="45" spans="1:23" ht="69.75" customHeight="1" x14ac:dyDescent="0.25">
      <c r="C45" s="209" t="s">
        <v>96</v>
      </c>
      <c r="D45" s="209"/>
      <c r="E45" s="209"/>
      <c r="F45" s="209"/>
      <c r="G45" s="209"/>
      <c r="H45" s="209"/>
      <c r="I45" s="209"/>
      <c r="J45" s="209"/>
      <c r="K45" s="209"/>
      <c r="L45" s="209"/>
      <c r="M45" s="209"/>
      <c r="N45" s="209"/>
      <c r="R45" s="135"/>
      <c r="S45" s="208" t="s">
        <v>97</v>
      </c>
      <c r="T45" s="208"/>
      <c r="U45" s="182"/>
      <c r="V45" s="167"/>
    </row>
    <row r="46" spans="1:23" x14ac:dyDescent="0.25">
      <c r="N46" s="161"/>
      <c r="O46" s="161"/>
      <c r="P46" s="161"/>
      <c r="S46" s="135"/>
      <c r="T46" s="161"/>
      <c r="U46" s="161"/>
      <c r="V46" s="167"/>
    </row>
    <row r="47" spans="1:23" x14ac:dyDescent="0.25">
      <c r="G47" s="30"/>
      <c r="I47" s="30"/>
      <c r="N47" s="161"/>
      <c r="O47" s="161"/>
      <c r="P47" s="161"/>
      <c r="V47" s="167"/>
    </row>
    <row r="48" spans="1:23" x14ac:dyDescent="0.25">
      <c r="I48" s="30"/>
      <c r="N48" s="161"/>
      <c r="O48" s="161"/>
      <c r="P48" s="161"/>
      <c r="V48" s="167"/>
    </row>
    <row r="49" spans="3:22" x14ac:dyDescent="0.25">
      <c r="C49" s="135"/>
      <c r="V49" s="167"/>
    </row>
    <row r="50" spans="3:22" x14ac:dyDescent="0.25">
      <c r="V50" s="167"/>
    </row>
    <row r="51" spans="3:22" x14ac:dyDescent="0.25">
      <c r="V51" s="167"/>
    </row>
    <row r="52" spans="3:22" x14ac:dyDescent="0.25">
      <c r="V52" s="167"/>
    </row>
    <row r="53" spans="3:22" x14ac:dyDescent="0.25">
      <c r="C53" s="162"/>
      <c r="I53" s="138"/>
      <c r="V53" s="167"/>
    </row>
    <row r="54" spans="3:22" x14ac:dyDescent="0.25">
      <c r="C54" s="162"/>
      <c r="I54" s="138"/>
      <c r="V54" s="167"/>
    </row>
    <row r="55" spans="3:22" x14ac:dyDescent="0.25">
      <c r="C55" s="162"/>
      <c r="I55" s="138"/>
    </row>
    <row r="56" spans="3:22" x14ac:dyDescent="0.25">
      <c r="C56" s="162"/>
      <c r="I56" s="138"/>
    </row>
    <row r="57" spans="3:22" x14ac:dyDescent="0.25">
      <c r="C57" s="162"/>
      <c r="I57" s="138"/>
    </row>
    <row r="58" spans="3:22" x14ac:dyDescent="0.25">
      <c r="H58" s="162"/>
      <c r="I58" s="138"/>
    </row>
    <row r="74" spans="8:10" x14ac:dyDescent="0.25">
      <c r="H74" s="161"/>
      <c r="I74" s="161"/>
      <c r="J74" s="161"/>
    </row>
    <row r="75" spans="8:10" x14ac:dyDescent="0.25">
      <c r="H75" s="161"/>
      <c r="I75" s="161"/>
      <c r="J75" s="161"/>
    </row>
    <row r="76" spans="8:10" x14ac:dyDescent="0.25">
      <c r="H76" s="161"/>
      <c r="I76" s="161"/>
      <c r="J76" s="161"/>
    </row>
    <row r="77" spans="8:10" x14ac:dyDescent="0.25">
      <c r="H77" s="161"/>
      <c r="I77" s="161"/>
      <c r="J77" s="161"/>
    </row>
    <row r="78" spans="8:10" x14ac:dyDescent="0.25">
      <c r="H78" s="161"/>
      <c r="I78" s="161"/>
      <c r="J78" s="161"/>
    </row>
    <row r="79" spans="8:10" x14ac:dyDescent="0.25">
      <c r="H79" s="161"/>
      <c r="I79" s="161"/>
      <c r="J79" s="161"/>
    </row>
  </sheetData>
  <sheetProtection algorithmName="SHA-512" hashValue="Xx1xdkEO5+yrI7PlODnCJWrRX6bM9C/0SgPNHLPruWwsSPYBGwmgWqbyIsmnpTb6ZXTJ3vjr6YH/GMR3D9p5Wg==" saltValue="c8H8z9l+pD5vp8+VQQicwA==" spinCount="100000" sheet="1" selectLockedCells="1"/>
  <mergeCells count="7">
    <mergeCell ref="S45:T45"/>
    <mergeCell ref="C45:N45"/>
    <mergeCell ref="W1:W41"/>
    <mergeCell ref="J13:M13"/>
    <mergeCell ref="C1:T1"/>
    <mergeCell ref="C2:T2"/>
    <mergeCell ref="S44:T44"/>
  </mergeCells>
  <dataValidations disablePrompts="1" count="2">
    <dataValidation type="list" allowBlank="1" showInputMessage="1" showErrorMessage="1" sqref="E11" xr:uid="{511EE671-F317-4A3A-997B-7AB3ECC8794D}">
      <formula1>"oui,non"</formula1>
    </dataValidation>
    <dataValidation type="list" allowBlank="1" showInputMessage="1" showErrorMessage="1" errorTitle="Avertissement" error="Vous devez sélectionner un choix de la liste." sqref="E8" xr:uid="{5A6ACB88-E667-4C81-A35A-3E4AD30B817F}">
      <formula1>Taux_horaire</formula1>
    </dataValidation>
  </dataValidations>
  <hyperlinks>
    <hyperlink ref="J13:M13" location="Calculateur!U43" display="Cliquez ici pour atteindre les résultats" xr:uid="{806F0C87-5FB8-40FA-9441-18C7AD73E88A}"/>
  </hyperlinks>
  <pageMargins left="0.70866141732283472" right="0.70866141732283472" top="0.74803149606299213" bottom="0.74803149606299213" header="0.31496062992125984" footer="0.31496062992125984"/>
  <pageSetup paperSize="5" scale="28" orientation="landscape" r:id="rId1"/>
  <rowBreaks count="1" manualBreakCount="1">
    <brk id="47" max="16383" man="1"/>
  </rowBreaks>
  <colBreaks count="1" manualBreakCount="1">
    <brk id="21" max="117" man="1"/>
  </colBreaks>
  <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errorTitle="Avertissement" error="Vous devez sélectionner un choix de la liste." xr:uid="{F26E8BD6-1AC5-4C31-92F9-3613EABA8D7D}">
          <x14:formula1>
            <xm:f>'35h'!$A$1:$A$2</xm:f>
          </x14:formula1>
          <xm:sqref>E7</xm:sqref>
        </x14:dataValidation>
        <x14:dataValidation type="list" allowBlank="1" showInputMessage="1" showErrorMessage="1" errorTitle="Avertissement" error="Vous devez sélectionner un choix de la liste." xr:uid="{6910A3C3-C39E-41FE-B510-FAEF009F2DFA}">
          <x14:formula1>
            <xm:f>'35h'!$A$4:$A$6</xm:f>
          </x14:formula1>
          <xm:sqref>E8</xm:sqref>
        </x14:dataValidation>
        <x14:dataValidation type="list" allowBlank="1" showInputMessage="1" showErrorMessage="1" xr:uid="{6CD8D7A4-F9FD-4943-B3FB-912EDD717463}">
          <x14:formula1>
            <xm:f>'Infos (référence seul.)'!$B$16:$B$34</xm:f>
          </x14:formula1>
          <xm:sqref>E10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C7EDE-9713-43C2-9270-60C10E5C9EF5}">
  <dimension ref="B1:X249"/>
  <sheetViews>
    <sheetView topLeftCell="I11" workbookViewId="0">
      <selection activeCell="O32" sqref="O32"/>
    </sheetView>
  </sheetViews>
  <sheetFormatPr baseColWidth="10" defaultColWidth="11.42578125" defaultRowHeight="15" x14ac:dyDescent="0.25"/>
  <cols>
    <col min="2" max="2" width="25" customWidth="1"/>
    <col min="5" max="5" width="15.28515625" bestFit="1" customWidth="1"/>
    <col min="8" max="8" width="28.140625" customWidth="1"/>
    <col min="9" max="9" width="31.140625" customWidth="1"/>
    <col min="10" max="11" width="16.28515625" customWidth="1"/>
    <col min="14" max="14" width="23.140625" customWidth="1"/>
    <col min="15" max="15" width="22.5703125" customWidth="1"/>
    <col min="16" max="16" width="19.140625" customWidth="1"/>
  </cols>
  <sheetData>
    <row r="1" spans="2:19" ht="15.75" thickBot="1" x14ac:dyDescent="0.3">
      <c r="C1" s="30"/>
      <c r="D1" s="30"/>
      <c r="G1" s="176"/>
      <c r="H1" s="177"/>
      <c r="I1" s="179"/>
      <c r="J1" s="179"/>
      <c r="K1" s="180"/>
      <c r="N1" t="s">
        <v>21</v>
      </c>
    </row>
    <row r="2" spans="2:19" ht="15.75" x14ac:dyDescent="0.25">
      <c r="N2" s="92" t="s">
        <v>22</v>
      </c>
      <c r="O2" s="89">
        <f>Calculateur!E9</f>
        <v>37384</v>
      </c>
    </row>
    <row r="3" spans="2:19" ht="16.5" thickBot="1" x14ac:dyDescent="0.3">
      <c r="D3" s="118" t="s">
        <v>23</v>
      </c>
      <c r="E3" s="116" t="s">
        <v>24</v>
      </c>
      <c r="G3" s="87"/>
      <c r="H3" s="99" t="s">
        <v>25</v>
      </c>
      <c r="I3" s="87" t="s">
        <v>26</v>
      </c>
      <c r="J3" s="87" t="s">
        <v>27</v>
      </c>
      <c r="K3" s="87"/>
      <c r="L3" s="87"/>
      <c r="N3" s="92"/>
      <c r="O3" s="88"/>
    </row>
    <row r="4" spans="2:19" ht="48" thickBot="1" x14ac:dyDescent="0.3">
      <c r="B4" s="87" t="s">
        <v>28</v>
      </c>
      <c r="C4" s="30">
        <f xml:space="preserve"> idemp</f>
        <v>37384</v>
      </c>
      <c r="D4" s="117">
        <f>IF(Calculateur!E10="18E",20,Calculateur!E10)</f>
        <v>2</v>
      </c>
      <c r="E4">
        <f>IF(C4&lt;=$G$7,0,IF(C4=idemp,VLOOKUP(C4,$L$7:$M$25,2,0),VLOOKUP(C4,$G$7:$J$25,4,0)))</f>
        <v>0</v>
      </c>
      <c r="G4" s="178"/>
      <c r="H4">
        <f>IF(D4&lt;9,4,9)</f>
        <v>4</v>
      </c>
      <c r="I4" s="30">
        <f>MAX(G4,DATE(YEAR(idemp),MONTH(idemp)+H4,DAY(idemp)))</f>
        <v>37507</v>
      </c>
      <c r="J4" s="100">
        <f>IF(O46&lt;H47,IF(I4=G4,G4,IF(AND(I4&gt;DATE(YEAR(I4),4,1),I4&lt;=DATE(YEAR(I4),10,1)),DATE(YEAR(I4),10,1),IF(I4&lt;=DATE(YEAR(I4),4,1),DATE(YEAR(I4),4,1),DATE(YEAR(I4)+1,4,1)))),I70)</f>
        <v>37530</v>
      </c>
      <c r="K4" s="100"/>
      <c r="N4" s="93" t="s">
        <v>29</v>
      </c>
      <c r="O4" s="89">
        <f>IF(Calculateur!D19&lt;9,EDATE(O2,4),EDATE(O2,9))</f>
        <v>37507</v>
      </c>
    </row>
    <row r="5" spans="2:19" ht="16.5" thickBot="1" x14ac:dyDescent="0.3">
      <c r="B5" s="87" t="s">
        <v>30</v>
      </c>
      <c r="C5" s="30">
        <f>J4</f>
        <v>37530</v>
      </c>
      <c r="D5" s="97">
        <f>MIN(20,IF(E5=0,IF(over_prem_date&gt;0,over_prem_date,IF(E4&gt;0,E4,D4))+1,E5))</f>
        <v>3</v>
      </c>
      <c r="E5">
        <f t="shared" ref="E5:E36" si="0">IF(C5&lt;$G$7,0,VLOOKUP(C5,$G$7:$J$25,4,0))</f>
        <v>0</v>
      </c>
      <c r="G5" s="165"/>
      <c r="N5" s="92"/>
      <c r="O5" s="88"/>
    </row>
    <row r="6" spans="2:19" ht="31.5" x14ac:dyDescent="0.25">
      <c r="C6" s="30">
        <f t="shared" ref="C6:C37" si="1">DATE(YEAR(C5),MONTH(C5)+6,1)</f>
        <v>37712</v>
      </c>
      <c r="D6">
        <f t="shared" ref="D6:D37" si="2">IF(E6=0,MIN(IF(D5&lt;9,IF(C6=$G$11,D5,D5+1),IF(AND(D5&gt;8,D4=D5),D5+1,D5)),20),E6)</f>
        <v>4</v>
      </c>
      <c r="E6">
        <f t="shared" si="0"/>
        <v>0</v>
      </c>
      <c r="G6" t="s">
        <v>31</v>
      </c>
      <c r="H6" s="30">
        <v>41913</v>
      </c>
      <c r="J6" t="s">
        <v>24</v>
      </c>
      <c r="L6" t="s">
        <v>32</v>
      </c>
      <c r="M6" t="s">
        <v>32</v>
      </c>
      <c r="N6" s="93" t="s">
        <v>33</v>
      </c>
      <c r="O6" s="89">
        <f>IF(AND(O2&gt;=DATE(2015,4,1),O2&lt;Calculateur!E15),O2,DATE(2015,4,2))</f>
        <v>42096</v>
      </c>
      <c r="Q6" s="107" t="s">
        <v>111</v>
      </c>
      <c r="R6" s="115"/>
      <c r="S6" s="108"/>
    </row>
    <row r="7" spans="2:19" ht="32.25" thickBot="1" x14ac:dyDescent="0.3">
      <c r="C7" s="30">
        <f t="shared" si="1"/>
        <v>37895</v>
      </c>
      <c r="D7">
        <f t="shared" si="2"/>
        <v>5</v>
      </c>
      <c r="E7">
        <f t="shared" si="0"/>
        <v>0</v>
      </c>
      <c r="G7" s="30">
        <v>42095</v>
      </c>
      <c r="H7" s="101">
        <v>42096</v>
      </c>
      <c r="I7">
        <f t="shared" ref="I7:I25" si="3">IF(J7&gt;0,J7,IF(OR(AND(H8&gt;idemp,H7&lt;$C$5), AND(H7&gt;=idemp,H7&lt;$C$5)),IF(over_prem_date&gt;0,over_prem_date,$D$4),IF(idemp&gt;H7,0,VLOOKUP(G7,$C$5:$D$249,2,0))))</f>
        <v>18</v>
      </c>
      <c r="J7">
        <f>VLOOKUP(H7,Calculateur!$C$22:$F$41,4,0)</f>
        <v>0</v>
      </c>
      <c r="K7" s="30">
        <f>G7</f>
        <v>42095</v>
      </c>
      <c r="L7">
        <f>IF(AND(H7=$H$7,Calculateur!$E$9&lt;='Calcul de l''échelon de départ'!H7),'Calcul de l''échelon de départ'!H7,IF(AND(I6=0,I7&gt;0),Calculateur!$E$9,0))</f>
        <v>42096</v>
      </c>
      <c r="M7">
        <f t="shared" ref="M7:M26" si="4">IF(L7=0,0,J7)</f>
        <v>0</v>
      </c>
      <c r="N7" s="93" t="s">
        <v>34</v>
      </c>
      <c r="O7" s="88">
        <f>IF(AND($O$2&lt;$O$4,$O$4&lt;=$O$6),IF(Calculateur!$D$19&gt;8,ROUNDDOWN(Calculateur!$D$19+($O$10+$O$11)/2,0),IF(Calculateur!$D$19+$O$10+$O$11&lt;10,Calculateur!$D$19+$O$10+$O$11,9+ROUNDDOWN((Calculateur!$D$19+$O$10+$O$11-9)/2,0))),Calculateur!$D$19)</f>
        <v>18</v>
      </c>
      <c r="Q7" s="98">
        <v>1826.3</v>
      </c>
      <c r="R7" s="116"/>
      <c r="S7" s="113"/>
    </row>
    <row r="8" spans="2:19" ht="15.75" x14ac:dyDescent="0.25">
      <c r="C8" s="30">
        <f t="shared" si="1"/>
        <v>38078</v>
      </c>
      <c r="D8">
        <f t="shared" si="2"/>
        <v>6</v>
      </c>
      <c r="E8">
        <f t="shared" si="0"/>
        <v>0</v>
      </c>
      <c r="G8" s="30">
        <v>42278</v>
      </c>
      <c r="H8" s="101">
        <v>42278</v>
      </c>
      <c r="I8">
        <f t="shared" si="3"/>
        <v>19</v>
      </c>
      <c r="J8">
        <f>VLOOKUP(H8,Calculateur!$C$22:$F$41,4,0)</f>
        <v>0</v>
      </c>
      <c r="K8" s="30">
        <f t="shared" ref="K8:K25" si="5">G8</f>
        <v>42278</v>
      </c>
      <c r="L8">
        <f>IF(AND(H8=$H$7,Calculateur!$E$9&lt;='Calcul de l''échelon de départ'!H8),'Calcul de l''échelon de départ'!H8,IF(AND(I7=0,I8&gt;0),Calculateur!$E$9,0))</f>
        <v>0</v>
      </c>
      <c r="M8">
        <f t="shared" si="4"/>
        <v>0</v>
      </c>
      <c r="N8" s="92"/>
      <c r="O8" s="88"/>
    </row>
    <row r="9" spans="2:19" ht="47.25" x14ac:dyDescent="0.25">
      <c r="C9" s="30">
        <f t="shared" si="1"/>
        <v>38261</v>
      </c>
      <c r="D9">
        <f t="shared" si="2"/>
        <v>7</v>
      </c>
      <c r="E9">
        <f t="shared" si="0"/>
        <v>0</v>
      </c>
      <c r="G9" s="30">
        <v>42461</v>
      </c>
      <c r="H9" s="101">
        <v>42474</v>
      </c>
      <c r="I9">
        <f t="shared" si="3"/>
        <v>19</v>
      </c>
      <c r="J9">
        <f>VLOOKUP(H9,Calculateur!$C$22:$F$41,4,0)</f>
        <v>0</v>
      </c>
      <c r="K9" s="30">
        <f t="shared" si="5"/>
        <v>42461</v>
      </c>
      <c r="L9">
        <f>IF(AND(H9=$H$7,Calculateur!$E$9&lt;='Calcul de l''échelon de départ'!H9),'Calcul de l''échelon de départ'!H9,IF(AND(I8=0,I9&gt;0),Calculateur!$E$9,0))</f>
        <v>0</v>
      </c>
      <c r="M9">
        <f t="shared" si="4"/>
        <v>0</v>
      </c>
      <c r="N9" s="93" t="s">
        <v>35</v>
      </c>
      <c r="O9" s="90" t="s">
        <v>36</v>
      </c>
    </row>
    <row r="10" spans="2:19" ht="15.75" x14ac:dyDescent="0.25">
      <c r="C10" s="30">
        <f t="shared" si="1"/>
        <v>38443</v>
      </c>
      <c r="D10">
        <f t="shared" si="2"/>
        <v>8</v>
      </c>
      <c r="E10">
        <f t="shared" si="0"/>
        <v>0</v>
      </c>
      <c r="G10" s="30">
        <v>42644</v>
      </c>
      <c r="H10" s="101">
        <v>42656</v>
      </c>
      <c r="I10">
        <f t="shared" si="3"/>
        <v>20</v>
      </c>
      <c r="J10">
        <f>VLOOKUP(H10,Calculateur!$C$22:$F$41,4,0)</f>
        <v>0</v>
      </c>
      <c r="K10" s="30">
        <f t="shared" si="5"/>
        <v>42644</v>
      </c>
      <c r="L10">
        <f>IF(AND(H10=$H$7,Calculateur!$E$9&lt;='Calcul de l''échelon de départ'!H10),'Calcul de l''échelon de départ'!H10,IF(AND(I9=0,I10&gt;0),Calculateur!$E$9,0))</f>
        <v>0</v>
      </c>
      <c r="M10">
        <f t="shared" si="4"/>
        <v>0</v>
      </c>
      <c r="N10" s="94">
        <v>45383</v>
      </c>
      <c r="O10" s="88">
        <f>IF(AND($O$2&lt;$O$4,$O$4&lt;=$O$6),IF(MONTH($O$4)&lt;5,YEAR($O$6)-YEAR($O$4)+1,YEAR($O$6)-YEAR($O$4)),0)</f>
        <v>13</v>
      </c>
    </row>
    <row r="11" spans="2:19" ht="16.5" thickBot="1" x14ac:dyDescent="0.3">
      <c r="C11" s="30">
        <f t="shared" si="1"/>
        <v>38626</v>
      </c>
      <c r="D11">
        <f t="shared" si="2"/>
        <v>9</v>
      </c>
      <c r="E11">
        <f t="shared" si="0"/>
        <v>0</v>
      </c>
      <c r="G11" s="30">
        <v>42826</v>
      </c>
      <c r="H11" s="101">
        <v>42838</v>
      </c>
      <c r="I11">
        <f t="shared" si="3"/>
        <v>20</v>
      </c>
      <c r="J11">
        <f>VLOOKUP(H11,Calculateur!$C$22:$F$41,4,0)</f>
        <v>0</v>
      </c>
      <c r="K11" s="30">
        <f t="shared" si="5"/>
        <v>42826</v>
      </c>
      <c r="L11">
        <f>IF(AND(H11=$H$7,Calculateur!$E$9&lt;='Calcul de l''échelon de départ'!H11),'Calcul de l''échelon de départ'!H11,IF(AND(I10=0,I11&gt;0),Calculateur!$E$9,0))</f>
        <v>0</v>
      </c>
      <c r="M11">
        <f t="shared" si="4"/>
        <v>0</v>
      </c>
      <c r="N11" s="95">
        <v>45566</v>
      </c>
      <c r="O11" s="91">
        <f>IF(AND($O$2&lt;$O$4,$O$4&lt;=$O$6),IF(MONTH($O$4)&lt;11,YEAR($O$6)-YEAR($O$4),YEAR($O$6)-YEAR($O$4)-1),0)</f>
        <v>13</v>
      </c>
    </row>
    <row r="12" spans="2:19" x14ac:dyDescent="0.25">
      <c r="C12" s="30">
        <f t="shared" si="1"/>
        <v>38808</v>
      </c>
      <c r="D12">
        <f t="shared" si="2"/>
        <v>9</v>
      </c>
      <c r="E12">
        <f t="shared" si="0"/>
        <v>0</v>
      </c>
      <c r="G12" s="30">
        <v>43009</v>
      </c>
      <c r="H12" s="101">
        <v>43020</v>
      </c>
      <c r="I12">
        <f t="shared" si="3"/>
        <v>20</v>
      </c>
      <c r="J12">
        <f>VLOOKUP(H12,Calculateur!$C$22:$F$41,4,0)</f>
        <v>0</v>
      </c>
      <c r="K12" s="30">
        <f t="shared" si="5"/>
        <v>43009</v>
      </c>
      <c r="L12">
        <f>IF(AND(H12=$H$7,Calculateur!$E$9&lt;='Calcul de l''échelon de départ'!H12),'Calcul de l''échelon de départ'!H12,IF(AND(I11=0,I12&gt;0),Calculateur!$E$9,0))</f>
        <v>0</v>
      </c>
      <c r="M12">
        <f t="shared" si="4"/>
        <v>0</v>
      </c>
    </row>
    <row r="13" spans="2:19" x14ac:dyDescent="0.25">
      <c r="C13" s="30">
        <f t="shared" si="1"/>
        <v>38991</v>
      </c>
      <c r="D13">
        <f t="shared" si="2"/>
        <v>10</v>
      </c>
      <c r="E13">
        <f t="shared" si="0"/>
        <v>0</v>
      </c>
      <c r="G13" s="30">
        <f>DATE(YEAR(H13),MONTH(H13),1)</f>
        <v>43191</v>
      </c>
      <c r="H13" s="96">
        <v>43202</v>
      </c>
      <c r="I13">
        <f t="shared" si="3"/>
        <v>20</v>
      </c>
      <c r="J13">
        <f>VLOOKUP(H13,Calculateur!$C$22:$F$41,4,0)</f>
        <v>0</v>
      </c>
      <c r="K13" s="30">
        <f t="shared" si="5"/>
        <v>43191</v>
      </c>
      <c r="L13">
        <f>IF(AND(H13=$H$7,Calculateur!$E$9&lt;='Calcul de l''échelon de départ'!H13),'Calcul de l''échelon de départ'!H13,IF(AND(I12=0,I13&gt;0),Calculateur!$E$9,0))</f>
        <v>0</v>
      </c>
      <c r="M13">
        <f t="shared" si="4"/>
        <v>0</v>
      </c>
    </row>
    <row r="14" spans="2:19" ht="15.75" thickBot="1" x14ac:dyDescent="0.3">
      <c r="C14" s="30">
        <f t="shared" si="1"/>
        <v>39173</v>
      </c>
      <c r="D14">
        <f t="shared" si="2"/>
        <v>10</v>
      </c>
      <c r="E14">
        <f t="shared" si="0"/>
        <v>0</v>
      </c>
      <c r="G14" s="30">
        <f t="shared" ref="G14:G25" si="6">DATE(YEAR(H14),MONTH(H14),1)</f>
        <v>43374</v>
      </c>
      <c r="H14" s="96">
        <v>43384</v>
      </c>
      <c r="I14">
        <f t="shared" si="3"/>
        <v>20</v>
      </c>
      <c r="J14">
        <f>VLOOKUP(H14,Calculateur!$C$22:$F$41,4,0)</f>
        <v>0</v>
      </c>
      <c r="K14" s="30">
        <f t="shared" si="5"/>
        <v>43374</v>
      </c>
      <c r="L14">
        <f>IF(AND(H14=$H$7,Calculateur!$E$9&lt;='Calcul de l''échelon de départ'!H14),'Calcul de l''échelon de départ'!H14,IF(AND(I13=0,I14&gt;0),Calculateur!$E$9,0))</f>
        <v>0</v>
      </c>
      <c r="M14">
        <f t="shared" si="4"/>
        <v>0</v>
      </c>
    </row>
    <row r="15" spans="2:19" x14ac:dyDescent="0.25">
      <c r="C15" s="30">
        <f t="shared" si="1"/>
        <v>39356</v>
      </c>
      <c r="D15">
        <f t="shared" si="2"/>
        <v>11</v>
      </c>
      <c r="E15">
        <f t="shared" si="0"/>
        <v>0</v>
      </c>
      <c r="G15" s="30">
        <f t="shared" si="6"/>
        <v>43556</v>
      </c>
      <c r="H15" s="96">
        <v>43566</v>
      </c>
      <c r="I15">
        <f t="shared" si="3"/>
        <v>20</v>
      </c>
      <c r="J15">
        <f>VLOOKUP(H15,Calculateur!$C$22:$F$41,4,0)</f>
        <v>0</v>
      </c>
      <c r="K15" s="30">
        <f t="shared" si="5"/>
        <v>43556</v>
      </c>
      <c r="L15">
        <f>IF(AND(H15=$H$7,Calculateur!$E$9&lt;='Calcul de l''échelon de départ'!H15),'Calcul de l''échelon de départ'!H15,IF(AND(I14=0,I15&gt;0),Calculateur!$E$9,0))</f>
        <v>0</v>
      </c>
      <c r="M15">
        <f t="shared" si="4"/>
        <v>0</v>
      </c>
      <c r="N15" s="107" t="s">
        <v>110</v>
      </c>
      <c r="O15" s="108"/>
    </row>
    <row r="16" spans="2:19" x14ac:dyDescent="0.25">
      <c r="C16" s="30">
        <f t="shared" si="1"/>
        <v>39539</v>
      </c>
      <c r="D16">
        <f t="shared" si="2"/>
        <v>11</v>
      </c>
      <c r="E16">
        <f t="shared" si="0"/>
        <v>0</v>
      </c>
      <c r="G16" s="30">
        <f t="shared" si="6"/>
        <v>43739</v>
      </c>
      <c r="H16" s="96">
        <v>43748</v>
      </c>
      <c r="I16">
        <f t="shared" si="3"/>
        <v>20</v>
      </c>
      <c r="J16">
        <f>VLOOKUP(H16,Calculateur!$C$22:$F$41,4,0)</f>
        <v>0</v>
      </c>
      <c r="K16" s="30">
        <f t="shared" si="5"/>
        <v>43739</v>
      </c>
      <c r="L16">
        <f>IF(AND(G16&lt;$J$4,J16&gt;0,L15&gt;0),L15,IF(AND(H16=$H$7,Calculateur!$E$9&lt;='Calcul de l''échelon de départ'!H16),'Calcul de l''échelon de départ'!H16,IF(AND(I15=0,I16&gt;0),Calculateur!$E$9,0)))</f>
        <v>0</v>
      </c>
      <c r="M16">
        <f t="shared" si="4"/>
        <v>0</v>
      </c>
      <c r="N16" s="109"/>
      <c r="O16" s="110"/>
    </row>
    <row r="17" spans="3:20" x14ac:dyDescent="0.25">
      <c r="C17" s="30">
        <f t="shared" si="1"/>
        <v>39722</v>
      </c>
      <c r="D17">
        <f t="shared" si="2"/>
        <v>12</v>
      </c>
      <c r="E17">
        <f t="shared" si="0"/>
        <v>0</v>
      </c>
      <c r="G17" s="30">
        <f t="shared" si="6"/>
        <v>43922</v>
      </c>
      <c r="H17" s="96">
        <v>43930</v>
      </c>
      <c r="I17">
        <f t="shared" si="3"/>
        <v>20</v>
      </c>
      <c r="J17">
        <f>VLOOKUP(H17,Calculateur!$C$22:$F$41,4,0)</f>
        <v>0</v>
      </c>
      <c r="K17" s="30">
        <f t="shared" si="5"/>
        <v>43922</v>
      </c>
      <c r="L17">
        <f>IF(AND(H17=$H$7,Calculateur!$E$9&lt;='Calcul de l''échelon de départ'!H17),'Calcul de l''échelon de départ'!H17,IF(AND(I16=0,I17&gt;0),Calculateur!$E$9,0))</f>
        <v>0</v>
      </c>
      <c r="M17">
        <f t="shared" si="4"/>
        <v>0</v>
      </c>
      <c r="N17" s="109" t="s">
        <v>37</v>
      </c>
      <c r="O17" s="111">
        <f>Calculateur!E9</f>
        <v>37384</v>
      </c>
    </row>
    <row r="18" spans="3:20" x14ac:dyDescent="0.25">
      <c r="C18" s="30">
        <f t="shared" si="1"/>
        <v>39904</v>
      </c>
      <c r="D18">
        <f t="shared" si="2"/>
        <v>12</v>
      </c>
      <c r="E18">
        <f t="shared" si="0"/>
        <v>0</v>
      </c>
      <c r="G18" s="30">
        <f t="shared" si="6"/>
        <v>44105</v>
      </c>
      <c r="H18" s="96">
        <v>44112</v>
      </c>
      <c r="I18">
        <f t="shared" si="3"/>
        <v>20</v>
      </c>
      <c r="J18">
        <f>VLOOKUP(H18,Calculateur!$C$22:$F$41,4,0)</f>
        <v>0</v>
      </c>
      <c r="K18" s="30">
        <f t="shared" si="5"/>
        <v>44105</v>
      </c>
      <c r="L18">
        <f>IF(AND(H18=$H$7,Calculateur!$E$9&lt;='Calcul de l''échelon de départ'!H18),'Calcul de l''échelon de départ'!H18,IF(AND(I17=0,I18&gt;0),Calculateur!$E$9,0))</f>
        <v>0</v>
      </c>
      <c r="M18">
        <f t="shared" si="4"/>
        <v>0</v>
      </c>
      <c r="N18" s="109" t="s">
        <v>38</v>
      </c>
      <c r="O18" s="111">
        <f>Calculateur!C25</f>
        <v>42656</v>
      </c>
    </row>
    <row r="19" spans="3:20" x14ac:dyDescent="0.25">
      <c r="C19" s="30">
        <f t="shared" si="1"/>
        <v>40087</v>
      </c>
      <c r="D19">
        <f t="shared" si="2"/>
        <v>13</v>
      </c>
      <c r="E19">
        <f t="shared" si="0"/>
        <v>0</v>
      </c>
      <c r="G19" s="30">
        <f t="shared" si="6"/>
        <v>44287</v>
      </c>
      <c r="H19" s="96">
        <v>44294</v>
      </c>
      <c r="I19">
        <f t="shared" si="3"/>
        <v>20</v>
      </c>
      <c r="J19">
        <f>VLOOKUP(H19,Calculateur!$C$22:$F$41,4,0)</f>
        <v>0</v>
      </c>
      <c r="K19" s="30">
        <f t="shared" si="5"/>
        <v>44287</v>
      </c>
      <c r="L19">
        <f>IF(AND(H19=$H$7,Calculateur!$E$9&lt;='Calcul de l''échelon de départ'!H19),'Calcul de l''échelon de départ'!H19,IF(AND(I18=0,I19&gt;0),Calculateur!$E$9,0))</f>
        <v>0</v>
      </c>
      <c r="M19">
        <f t="shared" si="4"/>
        <v>0</v>
      </c>
      <c r="N19" s="109"/>
      <c r="O19" s="111">
        <f>Calculateur!C26</f>
        <v>42838</v>
      </c>
    </row>
    <row r="20" spans="3:20" x14ac:dyDescent="0.25">
      <c r="C20" s="30">
        <f t="shared" si="1"/>
        <v>40269</v>
      </c>
      <c r="D20">
        <f t="shared" si="2"/>
        <v>13</v>
      </c>
      <c r="E20">
        <f t="shared" si="0"/>
        <v>0</v>
      </c>
      <c r="G20" s="30">
        <f t="shared" si="6"/>
        <v>44470</v>
      </c>
      <c r="H20" s="96">
        <v>44476</v>
      </c>
      <c r="I20">
        <f t="shared" si="3"/>
        <v>20</v>
      </c>
      <c r="J20">
        <f>VLOOKUP(H20,Calculateur!$C$22:$F$41,4,0)</f>
        <v>0</v>
      </c>
      <c r="K20" s="30">
        <f t="shared" si="5"/>
        <v>44470</v>
      </c>
      <c r="L20">
        <f>IF(AND(H20=$H$7,Calculateur!$E$9&lt;='Calcul de l''échelon de départ'!H20),'Calcul de l''échelon de départ'!H20,IF(AND(I19=0,I20&gt;0),Calculateur!$E$9,0))</f>
        <v>0</v>
      </c>
      <c r="M20">
        <f t="shared" si="4"/>
        <v>0</v>
      </c>
      <c r="N20" s="109" t="s">
        <v>39</v>
      </c>
      <c r="O20" s="111">
        <v>42667</v>
      </c>
    </row>
    <row r="21" spans="3:20" x14ac:dyDescent="0.25">
      <c r="C21" s="30">
        <f t="shared" si="1"/>
        <v>40452</v>
      </c>
      <c r="D21">
        <f t="shared" si="2"/>
        <v>14</v>
      </c>
      <c r="E21">
        <f t="shared" si="0"/>
        <v>0</v>
      </c>
      <c r="G21" s="30">
        <f t="shared" si="6"/>
        <v>44652</v>
      </c>
      <c r="H21" s="96">
        <v>44658</v>
      </c>
      <c r="I21">
        <f t="shared" si="3"/>
        <v>20</v>
      </c>
      <c r="J21">
        <f>VLOOKUP(H21,Calculateur!$C$22:$F$41,4,0)</f>
        <v>0</v>
      </c>
      <c r="K21" s="30">
        <f t="shared" si="5"/>
        <v>44652</v>
      </c>
      <c r="L21">
        <f>IF(AND(H21=$H$7,Calculateur!$E$9&lt;='Calcul de l''échelon de départ'!H21),'Calcul de l''échelon de départ'!H21,IF(AND(I20=0,I21&gt;0),Calculateur!$E$9,0))</f>
        <v>0</v>
      </c>
      <c r="M21">
        <f t="shared" si="4"/>
        <v>0</v>
      </c>
      <c r="N21" s="109" t="s">
        <v>40</v>
      </c>
      <c r="O21" s="111">
        <v>42795</v>
      </c>
      <c r="P21" t="s">
        <v>41</v>
      </c>
    </row>
    <row r="22" spans="3:20" x14ac:dyDescent="0.25">
      <c r="C22" s="30">
        <f t="shared" si="1"/>
        <v>40634</v>
      </c>
      <c r="D22">
        <f t="shared" si="2"/>
        <v>14</v>
      </c>
      <c r="E22">
        <f t="shared" si="0"/>
        <v>0</v>
      </c>
      <c r="G22" s="30">
        <f t="shared" si="6"/>
        <v>44835</v>
      </c>
      <c r="H22" s="96">
        <v>44840</v>
      </c>
      <c r="I22">
        <f t="shared" si="3"/>
        <v>20</v>
      </c>
      <c r="J22">
        <f>VLOOKUP(H22,Calculateur!$C$22:$F$41,4,0)</f>
        <v>0</v>
      </c>
      <c r="K22" s="30">
        <f t="shared" si="5"/>
        <v>44835</v>
      </c>
      <c r="L22">
        <f>IF(AND(H22=$H$7,Calculateur!$E$9&lt;='Calcul de l''échelon de départ'!H22),'Calcul de l''échelon de départ'!H22,IF(AND(I21=0,I22&gt;0),Calculateur!$E$9,0))</f>
        <v>0</v>
      </c>
      <c r="M22">
        <f t="shared" si="4"/>
        <v>0</v>
      </c>
      <c r="N22" s="109" t="s">
        <v>42</v>
      </c>
      <c r="O22" s="111">
        <v>42794</v>
      </c>
    </row>
    <row r="23" spans="3:20" x14ac:dyDescent="0.25">
      <c r="C23" s="30">
        <f t="shared" si="1"/>
        <v>40817</v>
      </c>
      <c r="D23">
        <f t="shared" si="2"/>
        <v>15</v>
      </c>
      <c r="E23">
        <f t="shared" si="0"/>
        <v>0</v>
      </c>
      <c r="G23" s="30">
        <f t="shared" si="6"/>
        <v>45017</v>
      </c>
      <c r="H23" s="96">
        <v>45022</v>
      </c>
      <c r="I23">
        <f t="shared" si="3"/>
        <v>20</v>
      </c>
      <c r="J23">
        <f>VLOOKUP(H23,Calculateur!$C$22:$F$41,4,0)</f>
        <v>0</v>
      </c>
      <c r="K23" s="30">
        <f t="shared" si="5"/>
        <v>45017</v>
      </c>
      <c r="L23">
        <f>IF(AND(H23=$H$7,Calculateur!$E$9&lt;='Calcul de l''échelon de départ'!H23),'Calcul de l''échelon de départ'!H23,IF(AND(I22=0,I23&gt;0),Calculateur!$E$9,0))</f>
        <v>0</v>
      </c>
      <c r="M23">
        <f t="shared" si="4"/>
        <v>0</v>
      </c>
      <c r="N23" s="112" t="s">
        <v>43</v>
      </c>
      <c r="O23" s="111">
        <f>IF(Calculateur!E7="ARQ",'Calcul de l''échelon de départ'!O21,'Calcul de l''échelon de départ'!O22)</f>
        <v>42795</v>
      </c>
    </row>
    <row r="24" spans="3:20" ht="15.75" thickBot="1" x14ac:dyDescent="0.3">
      <c r="C24" s="30">
        <f t="shared" si="1"/>
        <v>41000</v>
      </c>
      <c r="D24">
        <f t="shared" si="2"/>
        <v>15</v>
      </c>
      <c r="E24">
        <f t="shared" si="0"/>
        <v>0</v>
      </c>
      <c r="G24" s="30">
        <f t="shared" si="6"/>
        <v>45200</v>
      </c>
      <c r="H24" s="96">
        <v>45204</v>
      </c>
      <c r="I24">
        <f t="shared" si="3"/>
        <v>20</v>
      </c>
      <c r="J24">
        <f>VLOOKUP(H24,Calculateur!$C$22:$F$41,4,0)</f>
        <v>0</v>
      </c>
      <c r="K24" s="30">
        <f t="shared" si="5"/>
        <v>45200</v>
      </c>
      <c r="L24">
        <f>IF(AND(H24=$H$7,Calculateur!$E$9&lt;='Calcul de l''échelon de départ'!H24),'Calcul de l''échelon de départ'!H24,IF(AND(I23=0,I24&gt;0),Calculateur!$E$9,0))</f>
        <v>0</v>
      </c>
      <c r="M24">
        <f t="shared" si="4"/>
        <v>0</v>
      </c>
      <c r="N24" s="98" t="s">
        <v>44</v>
      </c>
      <c r="O24" s="113">
        <f>IF(O17&gt;O23,0,NETWORKDAYS(MAX(O17,O20),O23))</f>
        <v>93</v>
      </c>
    </row>
    <row r="25" spans="3:20" x14ac:dyDescent="0.25">
      <c r="C25" s="30">
        <f t="shared" si="1"/>
        <v>41183</v>
      </c>
      <c r="D25">
        <f t="shared" si="2"/>
        <v>16</v>
      </c>
      <c r="E25">
        <f t="shared" si="0"/>
        <v>0</v>
      </c>
      <c r="G25" s="30">
        <f t="shared" si="6"/>
        <v>45383</v>
      </c>
      <c r="H25" s="96">
        <v>45386</v>
      </c>
      <c r="I25">
        <f t="shared" si="3"/>
        <v>20</v>
      </c>
      <c r="J25">
        <f>VLOOKUP(H25,Calculateur!$C$22:$F$41,4,0)</f>
        <v>0</v>
      </c>
      <c r="K25" s="30">
        <f t="shared" si="5"/>
        <v>45383</v>
      </c>
      <c r="L25">
        <f>IF(AND(H25=$H$7,Calculateur!$E$9&lt;='Calcul de l''échelon de départ'!H25),'Calcul de l''échelon de départ'!H25,IF(AND(I24=0,I25&gt;0),Calculateur!$E$9,0))</f>
        <v>0</v>
      </c>
      <c r="M25">
        <f t="shared" si="4"/>
        <v>0</v>
      </c>
    </row>
    <row r="26" spans="3:20" x14ac:dyDescent="0.25">
      <c r="C26" s="30">
        <f t="shared" si="1"/>
        <v>41365</v>
      </c>
      <c r="D26">
        <f t="shared" si="2"/>
        <v>16</v>
      </c>
      <c r="E26">
        <f t="shared" si="0"/>
        <v>0</v>
      </c>
      <c r="H26" s="96"/>
      <c r="M26">
        <f t="shared" si="4"/>
        <v>0</v>
      </c>
      <c r="P26">
        <f>NETWORKDAYS(O17,O17)</f>
        <v>1</v>
      </c>
    </row>
    <row r="27" spans="3:20" x14ac:dyDescent="0.25">
      <c r="C27" s="30">
        <f t="shared" si="1"/>
        <v>41548</v>
      </c>
      <c r="D27">
        <f t="shared" si="2"/>
        <v>17</v>
      </c>
      <c r="E27">
        <f t="shared" si="0"/>
        <v>0</v>
      </c>
      <c r="O27" s="87" t="s">
        <v>45</v>
      </c>
    </row>
    <row r="28" spans="3:20" ht="18" x14ac:dyDescent="0.25">
      <c r="C28" s="30">
        <f t="shared" si="1"/>
        <v>41730</v>
      </c>
      <c r="D28">
        <f t="shared" si="2"/>
        <v>17</v>
      </c>
      <c r="E28">
        <f t="shared" si="0"/>
        <v>0</v>
      </c>
      <c r="O28" s="30">
        <v>45512</v>
      </c>
      <c r="P28" t="s">
        <v>108</v>
      </c>
      <c r="R28" s="30">
        <v>45512</v>
      </c>
      <c r="S28" s="181" t="s">
        <v>109</v>
      </c>
    </row>
    <row r="29" spans="3:20" ht="15.75" x14ac:dyDescent="0.25">
      <c r="C29" s="30">
        <f t="shared" si="1"/>
        <v>41913</v>
      </c>
      <c r="D29">
        <f t="shared" si="2"/>
        <v>18</v>
      </c>
      <c r="E29">
        <f t="shared" si="0"/>
        <v>0</v>
      </c>
      <c r="O29" s="30">
        <f>O28</f>
        <v>45512</v>
      </c>
      <c r="P29" t="s">
        <v>2</v>
      </c>
      <c r="R29" s="30">
        <f>R28</f>
        <v>45512</v>
      </c>
      <c r="S29" t="s">
        <v>132</v>
      </c>
      <c r="T29" s="225" t="s">
        <v>133</v>
      </c>
    </row>
    <row r="30" spans="3:20" ht="15.75" x14ac:dyDescent="0.25">
      <c r="C30" s="30">
        <f t="shared" si="1"/>
        <v>42095</v>
      </c>
      <c r="D30">
        <f t="shared" si="2"/>
        <v>18</v>
      </c>
      <c r="E30">
        <f t="shared" si="0"/>
        <v>0</v>
      </c>
      <c r="O30" s="87" t="s">
        <v>112</v>
      </c>
      <c r="T30" s="205" t="s">
        <v>134</v>
      </c>
    </row>
    <row r="31" spans="3:20" x14ac:dyDescent="0.25">
      <c r="C31" s="30">
        <f t="shared" si="1"/>
        <v>42278</v>
      </c>
      <c r="D31">
        <f t="shared" si="2"/>
        <v>19</v>
      </c>
      <c r="E31">
        <f t="shared" si="0"/>
        <v>0</v>
      </c>
      <c r="N31" t="s">
        <v>47</v>
      </c>
      <c r="O31" s="30">
        <v>45497</v>
      </c>
    </row>
    <row r="32" spans="3:20" x14ac:dyDescent="0.25">
      <c r="C32" s="30">
        <f t="shared" si="1"/>
        <v>42461</v>
      </c>
      <c r="D32">
        <f t="shared" si="2"/>
        <v>19</v>
      </c>
      <c r="E32">
        <f t="shared" si="0"/>
        <v>0</v>
      </c>
      <c r="N32" t="s">
        <v>2</v>
      </c>
      <c r="O32" s="30">
        <f>O31</f>
        <v>45497</v>
      </c>
      <c r="P32" t="s">
        <v>113</v>
      </c>
      <c r="Q32" s="203" t="s">
        <v>114</v>
      </c>
    </row>
    <row r="33" spans="3:24" x14ac:dyDescent="0.25">
      <c r="C33" s="30">
        <f t="shared" si="1"/>
        <v>42644</v>
      </c>
      <c r="D33">
        <f t="shared" si="2"/>
        <v>20</v>
      </c>
      <c r="E33">
        <f t="shared" si="0"/>
        <v>0</v>
      </c>
      <c r="Q33" s="204" t="s">
        <v>115</v>
      </c>
    </row>
    <row r="34" spans="3:24" ht="15.75" x14ac:dyDescent="0.25">
      <c r="C34" s="30">
        <f t="shared" si="1"/>
        <v>42826</v>
      </c>
      <c r="D34">
        <f t="shared" si="2"/>
        <v>20</v>
      </c>
      <c r="E34">
        <f t="shared" si="0"/>
        <v>0</v>
      </c>
      <c r="P34" t="s">
        <v>132</v>
      </c>
      <c r="Q34" s="225" t="s">
        <v>133</v>
      </c>
    </row>
    <row r="35" spans="3:24" ht="16.5" thickBot="1" x14ac:dyDescent="0.3">
      <c r="C35" s="30">
        <f t="shared" si="1"/>
        <v>43009</v>
      </c>
      <c r="D35">
        <f t="shared" si="2"/>
        <v>20</v>
      </c>
      <c r="E35">
        <f t="shared" si="0"/>
        <v>0</v>
      </c>
      <c r="Q35" s="205" t="s">
        <v>134</v>
      </c>
    </row>
    <row r="36" spans="3:24" ht="15.75" thickBot="1" x14ac:dyDescent="0.3">
      <c r="C36" s="30">
        <f t="shared" si="1"/>
        <v>43191</v>
      </c>
      <c r="D36">
        <f t="shared" si="2"/>
        <v>20</v>
      </c>
      <c r="E36">
        <f t="shared" si="0"/>
        <v>0</v>
      </c>
      <c r="O36" s="166" t="s">
        <v>86</v>
      </c>
    </row>
    <row r="37" spans="3:24" x14ac:dyDescent="0.25">
      <c r="C37" s="30">
        <f t="shared" si="1"/>
        <v>43374</v>
      </c>
      <c r="D37">
        <f t="shared" si="2"/>
        <v>20</v>
      </c>
      <c r="E37">
        <f t="shared" ref="E37:E68" si="7">IF(C37&lt;$G$7,0,VLOOKUP(C37,$G$7:$J$25,4,0))</f>
        <v>0</v>
      </c>
      <c r="O37" s="164">
        <v>35</v>
      </c>
    </row>
    <row r="38" spans="3:24" x14ac:dyDescent="0.25">
      <c r="C38" s="30">
        <f t="shared" ref="C38:C69" si="8">DATE(YEAR(C37),MONTH(C37)+6,1)</f>
        <v>43556</v>
      </c>
      <c r="D38">
        <f t="shared" ref="D38:D69" si="9">IF(E38=0,MIN(IF(D37&lt;9,IF(C38=$G$11,D37,D37+1),IF(AND(D37&gt;8,D36=D37),D37+1,D37)),20),E38)</f>
        <v>20</v>
      </c>
      <c r="E38">
        <f t="shared" si="7"/>
        <v>0</v>
      </c>
      <c r="O38" s="164">
        <v>37.5</v>
      </c>
    </row>
    <row r="39" spans="3:24" ht="15.75" thickBot="1" x14ac:dyDescent="0.3">
      <c r="C39" s="30">
        <f t="shared" si="8"/>
        <v>43739</v>
      </c>
      <c r="D39">
        <f t="shared" si="9"/>
        <v>20</v>
      </c>
      <c r="E39">
        <f t="shared" si="7"/>
        <v>0</v>
      </c>
      <c r="O39" s="165">
        <v>40</v>
      </c>
    </row>
    <row r="40" spans="3:24" x14ac:dyDescent="0.25">
      <c r="C40" s="30">
        <f t="shared" si="8"/>
        <v>43922</v>
      </c>
      <c r="D40">
        <f t="shared" si="9"/>
        <v>20</v>
      </c>
      <c r="E40">
        <f t="shared" si="7"/>
        <v>0</v>
      </c>
    </row>
    <row r="41" spans="3:24" x14ac:dyDescent="0.25">
      <c r="C41" s="30">
        <f t="shared" si="8"/>
        <v>44105</v>
      </c>
      <c r="D41">
        <f t="shared" si="9"/>
        <v>20</v>
      </c>
      <c r="E41">
        <f t="shared" si="7"/>
        <v>0</v>
      </c>
    </row>
    <row r="42" spans="3:24" x14ac:dyDescent="0.25">
      <c r="C42" s="30">
        <f t="shared" si="8"/>
        <v>44287</v>
      </c>
      <c r="D42">
        <f t="shared" si="9"/>
        <v>20</v>
      </c>
      <c r="E42">
        <f t="shared" si="7"/>
        <v>0</v>
      </c>
      <c r="N42" s="87" t="s">
        <v>116</v>
      </c>
      <c r="O42" s="87"/>
      <c r="P42" s="87"/>
      <c r="Q42" s="87"/>
    </row>
    <row r="43" spans="3:24" ht="15.75" thickBot="1" x14ac:dyDescent="0.3">
      <c r="C43" s="30">
        <f t="shared" si="8"/>
        <v>44470</v>
      </c>
      <c r="D43">
        <f t="shared" si="9"/>
        <v>20</v>
      </c>
      <c r="E43">
        <f t="shared" si="7"/>
        <v>0</v>
      </c>
      <c r="N43" t="s">
        <v>117</v>
      </c>
    </row>
    <row r="44" spans="3:24" ht="15.75" thickBot="1" x14ac:dyDescent="0.3">
      <c r="C44" s="30">
        <f t="shared" si="8"/>
        <v>44652</v>
      </c>
      <c r="D44">
        <f t="shared" si="9"/>
        <v>20</v>
      </c>
      <c r="E44">
        <f t="shared" si="7"/>
        <v>0</v>
      </c>
      <c r="N44" t="s">
        <v>118</v>
      </c>
      <c r="P44">
        <f>NETWORKDAYS("2024-07-16","2024-07-24")</f>
        <v>7</v>
      </c>
      <c r="Q44" t="s">
        <v>119</v>
      </c>
      <c r="R44">
        <f>P44*Calculateur!E8/5</f>
        <v>56</v>
      </c>
      <c r="S44" t="s">
        <v>120</v>
      </c>
      <c r="T44" t="s">
        <v>121</v>
      </c>
      <c r="V44" s="21">
        <f>Calculateur!M40</f>
        <v>640</v>
      </c>
      <c r="W44" t="s">
        <v>122</v>
      </c>
      <c r="X44" s="207">
        <f>(V44-R44)/V44</f>
        <v>0.91249999999999998</v>
      </c>
    </row>
    <row r="45" spans="3:24" x14ac:dyDescent="0.25">
      <c r="C45" s="30">
        <f t="shared" si="8"/>
        <v>44835</v>
      </c>
      <c r="D45">
        <f t="shared" si="9"/>
        <v>20</v>
      </c>
      <c r="E45">
        <f t="shared" si="7"/>
        <v>0</v>
      </c>
    </row>
    <row r="46" spans="3:24" x14ac:dyDescent="0.25">
      <c r="C46" s="30">
        <f t="shared" si="8"/>
        <v>45017</v>
      </c>
      <c r="D46">
        <f t="shared" si="9"/>
        <v>20</v>
      </c>
      <c r="E46">
        <f t="shared" si="7"/>
        <v>0</v>
      </c>
      <c r="I46" t="s">
        <v>101</v>
      </c>
      <c r="J46" s="30">
        <f>idemp</f>
        <v>37384</v>
      </c>
      <c r="K46" t="s">
        <v>102</v>
      </c>
      <c r="L46">
        <f>Calculateur!E10</f>
        <v>2</v>
      </c>
      <c r="M46" t="s">
        <v>103</v>
      </c>
      <c r="N46">
        <f>IF(L46&lt;9,4,9)</f>
        <v>4</v>
      </c>
      <c r="O46" s="30">
        <f>EDATE(J46,N46)</f>
        <v>37507</v>
      </c>
    </row>
    <row r="47" spans="3:24" x14ac:dyDescent="0.25">
      <c r="C47" s="30">
        <f t="shared" si="8"/>
        <v>45200</v>
      </c>
      <c r="D47">
        <f t="shared" si="9"/>
        <v>20</v>
      </c>
      <c r="E47">
        <f t="shared" si="7"/>
        <v>0</v>
      </c>
      <c r="G47" s="30">
        <v>42095</v>
      </c>
      <c r="H47" s="101">
        <v>42096</v>
      </c>
      <c r="I47">
        <f t="shared" ref="I47:I65" si="10">IF(AND($O$46&gt;H46,$O$46&lt;=H47),H47,0)</f>
        <v>42096</v>
      </c>
      <c r="J47">
        <f>IF(AND($J$46&gt;H46,$J$46&lt;=H47),H47,0)</f>
        <v>42096</v>
      </c>
    </row>
    <row r="48" spans="3:24" x14ac:dyDescent="0.25">
      <c r="C48" s="30">
        <f t="shared" si="8"/>
        <v>45383</v>
      </c>
      <c r="D48">
        <f t="shared" si="9"/>
        <v>20</v>
      </c>
      <c r="E48">
        <f t="shared" si="7"/>
        <v>0</v>
      </c>
      <c r="G48" s="30">
        <v>42278</v>
      </c>
      <c r="H48" s="101">
        <v>42278</v>
      </c>
      <c r="I48">
        <f t="shared" si="10"/>
        <v>0</v>
      </c>
      <c r="J48">
        <f t="shared" ref="J48:J66" si="11">IF(AND($J$46&gt;H47,$J$46&lt;=H48),H48,0)</f>
        <v>0</v>
      </c>
    </row>
    <row r="49" spans="3:10" x14ac:dyDescent="0.25">
      <c r="C49" s="30">
        <f t="shared" si="8"/>
        <v>45566</v>
      </c>
      <c r="D49" t="e">
        <f t="shared" si="9"/>
        <v>#N/A</v>
      </c>
      <c r="E49" t="e">
        <f t="shared" si="7"/>
        <v>#N/A</v>
      </c>
      <c r="G49" s="30">
        <v>42461</v>
      </c>
      <c r="H49" s="101">
        <v>42474</v>
      </c>
      <c r="I49">
        <f t="shared" si="10"/>
        <v>0</v>
      </c>
      <c r="J49">
        <f t="shared" si="11"/>
        <v>0</v>
      </c>
    </row>
    <row r="50" spans="3:10" x14ac:dyDescent="0.25">
      <c r="C50" s="30">
        <f t="shared" si="8"/>
        <v>45748</v>
      </c>
      <c r="D50" t="e">
        <f t="shared" si="9"/>
        <v>#N/A</v>
      </c>
      <c r="E50" t="e">
        <f t="shared" si="7"/>
        <v>#N/A</v>
      </c>
      <c r="G50" s="30">
        <v>42644</v>
      </c>
      <c r="H50" s="101">
        <v>42656</v>
      </c>
      <c r="I50">
        <f t="shared" si="10"/>
        <v>0</v>
      </c>
      <c r="J50">
        <f t="shared" si="11"/>
        <v>0</v>
      </c>
    </row>
    <row r="51" spans="3:10" x14ac:dyDescent="0.25">
      <c r="C51" s="30">
        <f t="shared" si="8"/>
        <v>45931</v>
      </c>
      <c r="D51" t="e">
        <f t="shared" si="9"/>
        <v>#N/A</v>
      </c>
      <c r="E51" t="e">
        <f t="shared" si="7"/>
        <v>#N/A</v>
      </c>
      <c r="G51" s="30">
        <v>42826</v>
      </c>
      <c r="H51" s="101">
        <v>42838</v>
      </c>
      <c r="I51">
        <f t="shared" si="10"/>
        <v>0</v>
      </c>
      <c r="J51">
        <f t="shared" si="11"/>
        <v>0</v>
      </c>
    </row>
    <row r="52" spans="3:10" x14ac:dyDescent="0.25">
      <c r="C52" s="30">
        <f t="shared" si="8"/>
        <v>46113</v>
      </c>
      <c r="D52" t="e">
        <f t="shared" si="9"/>
        <v>#N/A</v>
      </c>
      <c r="E52" t="e">
        <f t="shared" si="7"/>
        <v>#N/A</v>
      </c>
      <c r="G52" s="30">
        <v>43009</v>
      </c>
      <c r="H52" s="101">
        <v>43020</v>
      </c>
      <c r="I52">
        <f t="shared" si="10"/>
        <v>0</v>
      </c>
      <c r="J52">
        <f t="shared" si="11"/>
        <v>0</v>
      </c>
    </row>
    <row r="53" spans="3:10" x14ac:dyDescent="0.25">
      <c r="C53" s="30">
        <f t="shared" si="8"/>
        <v>46296</v>
      </c>
      <c r="D53" t="e">
        <f t="shared" si="9"/>
        <v>#N/A</v>
      </c>
      <c r="E53" t="e">
        <f t="shared" si="7"/>
        <v>#N/A</v>
      </c>
      <c r="G53" s="30">
        <f>DATE(YEAR(H53),MONTH(H53),1)</f>
        <v>43191</v>
      </c>
      <c r="H53" s="96">
        <v>43202</v>
      </c>
      <c r="I53">
        <f t="shared" si="10"/>
        <v>0</v>
      </c>
      <c r="J53">
        <f t="shared" si="11"/>
        <v>0</v>
      </c>
    </row>
    <row r="54" spans="3:10" x14ac:dyDescent="0.25">
      <c r="C54" s="30">
        <f t="shared" si="8"/>
        <v>46478</v>
      </c>
      <c r="D54" t="e">
        <f t="shared" si="9"/>
        <v>#N/A</v>
      </c>
      <c r="E54" t="e">
        <f t="shared" si="7"/>
        <v>#N/A</v>
      </c>
      <c r="G54" s="30">
        <f t="shared" ref="G54:G65" si="12">DATE(YEAR(H54),MONTH(H54),1)</f>
        <v>43374</v>
      </c>
      <c r="H54" s="96">
        <v>43384</v>
      </c>
      <c r="I54">
        <f t="shared" si="10"/>
        <v>0</v>
      </c>
      <c r="J54">
        <f t="shared" si="11"/>
        <v>0</v>
      </c>
    </row>
    <row r="55" spans="3:10" x14ac:dyDescent="0.25">
      <c r="C55" s="30">
        <f t="shared" si="8"/>
        <v>46661</v>
      </c>
      <c r="D55" t="e">
        <f t="shared" si="9"/>
        <v>#N/A</v>
      </c>
      <c r="E55" t="e">
        <f t="shared" si="7"/>
        <v>#N/A</v>
      </c>
      <c r="G55" s="30">
        <f t="shared" si="12"/>
        <v>43556</v>
      </c>
      <c r="H55" s="96">
        <v>43566</v>
      </c>
      <c r="I55">
        <f t="shared" si="10"/>
        <v>0</v>
      </c>
      <c r="J55">
        <f t="shared" si="11"/>
        <v>0</v>
      </c>
    </row>
    <row r="56" spans="3:10" x14ac:dyDescent="0.25">
      <c r="C56" s="30">
        <f t="shared" si="8"/>
        <v>46844</v>
      </c>
      <c r="D56" t="e">
        <f t="shared" si="9"/>
        <v>#N/A</v>
      </c>
      <c r="E56" t="e">
        <f t="shared" si="7"/>
        <v>#N/A</v>
      </c>
      <c r="G56" s="30">
        <f t="shared" si="12"/>
        <v>43739</v>
      </c>
      <c r="H56" s="96">
        <v>43748</v>
      </c>
      <c r="I56">
        <f t="shared" si="10"/>
        <v>0</v>
      </c>
      <c r="J56">
        <f t="shared" si="11"/>
        <v>0</v>
      </c>
    </row>
    <row r="57" spans="3:10" x14ac:dyDescent="0.25">
      <c r="C57" s="30">
        <f t="shared" si="8"/>
        <v>47027</v>
      </c>
      <c r="D57" t="e">
        <f t="shared" si="9"/>
        <v>#N/A</v>
      </c>
      <c r="E57" t="e">
        <f t="shared" si="7"/>
        <v>#N/A</v>
      </c>
      <c r="G57" s="30">
        <f t="shared" si="12"/>
        <v>43922</v>
      </c>
      <c r="H57" s="96">
        <v>43930</v>
      </c>
      <c r="I57">
        <f t="shared" si="10"/>
        <v>0</v>
      </c>
      <c r="J57">
        <f t="shared" si="11"/>
        <v>0</v>
      </c>
    </row>
    <row r="58" spans="3:10" x14ac:dyDescent="0.25">
      <c r="C58" s="30">
        <f t="shared" si="8"/>
        <v>47209</v>
      </c>
      <c r="D58" t="e">
        <f t="shared" si="9"/>
        <v>#N/A</v>
      </c>
      <c r="E58" t="e">
        <f t="shared" si="7"/>
        <v>#N/A</v>
      </c>
      <c r="G58" s="30">
        <f t="shared" si="12"/>
        <v>44105</v>
      </c>
      <c r="H58" s="96">
        <v>44112</v>
      </c>
      <c r="I58">
        <f t="shared" si="10"/>
        <v>0</v>
      </c>
      <c r="J58">
        <f t="shared" si="11"/>
        <v>0</v>
      </c>
    </row>
    <row r="59" spans="3:10" x14ac:dyDescent="0.25">
      <c r="C59" s="30">
        <f t="shared" si="8"/>
        <v>47392</v>
      </c>
      <c r="D59" t="e">
        <f t="shared" si="9"/>
        <v>#N/A</v>
      </c>
      <c r="E59" t="e">
        <f t="shared" si="7"/>
        <v>#N/A</v>
      </c>
      <c r="G59" s="30">
        <f t="shared" si="12"/>
        <v>44287</v>
      </c>
      <c r="H59" s="96">
        <v>44294</v>
      </c>
      <c r="I59">
        <f t="shared" si="10"/>
        <v>0</v>
      </c>
      <c r="J59">
        <f t="shared" si="11"/>
        <v>0</v>
      </c>
    </row>
    <row r="60" spans="3:10" x14ac:dyDescent="0.25">
      <c r="C60" s="30">
        <f t="shared" si="8"/>
        <v>47574</v>
      </c>
      <c r="D60" t="e">
        <f t="shared" si="9"/>
        <v>#N/A</v>
      </c>
      <c r="E60" t="e">
        <f t="shared" si="7"/>
        <v>#N/A</v>
      </c>
      <c r="G60" s="30">
        <f t="shared" si="12"/>
        <v>44470</v>
      </c>
      <c r="H60" s="96">
        <v>44476</v>
      </c>
      <c r="I60">
        <f t="shared" si="10"/>
        <v>0</v>
      </c>
      <c r="J60">
        <f t="shared" si="11"/>
        <v>0</v>
      </c>
    </row>
    <row r="61" spans="3:10" x14ac:dyDescent="0.25">
      <c r="C61" s="30">
        <f t="shared" si="8"/>
        <v>47757</v>
      </c>
      <c r="D61" t="e">
        <f t="shared" si="9"/>
        <v>#N/A</v>
      </c>
      <c r="E61" t="e">
        <f t="shared" si="7"/>
        <v>#N/A</v>
      </c>
      <c r="G61" s="30">
        <f t="shared" si="12"/>
        <v>44652</v>
      </c>
      <c r="H61" s="96">
        <v>44658</v>
      </c>
      <c r="I61">
        <f t="shared" si="10"/>
        <v>0</v>
      </c>
      <c r="J61">
        <f t="shared" si="11"/>
        <v>0</v>
      </c>
    </row>
    <row r="62" spans="3:10" x14ac:dyDescent="0.25">
      <c r="C62" s="30">
        <f t="shared" si="8"/>
        <v>47939</v>
      </c>
      <c r="D62" t="e">
        <f t="shared" si="9"/>
        <v>#N/A</v>
      </c>
      <c r="E62" t="e">
        <f t="shared" si="7"/>
        <v>#N/A</v>
      </c>
      <c r="G62" s="30">
        <f t="shared" si="12"/>
        <v>44835</v>
      </c>
      <c r="H62" s="96">
        <v>44840</v>
      </c>
      <c r="I62">
        <f t="shared" si="10"/>
        <v>0</v>
      </c>
      <c r="J62">
        <f t="shared" si="11"/>
        <v>0</v>
      </c>
    </row>
    <row r="63" spans="3:10" x14ac:dyDescent="0.25">
      <c r="C63" s="30">
        <f t="shared" si="8"/>
        <v>48122</v>
      </c>
      <c r="D63" t="e">
        <f t="shared" si="9"/>
        <v>#N/A</v>
      </c>
      <c r="E63" t="e">
        <f t="shared" si="7"/>
        <v>#N/A</v>
      </c>
      <c r="G63" s="30">
        <f t="shared" si="12"/>
        <v>45017</v>
      </c>
      <c r="H63" s="96">
        <v>45022</v>
      </c>
      <c r="I63">
        <f t="shared" si="10"/>
        <v>0</v>
      </c>
      <c r="J63">
        <f t="shared" si="11"/>
        <v>0</v>
      </c>
    </row>
    <row r="64" spans="3:10" x14ac:dyDescent="0.25">
      <c r="C64" s="30">
        <f t="shared" si="8"/>
        <v>48305</v>
      </c>
      <c r="D64" t="e">
        <f t="shared" si="9"/>
        <v>#N/A</v>
      </c>
      <c r="E64" t="e">
        <f t="shared" si="7"/>
        <v>#N/A</v>
      </c>
      <c r="G64" s="30">
        <f t="shared" si="12"/>
        <v>45200</v>
      </c>
      <c r="H64" s="96">
        <v>45204</v>
      </c>
      <c r="I64">
        <f t="shared" si="10"/>
        <v>0</v>
      </c>
      <c r="J64">
        <f t="shared" si="11"/>
        <v>0</v>
      </c>
    </row>
    <row r="65" spans="3:10" x14ac:dyDescent="0.25">
      <c r="C65" s="30">
        <f t="shared" si="8"/>
        <v>48488</v>
      </c>
      <c r="D65" t="e">
        <f t="shared" si="9"/>
        <v>#N/A</v>
      </c>
      <c r="E65" t="e">
        <f t="shared" si="7"/>
        <v>#N/A</v>
      </c>
      <c r="G65" s="30">
        <f t="shared" si="12"/>
        <v>45383</v>
      </c>
      <c r="H65" s="96">
        <v>45386</v>
      </c>
      <c r="I65">
        <f t="shared" si="10"/>
        <v>0</v>
      </c>
      <c r="J65">
        <f t="shared" si="11"/>
        <v>0</v>
      </c>
    </row>
    <row r="66" spans="3:10" x14ac:dyDescent="0.25">
      <c r="C66" s="30">
        <f t="shared" si="8"/>
        <v>48670</v>
      </c>
      <c r="D66" t="e">
        <f t="shared" si="9"/>
        <v>#N/A</v>
      </c>
      <c r="E66" t="e">
        <f t="shared" si="7"/>
        <v>#N/A</v>
      </c>
      <c r="J66">
        <f t="shared" si="11"/>
        <v>0</v>
      </c>
    </row>
    <row r="67" spans="3:10" x14ac:dyDescent="0.25">
      <c r="C67" s="30">
        <f t="shared" si="8"/>
        <v>48853</v>
      </c>
      <c r="D67" t="e">
        <f t="shared" si="9"/>
        <v>#N/A</v>
      </c>
      <c r="E67" t="e">
        <f t="shared" si="7"/>
        <v>#N/A</v>
      </c>
    </row>
    <row r="68" spans="3:10" x14ac:dyDescent="0.25">
      <c r="C68" s="30">
        <f t="shared" si="8"/>
        <v>49035</v>
      </c>
      <c r="D68" t="e">
        <f t="shared" si="9"/>
        <v>#N/A</v>
      </c>
      <c r="E68" t="e">
        <f t="shared" si="7"/>
        <v>#N/A</v>
      </c>
      <c r="H68" t="s">
        <v>28</v>
      </c>
      <c r="I68" s="30"/>
    </row>
    <row r="69" spans="3:10" x14ac:dyDescent="0.25">
      <c r="C69" s="30">
        <f t="shared" si="8"/>
        <v>49218</v>
      </c>
      <c r="D69" t="e">
        <f t="shared" si="9"/>
        <v>#N/A</v>
      </c>
      <c r="E69" t="e">
        <f t="shared" ref="E69:E100" si="13">IF(C69&lt;$G$7,0,VLOOKUP(C69,$G$7:$J$25,4,0))</f>
        <v>#N/A</v>
      </c>
      <c r="I69" s="30">
        <f>IF(O46&lt;H47,H47,SUM(I47:I65))</f>
        <v>42096</v>
      </c>
      <c r="J69" s="30">
        <f>IF(P46&lt;I47,I47,SUM(J47:J65))</f>
        <v>42096</v>
      </c>
    </row>
    <row r="70" spans="3:10" x14ac:dyDescent="0.25">
      <c r="C70" s="30">
        <f t="shared" ref="C70:C101" si="14">DATE(YEAR(C69),MONTH(C69)+6,1)</f>
        <v>49400</v>
      </c>
      <c r="D70" t="e">
        <f t="shared" ref="D70:D101" si="15">IF(E70=0,MIN(IF(D69&lt;9,IF(C70=$G$11,D69,D69+1),IF(AND(D69&gt;8,D68=D69),D69+1,D69)),20),E70)</f>
        <v>#N/A</v>
      </c>
      <c r="E70" t="e">
        <f t="shared" si="13"/>
        <v>#N/A</v>
      </c>
      <c r="I70" s="30">
        <f>DATE(YEAR(I69),MONTH(I69),1)</f>
        <v>42095</v>
      </c>
      <c r="J70" s="30">
        <f>DATE(YEAR(J69),MONTH(J69),1)</f>
        <v>42095</v>
      </c>
    </row>
    <row r="71" spans="3:10" x14ac:dyDescent="0.25">
      <c r="C71" s="30">
        <f t="shared" si="14"/>
        <v>49583</v>
      </c>
      <c r="D71" t="e">
        <f t="shared" si="15"/>
        <v>#N/A</v>
      </c>
      <c r="E71" t="e">
        <f t="shared" si="13"/>
        <v>#N/A</v>
      </c>
      <c r="I71" t="s">
        <v>104</v>
      </c>
      <c r="J71">
        <f>IF(J69&lt;I69,J70,0)</f>
        <v>0</v>
      </c>
    </row>
    <row r="72" spans="3:10" x14ac:dyDescent="0.25">
      <c r="C72" s="30">
        <f t="shared" si="14"/>
        <v>49766</v>
      </c>
      <c r="D72" t="e">
        <f t="shared" si="15"/>
        <v>#N/A</v>
      </c>
      <c r="E72" t="e">
        <f t="shared" si="13"/>
        <v>#N/A</v>
      </c>
      <c r="I72" t="s">
        <v>24</v>
      </c>
      <c r="J72">
        <f>IF(J75&gt;0,J75,IF(J71&gt;0,VLOOKUP(J69,Calculateur!C22:F40,4,0),0))</f>
        <v>0</v>
      </c>
    </row>
    <row r="73" spans="3:10" x14ac:dyDescent="0.25">
      <c r="C73" s="30">
        <f t="shared" si="14"/>
        <v>49949</v>
      </c>
      <c r="D73" t="e">
        <f t="shared" si="15"/>
        <v>#N/A</v>
      </c>
      <c r="E73" t="e">
        <f t="shared" si="13"/>
        <v>#N/A</v>
      </c>
    </row>
    <row r="74" spans="3:10" x14ac:dyDescent="0.25">
      <c r="C74" s="30">
        <f t="shared" si="14"/>
        <v>50131</v>
      </c>
      <c r="D74" t="e">
        <f t="shared" si="15"/>
        <v>#N/A</v>
      </c>
      <c r="E74" t="e">
        <f t="shared" si="13"/>
        <v>#N/A</v>
      </c>
      <c r="G74" t="s">
        <v>105</v>
      </c>
      <c r="I74" t="str">
        <f>IF(MONTH(C5)=MONTH(C4),"oui","non")</f>
        <v>non</v>
      </c>
      <c r="J74" t="s">
        <v>107</v>
      </c>
    </row>
    <row r="75" spans="3:10" x14ac:dyDescent="0.25">
      <c r="C75" s="30">
        <f t="shared" si="14"/>
        <v>50314</v>
      </c>
      <c r="D75" t="e">
        <f t="shared" si="15"/>
        <v>#N/A</v>
      </c>
      <c r="E75" t="e">
        <f t="shared" si="13"/>
        <v>#N/A</v>
      </c>
      <c r="G75" t="s">
        <v>106</v>
      </c>
      <c r="I75" s="30">
        <f>IF(I74="oui",DATE(YEAR(C4),MONTH(C4)+6,1),0)</f>
        <v>0</v>
      </c>
      <c r="J75">
        <f>IF(I75&gt;0,VLOOKUP(I75,Calculateur!C22:F40,4,0),0)</f>
        <v>0</v>
      </c>
    </row>
    <row r="76" spans="3:10" x14ac:dyDescent="0.25">
      <c r="C76" s="30">
        <f t="shared" si="14"/>
        <v>50496</v>
      </c>
      <c r="D76" t="e">
        <f t="shared" si="15"/>
        <v>#N/A</v>
      </c>
      <c r="E76" t="e">
        <f t="shared" si="13"/>
        <v>#N/A</v>
      </c>
    </row>
    <row r="77" spans="3:10" x14ac:dyDescent="0.25">
      <c r="C77" s="30">
        <f t="shared" si="14"/>
        <v>50679</v>
      </c>
      <c r="D77" t="e">
        <f t="shared" si="15"/>
        <v>#N/A</v>
      </c>
      <c r="E77" t="e">
        <f t="shared" si="13"/>
        <v>#N/A</v>
      </c>
    </row>
    <row r="78" spans="3:10" x14ac:dyDescent="0.25">
      <c r="C78" s="30">
        <f t="shared" si="14"/>
        <v>50861</v>
      </c>
      <c r="D78" t="e">
        <f t="shared" si="15"/>
        <v>#N/A</v>
      </c>
      <c r="E78" t="e">
        <f t="shared" si="13"/>
        <v>#N/A</v>
      </c>
    </row>
    <row r="79" spans="3:10" x14ac:dyDescent="0.25">
      <c r="C79" s="30">
        <f t="shared" si="14"/>
        <v>51044</v>
      </c>
      <c r="D79" t="e">
        <f t="shared" si="15"/>
        <v>#N/A</v>
      </c>
      <c r="E79" t="e">
        <f t="shared" si="13"/>
        <v>#N/A</v>
      </c>
    </row>
    <row r="80" spans="3:10" x14ac:dyDescent="0.25">
      <c r="C80" s="30">
        <f t="shared" si="14"/>
        <v>51227</v>
      </c>
      <c r="D80" t="e">
        <f t="shared" si="15"/>
        <v>#N/A</v>
      </c>
      <c r="E80" t="e">
        <f t="shared" si="13"/>
        <v>#N/A</v>
      </c>
    </row>
    <row r="81" spans="3:5" x14ac:dyDescent="0.25">
      <c r="C81" s="30">
        <f t="shared" si="14"/>
        <v>51410</v>
      </c>
      <c r="D81" t="e">
        <f t="shared" si="15"/>
        <v>#N/A</v>
      </c>
      <c r="E81" t="e">
        <f t="shared" si="13"/>
        <v>#N/A</v>
      </c>
    </row>
    <row r="82" spans="3:5" x14ac:dyDescent="0.25">
      <c r="C82" s="30">
        <f t="shared" si="14"/>
        <v>51592</v>
      </c>
      <c r="D82" t="e">
        <f t="shared" si="15"/>
        <v>#N/A</v>
      </c>
      <c r="E82" t="e">
        <f t="shared" si="13"/>
        <v>#N/A</v>
      </c>
    </row>
    <row r="83" spans="3:5" x14ac:dyDescent="0.25">
      <c r="C83" s="30">
        <f t="shared" si="14"/>
        <v>51775</v>
      </c>
      <c r="D83" t="e">
        <f t="shared" si="15"/>
        <v>#N/A</v>
      </c>
      <c r="E83" t="e">
        <f t="shared" si="13"/>
        <v>#N/A</v>
      </c>
    </row>
    <row r="84" spans="3:5" x14ac:dyDescent="0.25">
      <c r="C84" s="30">
        <f t="shared" si="14"/>
        <v>51957</v>
      </c>
      <c r="D84" t="e">
        <f t="shared" si="15"/>
        <v>#N/A</v>
      </c>
      <c r="E84" t="e">
        <f t="shared" si="13"/>
        <v>#N/A</v>
      </c>
    </row>
    <row r="85" spans="3:5" x14ac:dyDescent="0.25">
      <c r="C85" s="30">
        <f t="shared" si="14"/>
        <v>52140</v>
      </c>
      <c r="D85" t="e">
        <f t="shared" si="15"/>
        <v>#N/A</v>
      </c>
      <c r="E85" t="e">
        <f t="shared" si="13"/>
        <v>#N/A</v>
      </c>
    </row>
    <row r="86" spans="3:5" x14ac:dyDescent="0.25">
      <c r="C86" s="30">
        <f t="shared" si="14"/>
        <v>52322</v>
      </c>
      <c r="D86" t="e">
        <f t="shared" si="15"/>
        <v>#N/A</v>
      </c>
      <c r="E86" t="e">
        <f t="shared" si="13"/>
        <v>#N/A</v>
      </c>
    </row>
    <row r="87" spans="3:5" x14ac:dyDescent="0.25">
      <c r="C87" s="30">
        <f t="shared" si="14"/>
        <v>52505</v>
      </c>
      <c r="D87" t="e">
        <f t="shared" si="15"/>
        <v>#N/A</v>
      </c>
      <c r="E87" t="e">
        <f t="shared" si="13"/>
        <v>#N/A</v>
      </c>
    </row>
    <row r="88" spans="3:5" x14ac:dyDescent="0.25">
      <c r="C88" s="30">
        <f t="shared" si="14"/>
        <v>52688</v>
      </c>
      <c r="D88" t="e">
        <f t="shared" si="15"/>
        <v>#N/A</v>
      </c>
      <c r="E88" t="e">
        <f t="shared" si="13"/>
        <v>#N/A</v>
      </c>
    </row>
    <row r="89" spans="3:5" x14ac:dyDescent="0.25">
      <c r="C89" s="30">
        <f t="shared" si="14"/>
        <v>52871</v>
      </c>
      <c r="D89" t="e">
        <f t="shared" si="15"/>
        <v>#N/A</v>
      </c>
      <c r="E89" t="e">
        <f t="shared" si="13"/>
        <v>#N/A</v>
      </c>
    </row>
    <row r="90" spans="3:5" x14ac:dyDescent="0.25">
      <c r="C90" s="30">
        <f t="shared" si="14"/>
        <v>53053</v>
      </c>
      <c r="D90" t="e">
        <f t="shared" si="15"/>
        <v>#N/A</v>
      </c>
      <c r="E90" t="e">
        <f t="shared" si="13"/>
        <v>#N/A</v>
      </c>
    </row>
    <row r="91" spans="3:5" x14ac:dyDescent="0.25">
      <c r="C91" s="30">
        <f t="shared" si="14"/>
        <v>53236</v>
      </c>
      <c r="D91" t="e">
        <f t="shared" si="15"/>
        <v>#N/A</v>
      </c>
      <c r="E91" t="e">
        <f t="shared" si="13"/>
        <v>#N/A</v>
      </c>
    </row>
    <row r="92" spans="3:5" x14ac:dyDescent="0.25">
      <c r="C92" s="30">
        <f t="shared" si="14"/>
        <v>53418</v>
      </c>
      <c r="D92" t="e">
        <f t="shared" si="15"/>
        <v>#N/A</v>
      </c>
      <c r="E92" t="e">
        <f t="shared" si="13"/>
        <v>#N/A</v>
      </c>
    </row>
    <row r="93" spans="3:5" x14ac:dyDescent="0.25">
      <c r="C93" s="30">
        <f t="shared" si="14"/>
        <v>53601</v>
      </c>
      <c r="D93" t="e">
        <f t="shared" si="15"/>
        <v>#N/A</v>
      </c>
      <c r="E93" t="e">
        <f t="shared" si="13"/>
        <v>#N/A</v>
      </c>
    </row>
    <row r="94" spans="3:5" x14ac:dyDescent="0.25">
      <c r="C94" s="30">
        <f t="shared" si="14"/>
        <v>53783</v>
      </c>
      <c r="D94" t="e">
        <f t="shared" si="15"/>
        <v>#N/A</v>
      </c>
      <c r="E94" t="e">
        <f t="shared" si="13"/>
        <v>#N/A</v>
      </c>
    </row>
    <row r="95" spans="3:5" x14ac:dyDescent="0.25">
      <c r="C95" s="30">
        <f t="shared" si="14"/>
        <v>53966</v>
      </c>
      <c r="D95" t="e">
        <f t="shared" si="15"/>
        <v>#N/A</v>
      </c>
      <c r="E95" t="e">
        <f t="shared" si="13"/>
        <v>#N/A</v>
      </c>
    </row>
    <row r="96" spans="3:5" x14ac:dyDescent="0.25">
      <c r="C96" s="30">
        <f t="shared" si="14"/>
        <v>54149</v>
      </c>
      <c r="D96" t="e">
        <f t="shared" si="15"/>
        <v>#N/A</v>
      </c>
      <c r="E96" t="e">
        <f t="shared" si="13"/>
        <v>#N/A</v>
      </c>
    </row>
    <row r="97" spans="3:5" x14ac:dyDescent="0.25">
      <c r="C97" s="30">
        <f t="shared" si="14"/>
        <v>54332</v>
      </c>
      <c r="D97" t="e">
        <f t="shared" si="15"/>
        <v>#N/A</v>
      </c>
      <c r="E97" t="e">
        <f t="shared" si="13"/>
        <v>#N/A</v>
      </c>
    </row>
    <row r="98" spans="3:5" x14ac:dyDescent="0.25">
      <c r="C98" s="30">
        <f t="shared" si="14"/>
        <v>54514</v>
      </c>
      <c r="D98" t="e">
        <f t="shared" si="15"/>
        <v>#N/A</v>
      </c>
      <c r="E98" t="e">
        <f t="shared" si="13"/>
        <v>#N/A</v>
      </c>
    </row>
    <row r="99" spans="3:5" x14ac:dyDescent="0.25">
      <c r="C99" s="30">
        <f t="shared" si="14"/>
        <v>54697</v>
      </c>
      <c r="D99" t="e">
        <f t="shared" si="15"/>
        <v>#N/A</v>
      </c>
      <c r="E99" t="e">
        <f t="shared" si="13"/>
        <v>#N/A</v>
      </c>
    </row>
    <row r="100" spans="3:5" x14ac:dyDescent="0.25">
      <c r="C100" s="30">
        <f t="shared" si="14"/>
        <v>54879</v>
      </c>
      <c r="D100" t="e">
        <f t="shared" si="15"/>
        <v>#N/A</v>
      </c>
      <c r="E100" t="e">
        <f t="shared" si="13"/>
        <v>#N/A</v>
      </c>
    </row>
    <row r="101" spans="3:5" x14ac:dyDescent="0.25">
      <c r="C101" s="30">
        <f t="shared" si="14"/>
        <v>55062</v>
      </c>
      <c r="D101" t="e">
        <f t="shared" si="15"/>
        <v>#N/A</v>
      </c>
      <c r="E101" t="e">
        <f t="shared" ref="E101:E132" si="16">IF(C101&lt;$G$7,0,VLOOKUP(C101,$G$7:$J$25,4,0))</f>
        <v>#N/A</v>
      </c>
    </row>
    <row r="102" spans="3:5" x14ac:dyDescent="0.25">
      <c r="C102" s="30">
        <f t="shared" ref="C102:C133" si="17">DATE(YEAR(C101),MONTH(C101)+6,1)</f>
        <v>55244</v>
      </c>
      <c r="D102" t="e">
        <f t="shared" ref="D102:D133" si="18">IF(E102=0,MIN(IF(D101&lt;9,IF(C102=$G$11,D101,D101+1),IF(AND(D101&gt;8,D100=D101),D101+1,D101)),20),E102)</f>
        <v>#N/A</v>
      </c>
      <c r="E102" t="e">
        <f t="shared" si="16"/>
        <v>#N/A</v>
      </c>
    </row>
    <row r="103" spans="3:5" x14ac:dyDescent="0.25">
      <c r="C103" s="30">
        <f t="shared" si="17"/>
        <v>55427</v>
      </c>
      <c r="D103" t="e">
        <f t="shared" si="18"/>
        <v>#N/A</v>
      </c>
      <c r="E103" t="e">
        <f t="shared" si="16"/>
        <v>#N/A</v>
      </c>
    </row>
    <row r="104" spans="3:5" x14ac:dyDescent="0.25">
      <c r="C104" s="30">
        <f t="shared" si="17"/>
        <v>55610</v>
      </c>
      <c r="D104" t="e">
        <f t="shared" si="18"/>
        <v>#N/A</v>
      </c>
      <c r="E104" t="e">
        <f t="shared" si="16"/>
        <v>#N/A</v>
      </c>
    </row>
    <row r="105" spans="3:5" x14ac:dyDescent="0.25">
      <c r="C105" s="30">
        <f t="shared" si="17"/>
        <v>55793</v>
      </c>
      <c r="D105" t="e">
        <f t="shared" si="18"/>
        <v>#N/A</v>
      </c>
      <c r="E105" t="e">
        <f t="shared" si="16"/>
        <v>#N/A</v>
      </c>
    </row>
    <row r="106" spans="3:5" x14ac:dyDescent="0.25">
      <c r="C106" s="30">
        <f t="shared" si="17"/>
        <v>55975</v>
      </c>
      <c r="D106" t="e">
        <f t="shared" si="18"/>
        <v>#N/A</v>
      </c>
      <c r="E106" t="e">
        <f t="shared" si="16"/>
        <v>#N/A</v>
      </c>
    </row>
    <row r="107" spans="3:5" x14ac:dyDescent="0.25">
      <c r="C107" s="30">
        <f t="shared" si="17"/>
        <v>56158</v>
      </c>
      <c r="D107" t="e">
        <f t="shared" si="18"/>
        <v>#N/A</v>
      </c>
      <c r="E107" t="e">
        <f t="shared" si="16"/>
        <v>#N/A</v>
      </c>
    </row>
    <row r="108" spans="3:5" x14ac:dyDescent="0.25">
      <c r="C108" s="30">
        <f t="shared" si="17"/>
        <v>56340</v>
      </c>
      <c r="D108" t="e">
        <f t="shared" si="18"/>
        <v>#N/A</v>
      </c>
      <c r="E108" t="e">
        <f t="shared" si="16"/>
        <v>#N/A</v>
      </c>
    </row>
    <row r="109" spans="3:5" x14ac:dyDescent="0.25">
      <c r="C109" s="30">
        <f t="shared" si="17"/>
        <v>56523</v>
      </c>
      <c r="D109" t="e">
        <f t="shared" si="18"/>
        <v>#N/A</v>
      </c>
      <c r="E109" t="e">
        <f t="shared" si="16"/>
        <v>#N/A</v>
      </c>
    </row>
    <row r="110" spans="3:5" x14ac:dyDescent="0.25">
      <c r="C110" s="30">
        <f t="shared" si="17"/>
        <v>56705</v>
      </c>
      <c r="D110" t="e">
        <f t="shared" si="18"/>
        <v>#N/A</v>
      </c>
      <c r="E110" t="e">
        <f t="shared" si="16"/>
        <v>#N/A</v>
      </c>
    </row>
    <row r="111" spans="3:5" x14ac:dyDescent="0.25">
      <c r="C111" s="30">
        <f t="shared" si="17"/>
        <v>56888</v>
      </c>
      <c r="D111" t="e">
        <f t="shared" si="18"/>
        <v>#N/A</v>
      </c>
      <c r="E111" t="e">
        <f t="shared" si="16"/>
        <v>#N/A</v>
      </c>
    </row>
    <row r="112" spans="3:5" x14ac:dyDescent="0.25">
      <c r="C112" s="30">
        <f t="shared" si="17"/>
        <v>57071</v>
      </c>
      <c r="D112" t="e">
        <f t="shared" si="18"/>
        <v>#N/A</v>
      </c>
      <c r="E112" t="e">
        <f t="shared" si="16"/>
        <v>#N/A</v>
      </c>
    </row>
    <row r="113" spans="3:5" x14ac:dyDescent="0.25">
      <c r="C113" s="30">
        <f t="shared" si="17"/>
        <v>57254</v>
      </c>
      <c r="D113" t="e">
        <f t="shared" si="18"/>
        <v>#N/A</v>
      </c>
      <c r="E113" t="e">
        <f t="shared" si="16"/>
        <v>#N/A</v>
      </c>
    </row>
    <row r="114" spans="3:5" x14ac:dyDescent="0.25">
      <c r="C114" s="30">
        <f t="shared" si="17"/>
        <v>57436</v>
      </c>
      <c r="D114" t="e">
        <f t="shared" si="18"/>
        <v>#N/A</v>
      </c>
      <c r="E114" t="e">
        <f t="shared" si="16"/>
        <v>#N/A</v>
      </c>
    </row>
    <row r="115" spans="3:5" x14ac:dyDescent="0.25">
      <c r="C115" s="30">
        <f t="shared" si="17"/>
        <v>57619</v>
      </c>
      <c r="D115" t="e">
        <f t="shared" si="18"/>
        <v>#N/A</v>
      </c>
      <c r="E115" t="e">
        <f t="shared" si="16"/>
        <v>#N/A</v>
      </c>
    </row>
    <row r="116" spans="3:5" x14ac:dyDescent="0.25">
      <c r="C116" s="30">
        <f t="shared" si="17"/>
        <v>57801</v>
      </c>
      <c r="D116" t="e">
        <f t="shared" si="18"/>
        <v>#N/A</v>
      </c>
      <c r="E116" t="e">
        <f t="shared" si="16"/>
        <v>#N/A</v>
      </c>
    </row>
    <row r="117" spans="3:5" x14ac:dyDescent="0.25">
      <c r="C117" s="30">
        <f t="shared" si="17"/>
        <v>57984</v>
      </c>
      <c r="D117" t="e">
        <f t="shared" si="18"/>
        <v>#N/A</v>
      </c>
      <c r="E117" t="e">
        <f t="shared" si="16"/>
        <v>#N/A</v>
      </c>
    </row>
    <row r="118" spans="3:5" x14ac:dyDescent="0.25">
      <c r="C118" s="30">
        <f t="shared" si="17"/>
        <v>58166</v>
      </c>
      <c r="D118" t="e">
        <f t="shared" si="18"/>
        <v>#N/A</v>
      </c>
      <c r="E118" t="e">
        <f t="shared" si="16"/>
        <v>#N/A</v>
      </c>
    </row>
    <row r="119" spans="3:5" x14ac:dyDescent="0.25">
      <c r="C119" s="30">
        <f t="shared" si="17"/>
        <v>58349</v>
      </c>
      <c r="D119" t="e">
        <f t="shared" si="18"/>
        <v>#N/A</v>
      </c>
      <c r="E119" t="e">
        <f t="shared" si="16"/>
        <v>#N/A</v>
      </c>
    </row>
    <row r="120" spans="3:5" x14ac:dyDescent="0.25">
      <c r="C120" s="30">
        <f t="shared" si="17"/>
        <v>58532</v>
      </c>
      <c r="D120" t="e">
        <f t="shared" si="18"/>
        <v>#N/A</v>
      </c>
      <c r="E120" t="e">
        <f t="shared" si="16"/>
        <v>#N/A</v>
      </c>
    </row>
    <row r="121" spans="3:5" x14ac:dyDescent="0.25">
      <c r="C121" s="30">
        <f t="shared" si="17"/>
        <v>58715</v>
      </c>
      <c r="D121" t="e">
        <f t="shared" si="18"/>
        <v>#N/A</v>
      </c>
      <c r="E121" t="e">
        <f t="shared" si="16"/>
        <v>#N/A</v>
      </c>
    </row>
    <row r="122" spans="3:5" x14ac:dyDescent="0.25">
      <c r="C122" s="30">
        <f t="shared" si="17"/>
        <v>58897</v>
      </c>
      <c r="D122" t="e">
        <f t="shared" si="18"/>
        <v>#N/A</v>
      </c>
      <c r="E122" t="e">
        <f t="shared" si="16"/>
        <v>#N/A</v>
      </c>
    </row>
    <row r="123" spans="3:5" x14ac:dyDescent="0.25">
      <c r="C123" s="30">
        <f t="shared" si="17"/>
        <v>59080</v>
      </c>
      <c r="D123" t="e">
        <f t="shared" si="18"/>
        <v>#N/A</v>
      </c>
      <c r="E123" t="e">
        <f t="shared" si="16"/>
        <v>#N/A</v>
      </c>
    </row>
    <row r="124" spans="3:5" x14ac:dyDescent="0.25">
      <c r="C124" s="30">
        <f t="shared" si="17"/>
        <v>59262</v>
      </c>
      <c r="D124" t="e">
        <f t="shared" si="18"/>
        <v>#N/A</v>
      </c>
      <c r="E124" t="e">
        <f t="shared" si="16"/>
        <v>#N/A</v>
      </c>
    </row>
    <row r="125" spans="3:5" x14ac:dyDescent="0.25">
      <c r="C125" s="30">
        <f t="shared" si="17"/>
        <v>59445</v>
      </c>
      <c r="D125" t="e">
        <f t="shared" si="18"/>
        <v>#N/A</v>
      </c>
      <c r="E125" t="e">
        <f t="shared" si="16"/>
        <v>#N/A</v>
      </c>
    </row>
    <row r="126" spans="3:5" x14ac:dyDescent="0.25">
      <c r="C126" s="30">
        <f t="shared" si="17"/>
        <v>59627</v>
      </c>
      <c r="D126" t="e">
        <f t="shared" si="18"/>
        <v>#N/A</v>
      </c>
      <c r="E126" t="e">
        <f t="shared" si="16"/>
        <v>#N/A</v>
      </c>
    </row>
    <row r="127" spans="3:5" x14ac:dyDescent="0.25">
      <c r="C127" s="30">
        <f t="shared" si="17"/>
        <v>59810</v>
      </c>
      <c r="D127" t="e">
        <f t="shared" si="18"/>
        <v>#N/A</v>
      </c>
      <c r="E127" t="e">
        <f t="shared" si="16"/>
        <v>#N/A</v>
      </c>
    </row>
    <row r="128" spans="3:5" x14ac:dyDescent="0.25">
      <c r="C128" s="30">
        <f t="shared" si="17"/>
        <v>59993</v>
      </c>
      <c r="D128" t="e">
        <f t="shared" si="18"/>
        <v>#N/A</v>
      </c>
      <c r="E128" t="e">
        <f t="shared" si="16"/>
        <v>#N/A</v>
      </c>
    </row>
    <row r="129" spans="3:5" x14ac:dyDescent="0.25">
      <c r="C129" s="30">
        <f t="shared" si="17"/>
        <v>60176</v>
      </c>
      <c r="D129" t="e">
        <f t="shared" si="18"/>
        <v>#N/A</v>
      </c>
      <c r="E129" t="e">
        <f t="shared" si="16"/>
        <v>#N/A</v>
      </c>
    </row>
    <row r="130" spans="3:5" x14ac:dyDescent="0.25">
      <c r="C130" s="30">
        <f t="shared" si="17"/>
        <v>60358</v>
      </c>
      <c r="D130" t="e">
        <f t="shared" si="18"/>
        <v>#N/A</v>
      </c>
      <c r="E130" t="e">
        <f t="shared" si="16"/>
        <v>#N/A</v>
      </c>
    </row>
    <row r="131" spans="3:5" x14ac:dyDescent="0.25">
      <c r="C131" s="30">
        <f t="shared" si="17"/>
        <v>60541</v>
      </c>
      <c r="D131" t="e">
        <f t="shared" si="18"/>
        <v>#N/A</v>
      </c>
      <c r="E131" t="e">
        <f t="shared" si="16"/>
        <v>#N/A</v>
      </c>
    </row>
    <row r="132" spans="3:5" x14ac:dyDescent="0.25">
      <c r="C132" s="30">
        <f t="shared" si="17"/>
        <v>60723</v>
      </c>
      <c r="D132" t="e">
        <f t="shared" si="18"/>
        <v>#N/A</v>
      </c>
      <c r="E132" t="e">
        <f t="shared" si="16"/>
        <v>#N/A</v>
      </c>
    </row>
    <row r="133" spans="3:5" x14ac:dyDescent="0.25">
      <c r="C133" s="30">
        <f t="shared" si="17"/>
        <v>60906</v>
      </c>
      <c r="D133" t="e">
        <f t="shared" si="18"/>
        <v>#N/A</v>
      </c>
      <c r="E133" t="e">
        <f t="shared" ref="E133:E164" si="19">IF(C133&lt;$G$7,0,VLOOKUP(C133,$G$7:$J$25,4,0))</f>
        <v>#N/A</v>
      </c>
    </row>
    <row r="134" spans="3:5" x14ac:dyDescent="0.25">
      <c r="C134" s="30">
        <f t="shared" ref="C134:C165" si="20">DATE(YEAR(C133),MONTH(C133)+6,1)</f>
        <v>61088</v>
      </c>
      <c r="D134" t="e">
        <f t="shared" ref="D134:D165" si="21">IF(E134=0,MIN(IF(D133&lt;9,IF(C134=$G$11,D133,D133+1),IF(AND(D133&gt;8,D132=D133),D133+1,D133)),20),E134)</f>
        <v>#N/A</v>
      </c>
      <c r="E134" t="e">
        <f t="shared" si="19"/>
        <v>#N/A</v>
      </c>
    </row>
    <row r="135" spans="3:5" x14ac:dyDescent="0.25">
      <c r="C135" s="30">
        <f t="shared" si="20"/>
        <v>61271</v>
      </c>
      <c r="D135" t="e">
        <f t="shared" si="21"/>
        <v>#N/A</v>
      </c>
      <c r="E135" t="e">
        <f t="shared" si="19"/>
        <v>#N/A</v>
      </c>
    </row>
    <row r="136" spans="3:5" x14ac:dyDescent="0.25">
      <c r="C136" s="30">
        <f t="shared" si="20"/>
        <v>61454</v>
      </c>
      <c r="D136" t="e">
        <f t="shared" si="21"/>
        <v>#N/A</v>
      </c>
      <c r="E136" t="e">
        <f t="shared" si="19"/>
        <v>#N/A</v>
      </c>
    </row>
    <row r="137" spans="3:5" x14ac:dyDescent="0.25">
      <c r="C137" s="30">
        <f t="shared" si="20"/>
        <v>61637</v>
      </c>
      <c r="D137" t="e">
        <f t="shared" si="21"/>
        <v>#N/A</v>
      </c>
      <c r="E137" t="e">
        <f t="shared" si="19"/>
        <v>#N/A</v>
      </c>
    </row>
    <row r="138" spans="3:5" x14ac:dyDescent="0.25">
      <c r="C138" s="30">
        <f t="shared" si="20"/>
        <v>61819</v>
      </c>
      <c r="D138" t="e">
        <f t="shared" si="21"/>
        <v>#N/A</v>
      </c>
      <c r="E138" t="e">
        <f t="shared" si="19"/>
        <v>#N/A</v>
      </c>
    </row>
    <row r="139" spans="3:5" x14ac:dyDescent="0.25">
      <c r="C139" s="30">
        <f t="shared" si="20"/>
        <v>62002</v>
      </c>
      <c r="D139" t="e">
        <f t="shared" si="21"/>
        <v>#N/A</v>
      </c>
      <c r="E139" t="e">
        <f t="shared" si="19"/>
        <v>#N/A</v>
      </c>
    </row>
    <row r="140" spans="3:5" x14ac:dyDescent="0.25">
      <c r="C140" s="30">
        <f t="shared" si="20"/>
        <v>62184</v>
      </c>
      <c r="D140" t="e">
        <f t="shared" si="21"/>
        <v>#N/A</v>
      </c>
      <c r="E140" t="e">
        <f t="shared" si="19"/>
        <v>#N/A</v>
      </c>
    </row>
    <row r="141" spans="3:5" x14ac:dyDescent="0.25">
      <c r="C141" s="30">
        <f t="shared" si="20"/>
        <v>62367</v>
      </c>
      <c r="D141" t="e">
        <f t="shared" si="21"/>
        <v>#N/A</v>
      </c>
      <c r="E141" t="e">
        <f t="shared" si="19"/>
        <v>#N/A</v>
      </c>
    </row>
    <row r="142" spans="3:5" x14ac:dyDescent="0.25">
      <c r="C142" s="30">
        <f t="shared" si="20"/>
        <v>62549</v>
      </c>
      <c r="D142" t="e">
        <f t="shared" si="21"/>
        <v>#N/A</v>
      </c>
      <c r="E142" t="e">
        <f t="shared" si="19"/>
        <v>#N/A</v>
      </c>
    </row>
    <row r="143" spans="3:5" x14ac:dyDescent="0.25">
      <c r="C143" s="30">
        <f t="shared" si="20"/>
        <v>62732</v>
      </c>
      <c r="D143" t="e">
        <f t="shared" si="21"/>
        <v>#N/A</v>
      </c>
      <c r="E143" t="e">
        <f t="shared" si="19"/>
        <v>#N/A</v>
      </c>
    </row>
    <row r="144" spans="3:5" x14ac:dyDescent="0.25">
      <c r="C144" s="30">
        <f t="shared" si="20"/>
        <v>62915</v>
      </c>
      <c r="D144" t="e">
        <f t="shared" si="21"/>
        <v>#N/A</v>
      </c>
      <c r="E144" t="e">
        <f t="shared" si="19"/>
        <v>#N/A</v>
      </c>
    </row>
    <row r="145" spans="3:5" x14ac:dyDescent="0.25">
      <c r="C145" s="30">
        <f t="shared" si="20"/>
        <v>63098</v>
      </c>
      <c r="D145" t="e">
        <f t="shared" si="21"/>
        <v>#N/A</v>
      </c>
      <c r="E145" t="e">
        <f t="shared" si="19"/>
        <v>#N/A</v>
      </c>
    </row>
    <row r="146" spans="3:5" x14ac:dyDescent="0.25">
      <c r="C146" s="30">
        <f t="shared" si="20"/>
        <v>63280</v>
      </c>
      <c r="D146" t="e">
        <f t="shared" si="21"/>
        <v>#N/A</v>
      </c>
      <c r="E146" t="e">
        <f t="shared" si="19"/>
        <v>#N/A</v>
      </c>
    </row>
    <row r="147" spans="3:5" x14ac:dyDescent="0.25">
      <c r="C147" s="30">
        <f t="shared" si="20"/>
        <v>63463</v>
      </c>
      <c r="D147" t="e">
        <f t="shared" si="21"/>
        <v>#N/A</v>
      </c>
      <c r="E147" t="e">
        <f t="shared" si="19"/>
        <v>#N/A</v>
      </c>
    </row>
    <row r="148" spans="3:5" x14ac:dyDescent="0.25">
      <c r="C148" s="30">
        <f t="shared" si="20"/>
        <v>63645</v>
      </c>
      <c r="D148" t="e">
        <f t="shared" si="21"/>
        <v>#N/A</v>
      </c>
      <c r="E148" t="e">
        <f t="shared" si="19"/>
        <v>#N/A</v>
      </c>
    </row>
    <row r="149" spans="3:5" x14ac:dyDescent="0.25">
      <c r="C149" s="30">
        <f t="shared" si="20"/>
        <v>63828</v>
      </c>
      <c r="D149" t="e">
        <f t="shared" si="21"/>
        <v>#N/A</v>
      </c>
      <c r="E149" t="e">
        <f t="shared" si="19"/>
        <v>#N/A</v>
      </c>
    </row>
    <row r="150" spans="3:5" x14ac:dyDescent="0.25">
      <c r="C150" s="30">
        <f t="shared" si="20"/>
        <v>64010</v>
      </c>
      <c r="D150" t="e">
        <f t="shared" si="21"/>
        <v>#N/A</v>
      </c>
      <c r="E150" t="e">
        <f t="shared" si="19"/>
        <v>#N/A</v>
      </c>
    </row>
    <row r="151" spans="3:5" x14ac:dyDescent="0.25">
      <c r="C151" s="30">
        <f t="shared" si="20"/>
        <v>64193</v>
      </c>
      <c r="D151" t="e">
        <f t="shared" si="21"/>
        <v>#N/A</v>
      </c>
      <c r="E151" t="e">
        <f t="shared" si="19"/>
        <v>#N/A</v>
      </c>
    </row>
    <row r="152" spans="3:5" x14ac:dyDescent="0.25">
      <c r="C152" s="30">
        <f t="shared" si="20"/>
        <v>64376</v>
      </c>
      <c r="D152" t="e">
        <f t="shared" si="21"/>
        <v>#N/A</v>
      </c>
      <c r="E152" t="e">
        <f t="shared" si="19"/>
        <v>#N/A</v>
      </c>
    </row>
    <row r="153" spans="3:5" x14ac:dyDescent="0.25">
      <c r="C153" s="30">
        <f t="shared" si="20"/>
        <v>64559</v>
      </c>
      <c r="D153" t="e">
        <f t="shared" si="21"/>
        <v>#N/A</v>
      </c>
      <c r="E153" t="e">
        <f t="shared" si="19"/>
        <v>#N/A</v>
      </c>
    </row>
    <row r="154" spans="3:5" x14ac:dyDescent="0.25">
      <c r="C154" s="30">
        <f t="shared" si="20"/>
        <v>64741</v>
      </c>
      <c r="D154" t="e">
        <f t="shared" si="21"/>
        <v>#N/A</v>
      </c>
      <c r="E154" t="e">
        <f t="shared" si="19"/>
        <v>#N/A</v>
      </c>
    </row>
    <row r="155" spans="3:5" x14ac:dyDescent="0.25">
      <c r="C155" s="30">
        <f t="shared" si="20"/>
        <v>64924</v>
      </c>
      <c r="D155" t="e">
        <f t="shared" si="21"/>
        <v>#N/A</v>
      </c>
      <c r="E155" t="e">
        <f t="shared" si="19"/>
        <v>#N/A</v>
      </c>
    </row>
    <row r="156" spans="3:5" x14ac:dyDescent="0.25">
      <c r="C156" s="30">
        <f t="shared" si="20"/>
        <v>65106</v>
      </c>
      <c r="D156" t="e">
        <f t="shared" si="21"/>
        <v>#N/A</v>
      </c>
      <c r="E156" t="e">
        <f t="shared" si="19"/>
        <v>#N/A</v>
      </c>
    </row>
    <row r="157" spans="3:5" x14ac:dyDescent="0.25">
      <c r="C157" s="30">
        <f t="shared" si="20"/>
        <v>65289</v>
      </c>
      <c r="D157" t="e">
        <f t="shared" si="21"/>
        <v>#N/A</v>
      </c>
      <c r="E157" t="e">
        <f t="shared" si="19"/>
        <v>#N/A</v>
      </c>
    </row>
    <row r="158" spans="3:5" x14ac:dyDescent="0.25">
      <c r="C158" s="30">
        <f t="shared" si="20"/>
        <v>65471</v>
      </c>
      <c r="D158" t="e">
        <f t="shared" si="21"/>
        <v>#N/A</v>
      </c>
      <c r="E158" t="e">
        <f t="shared" si="19"/>
        <v>#N/A</v>
      </c>
    </row>
    <row r="159" spans="3:5" x14ac:dyDescent="0.25">
      <c r="C159" s="30">
        <f t="shared" si="20"/>
        <v>65654</v>
      </c>
      <c r="D159" t="e">
        <f t="shared" si="21"/>
        <v>#N/A</v>
      </c>
      <c r="E159" t="e">
        <f t="shared" si="19"/>
        <v>#N/A</v>
      </c>
    </row>
    <row r="160" spans="3:5" x14ac:dyDescent="0.25">
      <c r="C160" s="30">
        <f t="shared" si="20"/>
        <v>65837</v>
      </c>
      <c r="D160" t="e">
        <f t="shared" si="21"/>
        <v>#N/A</v>
      </c>
      <c r="E160" t="e">
        <f t="shared" si="19"/>
        <v>#N/A</v>
      </c>
    </row>
    <row r="161" spans="3:5" x14ac:dyDescent="0.25">
      <c r="C161" s="30">
        <f t="shared" si="20"/>
        <v>66020</v>
      </c>
      <c r="D161" t="e">
        <f t="shared" si="21"/>
        <v>#N/A</v>
      </c>
      <c r="E161" t="e">
        <f t="shared" si="19"/>
        <v>#N/A</v>
      </c>
    </row>
    <row r="162" spans="3:5" x14ac:dyDescent="0.25">
      <c r="C162" s="30">
        <f t="shared" si="20"/>
        <v>66202</v>
      </c>
      <c r="D162" t="e">
        <f t="shared" si="21"/>
        <v>#N/A</v>
      </c>
      <c r="E162" t="e">
        <f t="shared" si="19"/>
        <v>#N/A</v>
      </c>
    </row>
    <row r="163" spans="3:5" x14ac:dyDescent="0.25">
      <c r="C163" s="30">
        <f t="shared" si="20"/>
        <v>66385</v>
      </c>
      <c r="D163" t="e">
        <f t="shared" si="21"/>
        <v>#N/A</v>
      </c>
      <c r="E163" t="e">
        <f t="shared" si="19"/>
        <v>#N/A</v>
      </c>
    </row>
    <row r="164" spans="3:5" x14ac:dyDescent="0.25">
      <c r="C164" s="30">
        <f t="shared" si="20"/>
        <v>66567</v>
      </c>
      <c r="D164" t="e">
        <f t="shared" si="21"/>
        <v>#N/A</v>
      </c>
      <c r="E164" t="e">
        <f t="shared" si="19"/>
        <v>#N/A</v>
      </c>
    </row>
    <row r="165" spans="3:5" x14ac:dyDescent="0.25">
      <c r="C165" s="30">
        <f t="shared" si="20"/>
        <v>66750</v>
      </c>
      <c r="D165" t="e">
        <f t="shared" si="21"/>
        <v>#N/A</v>
      </c>
      <c r="E165" t="e">
        <f t="shared" ref="E165:E188" si="22">IF(C165&lt;$G$7,0,VLOOKUP(C165,$G$7:$J$25,4,0))</f>
        <v>#N/A</v>
      </c>
    </row>
    <row r="166" spans="3:5" x14ac:dyDescent="0.25">
      <c r="C166" s="30">
        <f t="shared" ref="C166:C188" si="23">DATE(YEAR(C165),MONTH(C165)+6,1)</f>
        <v>66932</v>
      </c>
      <c r="D166" t="e">
        <f t="shared" ref="D166:D188" si="24">IF(E166=0,MIN(IF(D165&lt;9,IF(C166=$G$11,D165,D165+1),IF(AND(D165&gt;8,D164=D165),D165+1,D165)),20),E166)</f>
        <v>#N/A</v>
      </c>
      <c r="E166" t="e">
        <f t="shared" si="22"/>
        <v>#N/A</v>
      </c>
    </row>
    <row r="167" spans="3:5" x14ac:dyDescent="0.25">
      <c r="C167" s="30">
        <f t="shared" si="23"/>
        <v>67115</v>
      </c>
      <c r="D167" t="e">
        <f t="shared" si="24"/>
        <v>#N/A</v>
      </c>
      <c r="E167" t="e">
        <f t="shared" si="22"/>
        <v>#N/A</v>
      </c>
    </row>
    <row r="168" spans="3:5" x14ac:dyDescent="0.25">
      <c r="C168" s="30">
        <f t="shared" si="23"/>
        <v>67298</v>
      </c>
      <c r="D168" t="e">
        <f t="shared" si="24"/>
        <v>#N/A</v>
      </c>
      <c r="E168" t="e">
        <f t="shared" si="22"/>
        <v>#N/A</v>
      </c>
    </row>
    <row r="169" spans="3:5" x14ac:dyDescent="0.25">
      <c r="C169" s="30">
        <f t="shared" si="23"/>
        <v>67481</v>
      </c>
      <c r="D169" t="e">
        <f t="shared" si="24"/>
        <v>#N/A</v>
      </c>
      <c r="E169" t="e">
        <f t="shared" si="22"/>
        <v>#N/A</v>
      </c>
    </row>
    <row r="170" spans="3:5" x14ac:dyDescent="0.25">
      <c r="C170" s="30">
        <f t="shared" si="23"/>
        <v>67663</v>
      </c>
      <c r="D170" t="e">
        <f t="shared" si="24"/>
        <v>#N/A</v>
      </c>
      <c r="E170" t="e">
        <f t="shared" si="22"/>
        <v>#N/A</v>
      </c>
    </row>
    <row r="171" spans="3:5" x14ac:dyDescent="0.25">
      <c r="C171" s="30">
        <f t="shared" si="23"/>
        <v>67846</v>
      </c>
      <c r="D171" t="e">
        <f t="shared" si="24"/>
        <v>#N/A</v>
      </c>
      <c r="E171" t="e">
        <f t="shared" si="22"/>
        <v>#N/A</v>
      </c>
    </row>
    <row r="172" spans="3:5" x14ac:dyDescent="0.25">
      <c r="C172" s="30">
        <f t="shared" si="23"/>
        <v>68028</v>
      </c>
      <c r="D172" t="e">
        <f t="shared" si="24"/>
        <v>#N/A</v>
      </c>
      <c r="E172" t="e">
        <f t="shared" si="22"/>
        <v>#N/A</v>
      </c>
    </row>
    <row r="173" spans="3:5" x14ac:dyDescent="0.25">
      <c r="C173" s="30">
        <f t="shared" si="23"/>
        <v>68211</v>
      </c>
      <c r="D173" t="e">
        <f t="shared" si="24"/>
        <v>#N/A</v>
      </c>
      <c r="E173" t="e">
        <f t="shared" si="22"/>
        <v>#N/A</v>
      </c>
    </row>
    <row r="174" spans="3:5" x14ac:dyDescent="0.25">
      <c r="C174" s="30">
        <f t="shared" si="23"/>
        <v>68393</v>
      </c>
      <c r="D174" t="e">
        <f t="shared" si="24"/>
        <v>#N/A</v>
      </c>
      <c r="E174" t="e">
        <f t="shared" si="22"/>
        <v>#N/A</v>
      </c>
    </row>
    <row r="175" spans="3:5" x14ac:dyDescent="0.25">
      <c r="C175" s="30">
        <f t="shared" si="23"/>
        <v>68576</v>
      </c>
      <c r="D175" t="e">
        <f t="shared" si="24"/>
        <v>#N/A</v>
      </c>
      <c r="E175" t="e">
        <f t="shared" si="22"/>
        <v>#N/A</v>
      </c>
    </row>
    <row r="176" spans="3:5" x14ac:dyDescent="0.25">
      <c r="C176" s="30">
        <f t="shared" si="23"/>
        <v>68759</v>
      </c>
      <c r="D176" t="e">
        <f t="shared" si="24"/>
        <v>#N/A</v>
      </c>
      <c r="E176" t="e">
        <f t="shared" si="22"/>
        <v>#N/A</v>
      </c>
    </row>
    <row r="177" spans="3:5" x14ac:dyDescent="0.25">
      <c r="C177" s="30">
        <f t="shared" si="23"/>
        <v>68942</v>
      </c>
      <c r="D177" t="e">
        <f t="shared" si="24"/>
        <v>#N/A</v>
      </c>
      <c r="E177" t="e">
        <f t="shared" si="22"/>
        <v>#N/A</v>
      </c>
    </row>
    <row r="178" spans="3:5" x14ac:dyDescent="0.25">
      <c r="C178" s="30">
        <f t="shared" si="23"/>
        <v>69124</v>
      </c>
      <c r="D178" t="e">
        <f t="shared" si="24"/>
        <v>#N/A</v>
      </c>
      <c r="E178" t="e">
        <f t="shared" si="22"/>
        <v>#N/A</v>
      </c>
    </row>
    <row r="179" spans="3:5" x14ac:dyDescent="0.25">
      <c r="C179" s="30">
        <f t="shared" si="23"/>
        <v>69307</v>
      </c>
      <c r="D179" t="e">
        <f t="shared" si="24"/>
        <v>#N/A</v>
      </c>
      <c r="E179" t="e">
        <f t="shared" si="22"/>
        <v>#N/A</v>
      </c>
    </row>
    <row r="180" spans="3:5" x14ac:dyDescent="0.25">
      <c r="C180" s="30">
        <f t="shared" si="23"/>
        <v>69489</v>
      </c>
      <c r="D180" t="e">
        <f t="shared" si="24"/>
        <v>#N/A</v>
      </c>
      <c r="E180" t="e">
        <f t="shared" si="22"/>
        <v>#N/A</v>
      </c>
    </row>
    <row r="181" spans="3:5" x14ac:dyDescent="0.25">
      <c r="C181" s="30">
        <f t="shared" si="23"/>
        <v>69672</v>
      </c>
      <c r="D181" t="e">
        <f t="shared" si="24"/>
        <v>#N/A</v>
      </c>
      <c r="E181" t="e">
        <f t="shared" si="22"/>
        <v>#N/A</v>
      </c>
    </row>
    <row r="182" spans="3:5" x14ac:dyDescent="0.25">
      <c r="C182" s="30">
        <f t="shared" si="23"/>
        <v>69854</v>
      </c>
      <c r="D182" t="e">
        <f t="shared" si="24"/>
        <v>#N/A</v>
      </c>
      <c r="E182" t="e">
        <f t="shared" si="22"/>
        <v>#N/A</v>
      </c>
    </row>
    <row r="183" spans="3:5" x14ac:dyDescent="0.25">
      <c r="C183" s="30">
        <f t="shared" si="23"/>
        <v>70037</v>
      </c>
      <c r="D183" t="e">
        <f t="shared" si="24"/>
        <v>#N/A</v>
      </c>
      <c r="E183" t="e">
        <f t="shared" si="22"/>
        <v>#N/A</v>
      </c>
    </row>
    <row r="184" spans="3:5" x14ac:dyDescent="0.25">
      <c r="C184" s="30">
        <f t="shared" si="23"/>
        <v>70220</v>
      </c>
      <c r="D184" t="e">
        <f t="shared" si="24"/>
        <v>#N/A</v>
      </c>
      <c r="E184" t="e">
        <f t="shared" si="22"/>
        <v>#N/A</v>
      </c>
    </row>
    <row r="185" spans="3:5" x14ac:dyDescent="0.25">
      <c r="C185" s="30">
        <f t="shared" si="23"/>
        <v>70403</v>
      </c>
      <c r="D185" t="e">
        <f t="shared" si="24"/>
        <v>#N/A</v>
      </c>
      <c r="E185" t="e">
        <f t="shared" si="22"/>
        <v>#N/A</v>
      </c>
    </row>
    <row r="186" spans="3:5" x14ac:dyDescent="0.25">
      <c r="C186" s="30">
        <f t="shared" si="23"/>
        <v>70585</v>
      </c>
      <c r="D186" t="e">
        <f t="shared" si="24"/>
        <v>#N/A</v>
      </c>
      <c r="E186" t="e">
        <f t="shared" si="22"/>
        <v>#N/A</v>
      </c>
    </row>
    <row r="187" spans="3:5" x14ac:dyDescent="0.25">
      <c r="C187" s="30">
        <f t="shared" si="23"/>
        <v>70768</v>
      </c>
      <c r="D187" t="e">
        <f t="shared" si="24"/>
        <v>#N/A</v>
      </c>
      <c r="E187" t="e">
        <f t="shared" si="22"/>
        <v>#N/A</v>
      </c>
    </row>
    <row r="188" spans="3:5" x14ac:dyDescent="0.25">
      <c r="C188" s="30">
        <f t="shared" si="23"/>
        <v>70950</v>
      </c>
      <c r="D188" t="e">
        <f t="shared" si="24"/>
        <v>#N/A</v>
      </c>
      <c r="E188" t="e">
        <f t="shared" si="22"/>
        <v>#N/A</v>
      </c>
    </row>
    <row r="189" spans="3:5" x14ac:dyDescent="0.25">
      <c r="C189" s="30"/>
    </row>
    <row r="190" spans="3:5" x14ac:dyDescent="0.25">
      <c r="C190" s="30"/>
    </row>
    <row r="191" spans="3:5" x14ac:dyDescent="0.25">
      <c r="C191" s="30"/>
    </row>
    <row r="192" spans="3:5" x14ac:dyDescent="0.25">
      <c r="C192" s="30"/>
    </row>
    <row r="193" spans="3:3" x14ac:dyDescent="0.25">
      <c r="C193" s="30"/>
    </row>
    <row r="194" spans="3:3" x14ac:dyDescent="0.25">
      <c r="C194" s="30"/>
    </row>
    <row r="195" spans="3:3" x14ac:dyDescent="0.25">
      <c r="C195" s="30"/>
    </row>
    <row r="196" spans="3:3" x14ac:dyDescent="0.25">
      <c r="C196" s="30"/>
    </row>
    <row r="197" spans="3:3" x14ac:dyDescent="0.25">
      <c r="C197" s="30"/>
    </row>
    <row r="198" spans="3:3" x14ac:dyDescent="0.25">
      <c r="C198" s="30"/>
    </row>
    <row r="199" spans="3:3" x14ac:dyDescent="0.25">
      <c r="C199" s="30"/>
    </row>
    <row r="200" spans="3:3" x14ac:dyDescent="0.25">
      <c r="C200" s="30"/>
    </row>
    <row r="201" spans="3:3" x14ac:dyDescent="0.25">
      <c r="C201" s="30"/>
    </row>
    <row r="202" spans="3:3" x14ac:dyDescent="0.25">
      <c r="C202" s="30"/>
    </row>
    <row r="203" spans="3:3" x14ac:dyDescent="0.25">
      <c r="C203" s="30"/>
    </row>
    <row r="204" spans="3:3" x14ac:dyDescent="0.25">
      <c r="C204" s="30"/>
    </row>
    <row r="205" spans="3:3" x14ac:dyDescent="0.25">
      <c r="C205" s="30"/>
    </row>
    <row r="206" spans="3:3" x14ac:dyDescent="0.25">
      <c r="C206" s="30"/>
    </row>
    <row r="207" spans="3:3" x14ac:dyDescent="0.25">
      <c r="C207" s="30"/>
    </row>
    <row r="208" spans="3:3" x14ac:dyDescent="0.25">
      <c r="C208" s="30"/>
    </row>
    <row r="209" spans="3:3" x14ac:dyDescent="0.25">
      <c r="C209" s="30"/>
    </row>
    <row r="210" spans="3:3" x14ac:dyDescent="0.25">
      <c r="C210" s="30"/>
    </row>
    <row r="211" spans="3:3" x14ac:dyDescent="0.25">
      <c r="C211" s="30"/>
    </row>
    <row r="212" spans="3:3" x14ac:dyDescent="0.25">
      <c r="C212" s="30"/>
    </row>
    <row r="213" spans="3:3" x14ac:dyDescent="0.25">
      <c r="C213" s="30"/>
    </row>
    <row r="214" spans="3:3" x14ac:dyDescent="0.25">
      <c r="C214" s="30"/>
    </row>
    <row r="215" spans="3:3" x14ac:dyDescent="0.25">
      <c r="C215" s="30"/>
    </row>
    <row r="216" spans="3:3" x14ac:dyDescent="0.25">
      <c r="C216" s="30"/>
    </row>
    <row r="217" spans="3:3" x14ac:dyDescent="0.25">
      <c r="C217" s="30"/>
    </row>
    <row r="218" spans="3:3" x14ac:dyDescent="0.25">
      <c r="C218" s="30"/>
    </row>
    <row r="219" spans="3:3" x14ac:dyDescent="0.25">
      <c r="C219" s="30"/>
    </row>
    <row r="220" spans="3:3" x14ac:dyDescent="0.25">
      <c r="C220" s="30"/>
    </row>
    <row r="221" spans="3:3" x14ac:dyDescent="0.25">
      <c r="C221" s="30"/>
    </row>
    <row r="222" spans="3:3" x14ac:dyDescent="0.25">
      <c r="C222" s="30"/>
    </row>
    <row r="223" spans="3:3" x14ac:dyDescent="0.25">
      <c r="C223" s="30"/>
    </row>
    <row r="224" spans="3:3" x14ac:dyDescent="0.25">
      <c r="C224" s="30"/>
    </row>
    <row r="225" spans="3:3" x14ac:dyDescent="0.25">
      <c r="C225" s="30"/>
    </row>
    <row r="226" spans="3:3" x14ac:dyDescent="0.25">
      <c r="C226" s="30"/>
    </row>
    <row r="227" spans="3:3" x14ac:dyDescent="0.25">
      <c r="C227" s="30"/>
    </row>
    <row r="228" spans="3:3" x14ac:dyDescent="0.25">
      <c r="C228" s="30"/>
    </row>
    <row r="229" spans="3:3" x14ac:dyDescent="0.25">
      <c r="C229" s="30"/>
    </row>
    <row r="230" spans="3:3" x14ac:dyDescent="0.25">
      <c r="C230" s="30"/>
    </row>
    <row r="231" spans="3:3" x14ac:dyDescent="0.25">
      <c r="C231" s="30"/>
    </row>
    <row r="232" spans="3:3" x14ac:dyDescent="0.25">
      <c r="C232" s="30"/>
    </row>
    <row r="233" spans="3:3" x14ac:dyDescent="0.25">
      <c r="C233" s="30"/>
    </row>
    <row r="234" spans="3:3" x14ac:dyDescent="0.25">
      <c r="C234" s="30"/>
    </row>
    <row r="235" spans="3:3" x14ac:dyDescent="0.25">
      <c r="C235" s="30"/>
    </row>
    <row r="236" spans="3:3" x14ac:dyDescent="0.25">
      <c r="C236" s="30"/>
    </row>
    <row r="237" spans="3:3" x14ac:dyDescent="0.25">
      <c r="C237" s="30"/>
    </row>
    <row r="238" spans="3:3" x14ac:dyDescent="0.25">
      <c r="C238" s="30"/>
    </row>
    <row r="239" spans="3:3" x14ac:dyDescent="0.25">
      <c r="C239" s="30"/>
    </row>
    <row r="240" spans="3:3" x14ac:dyDescent="0.25">
      <c r="C240" s="30"/>
    </row>
    <row r="241" spans="3:3" x14ac:dyDescent="0.25">
      <c r="C241" s="30"/>
    </row>
    <row r="242" spans="3:3" x14ac:dyDescent="0.25">
      <c r="C242" s="30"/>
    </row>
    <row r="243" spans="3:3" x14ac:dyDescent="0.25">
      <c r="C243" s="30"/>
    </row>
    <row r="244" spans="3:3" x14ac:dyDescent="0.25">
      <c r="C244" s="30"/>
    </row>
    <row r="245" spans="3:3" x14ac:dyDescent="0.25">
      <c r="C245" s="30"/>
    </row>
    <row r="246" spans="3:3" x14ac:dyDescent="0.25">
      <c r="C246" s="30"/>
    </row>
    <row r="247" spans="3:3" x14ac:dyDescent="0.25">
      <c r="C247" s="30"/>
    </row>
    <row r="248" spans="3:3" x14ac:dyDescent="0.25">
      <c r="C248" s="30"/>
    </row>
    <row r="249" spans="3:3" x14ac:dyDescent="0.25">
      <c r="C249"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1EDFB-AD69-4857-8243-B128AB0EC51A}">
  <sheetPr>
    <tabColor rgb="FFFF0000"/>
  </sheetPr>
  <dimension ref="A1:O156"/>
  <sheetViews>
    <sheetView topLeftCell="A67" zoomScaleNormal="100" workbookViewId="0">
      <selection activeCell="C24" sqref="C24"/>
    </sheetView>
  </sheetViews>
  <sheetFormatPr baseColWidth="10" defaultColWidth="11.42578125" defaultRowHeight="12.75" x14ac:dyDescent="0.2"/>
  <cols>
    <col min="1" max="1" width="12.5703125" style="31" bestFit="1" customWidth="1"/>
    <col min="2" max="2" width="16.140625" style="31" customWidth="1"/>
    <col min="3" max="3" width="11.42578125" style="31"/>
    <col min="4" max="4" width="14.5703125" style="31" hidden="1" customWidth="1"/>
    <col min="5" max="5" width="14.5703125" style="31" customWidth="1"/>
    <col min="6" max="9" width="14.42578125" style="31" bestFit="1" customWidth="1"/>
    <col min="10" max="13" width="14.85546875" style="31" bestFit="1" customWidth="1"/>
    <col min="14" max="16384" width="11.42578125" style="31"/>
  </cols>
  <sheetData>
    <row r="1" spans="1:15" ht="15" customHeight="1" x14ac:dyDescent="0.25">
      <c r="A1" s="31" t="s">
        <v>2</v>
      </c>
      <c r="E1" s="32" t="s">
        <v>46</v>
      </c>
    </row>
    <row r="2" spans="1:15" ht="15" customHeight="1" x14ac:dyDescent="0.2">
      <c r="A2" s="31" t="s">
        <v>47</v>
      </c>
    </row>
    <row r="3" spans="1:15" ht="15" customHeight="1" x14ac:dyDescent="0.25">
      <c r="E3" s="33" t="s">
        <v>48</v>
      </c>
    </row>
    <row r="4" spans="1:15" ht="15" customHeight="1" thickBot="1" x14ac:dyDescent="0.25">
      <c r="A4" s="31">
        <v>35</v>
      </c>
    </row>
    <row r="5" spans="1:15" ht="15" customHeight="1" x14ac:dyDescent="0.2">
      <c r="A5" s="31">
        <v>37.5</v>
      </c>
      <c r="D5" s="217" t="s">
        <v>23</v>
      </c>
      <c r="E5" s="85"/>
      <c r="F5" s="34">
        <v>42095</v>
      </c>
      <c r="G5" s="34">
        <v>42461</v>
      </c>
      <c r="H5" s="34">
        <v>42826</v>
      </c>
      <c r="I5" s="34">
        <v>43191</v>
      </c>
      <c r="J5" s="35">
        <v>43556</v>
      </c>
      <c r="K5" s="34">
        <v>43922</v>
      </c>
      <c r="L5" s="34">
        <v>44287</v>
      </c>
      <c r="M5" s="36">
        <v>44652</v>
      </c>
      <c r="N5" s="36">
        <v>45017</v>
      </c>
      <c r="O5" s="36">
        <v>45383</v>
      </c>
    </row>
    <row r="6" spans="1:15" ht="15.75" thickBot="1" x14ac:dyDescent="0.25">
      <c r="A6" s="31">
        <v>40</v>
      </c>
      <c r="D6" s="218"/>
      <c r="E6" s="86" t="s">
        <v>23</v>
      </c>
      <c r="F6" s="37" t="s">
        <v>49</v>
      </c>
      <c r="G6" s="37" t="s">
        <v>49</v>
      </c>
      <c r="H6" s="37" t="s">
        <v>49</v>
      </c>
      <c r="I6" s="37" t="s">
        <v>50</v>
      </c>
      <c r="J6" s="38" t="s">
        <v>50</v>
      </c>
      <c r="K6" s="37" t="s">
        <v>50</v>
      </c>
      <c r="L6" s="37" t="s">
        <v>50</v>
      </c>
      <c r="M6" s="39" t="s">
        <v>50</v>
      </c>
      <c r="N6" s="39" t="s">
        <v>50</v>
      </c>
      <c r="O6" s="39" t="s">
        <v>50</v>
      </c>
    </row>
    <row r="7" spans="1:15" ht="15" x14ac:dyDescent="0.2">
      <c r="D7" s="219"/>
      <c r="E7" s="86"/>
      <c r="F7" s="40">
        <v>42460</v>
      </c>
      <c r="G7" s="40">
        <v>42825</v>
      </c>
      <c r="H7" s="40">
        <v>43190</v>
      </c>
      <c r="I7" s="40">
        <v>43555</v>
      </c>
      <c r="J7" s="41">
        <v>43921</v>
      </c>
      <c r="K7" s="40">
        <v>44286</v>
      </c>
      <c r="L7" s="40">
        <v>44651</v>
      </c>
      <c r="M7" s="42">
        <v>45016</v>
      </c>
      <c r="N7" s="36">
        <v>45382</v>
      </c>
      <c r="O7" s="36">
        <v>45747</v>
      </c>
    </row>
    <row r="8" spans="1:15" ht="15" x14ac:dyDescent="0.2">
      <c r="A8" s="43"/>
      <c r="D8" s="44">
        <v>1</v>
      </c>
      <c r="E8" s="44">
        <v>1</v>
      </c>
      <c r="F8" s="45">
        <v>53843</v>
      </c>
      <c r="G8" s="45">
        <v>54651</v>
      </c>
      <c r="H8" s="45">
        <v>55607</v>
      </c>
      <c r="I8" s="45">
        <v>56719</v>
      </c>
      <c r="J8" s="46">
        <v>56719</v>
      </c>
      <c r="K8" s="47">
        <v>57853</v>
      </c>
      <c r="L8" s="47">
        <v>59010</v>
      </c>
      <c r="M8" s="48">
        <v>60190</v>
      </c>
      <c r="N8" s="48">
        <v>60190</v>
      </c>
      <c r="O8" s="48">
        <v>60190</v>
      </c>
    </row>
    <row r="9" spans="1:15" ht="15" customHeight="1" x14ac:dyDescent="0.2">
      <c r="D9" s="44">
        <v>2</v>
      </c>
      <c r="E9" s="44">
        <v>2</v>
      </c>
      <c r="F9" s="45">
        <v>56110</v>
      </c>
      <c r="G9" s="45">
        <v>56952</v>
      </c>
      <c r="H9" s="45">
        <v>57949</v>
      </c>
      <c r="I9" s="45">
        <v>59108</v>
      </c>
      <c r="J9" s="46">
        <v>59108</v>
      </c>
      <c r="K9" s="47">
        <v>60290</v>
      </c>
      <c r="L9" s="47">
        <v>61496</v>
      </c>
      <c r="M9" s="48">
        <v>62726</v>
      </c>
      <c r="N9" s="48">
        <v>62726</v>
      </c>
      <c r="O9" s="48">
        <v>62726</v>
      </c>
    </row>
    <row r="10" spans="1:15" ht="15" customHeight="1" x14ac:dyDescent="0.2">
      <c r="D10" s="44">
        <v>3</v>
      </c>
      <c r="E10" s="44">
        <v>3</v>
      </c>
      <c r="F10" s="45">
        <v>58471</v>
      </c>
      <c r="G10" s="45">
        <v>59348</v>
      </c>
      <c r="H10" s="45">
        <v>60387</v>
      </c>
      <c r="I10" s="45">
        <v>61595</v>
      </c>
      <c r="J10" s="46">
        <v>61595</v>
      </c>
      <c r="K10" s="47">
        <v>62827</v>
      </c>
      <c r="L10" s="47">
        <v>64084</v>
      </c>
      <c r="M10" s="48">
        <v>65366</v>
      </c>
      <c r="N10" s="48">
        <v>65366</v>
      </c>
      <c r="O10" s="48">
        <v>65366</v>
      </c>
    </row>
    <row r="11" spans="1:15" ht="15" customHeight="1" x14ac:dyDescent="0.2">
      <c r="D11" s="44">
        <v>4</v>
      </c>
      <c r="E11" s="44">
        <v>4</v>
      </c>
      <c r="F11" s="45">
        <v>60933</v>
      </c>
      <c r="G11" s="45">
        <v>61847</v>
      </c>
      <c r="H11" s="45">
        <v>62929</v>
      </c>
      <c r="I11" s="45">
        <v>64188</v>
      </c>
      <c r="J11" s="46">
        <v>64188</v>
      </c>
      <c r="K11" s="47">
        <v>65472</v>
      </c>
      <c r="L11" s="47">
        <v>66781</v>
      </c>
      <c r="M11" s="48">
        <v>68117</v>
      </c>
      <c r="N11" s="48">
        <v>68117</v>
      </c>
      <c r="O11" s="48">
        <v>68117</v>
      </c>
    </row>
    <row r="12" spans="1:15" ht="15" customHeight="1" x14ac:dyDescent="0.2">
      <c r="D12" s="44">
        <v>5</v>
      </c>
      <c r="E12" s="44">
        <v>5</v>
      </c>
      <c r="F12" s="45">
        <v>63500</v>
      </c>
      <c r="G12" s="45">
        <v>64453</v>
      </c>
      <c r="H12" s="45">
        <v>65581</v>
      </c>
      <c r="I12" s="45">
        <v>66893</v>
      </c>
      <c r="J12" s="46">
        <v>66893</v>
      </c>
      <c r="K12" s="47">
        <v>68231</v>
      </c>
      <c r="L12" s="47">
        <v>69596</v>
      </c>
      <c r="M12" s="48">
        <v>70988</v>
      </c>
      <c r="N12" s="48">
        <v>70988</v>
      </c>
      <c r="O12" s="48">
        <v>70988</v>
      </c>
    </row>
    <row r="13" spans="1:15" ht="15" customHeight="1" x14ac:dyDescent="0.2">
      <c r="D13" s="44">
        <v>6</v>
      </c>
      <c r="E13" s="44">
        <v>6</v>
      </c>
      <c r="F13" s="45">
        <v>66174</v>
      </c>
      <c r="G13" s="45">
        <v>67167</v>
      </c>
      <c r="H13" s="45">
        <v>68342</v>
      </c>
      <c r="I13" s="45">
        <v>69709</v>
      </c>
      <c r="J13" s="46">
        <v>69709</v>
      </c>
      <c r="K13" s="47">
        <v>71103</v>
      </c>
      <c r="L13" s="47">
        <v>72525</v>
      </c>
      <c r="M13" s="48">
        <v>73976</v>
      </c>
      <c r="N13" s="48">
        <v>73976</v>
      </c>
      <c r="O13" s="48">
        <v>73976</v>
      </c>
    </row>
    <row r="14" spans="1:15" ht="15" customHeight="1" x14ac:dyDescent="0.2">
      <c r="D14" s="44">
        <v>7</v>
      </c>
      <c r="E14" s="44">
        <v>7</v>
      </c>
      <c r="F14" s="45">
        <v>68959</v>
      </c>
      <c r="G14" s="45">
        <v>69993</v>
      </c>
      <c r="H14" s="45">
        <v>71218</v>
      </c>
      <c r="I14" s="45">
        <v>72642</v>
      </c>
      <c r="J14" s="46">
        <v>72642</v>
      </c>
      <c r="K14" s="47">
        <v>74095</v>
      </c>
      <c r="L14" s="47">
        <v>75577</v>
      </c>
      <c r="M14" s="48">
        <v>77089</v>
      </c>
      <c r="N14" s="48">
        <v>77089</v>
      </c>
      <c r="O14" s="48">
        <v>77089</v>
      </c>
    </row>
    <row r="15" spans="1:15" ht="15" customHeight="1" thickBot="1" x14ac:dyDescent="0.25">
      <c r="D15" s="49">
        <v>8</v>
      </c>
      <c r="E15" s="49">
        <v>8</v>
      </c>
      <c r="F15" s="50">
        <v>71864</v>
      </c>
      <c r="G15" s="50">
        <v>72942</v>
      </c>
      <c r="H15" s="50">
        <v>74218</v>
      </c>
      <c r="I15" s="50">
        <v>75702</v>
      </c>
      <c r="J15" s="51">
        <v>75702</v>
      </c>
      <c r="K15" s="47">
        <v>77216</v>
      </c>
      <c r="L15" s="47">
        <v>78760</v>
      </c>
      <c r="M15" s="48">
        <v>80335</v>
      </c>
      <c r="N15" s="48">
        <v>80335</v>
      </c>
      <c r="O15" s="48">
        <v>80335</v>
      </c>
    </row>
    <row r="16" spans="1:15" ht="15" customHeight="1" x14ac:dyDescent="0.2">
      <c r="D16" s="52">
        <v>9</v>
      </c>
      <c r="E16" s="44">
        <v>9</v>
      </c>
      <c r="F16" s="53">
        <v>74888</v>
      </c>
      <c r="G16" s="53">
        <v>76011</v>
      </c>
      <c r="H16" s="53">
        <v>77341</v>
      </c>
      <c r="I16" s="53">
        <v>78888</v>
      </c>
      <c r="J16" s="54">
        <v>78888</v>
      </c>
      <c r="K16" s="47">
        <v>80466</v>
      </c>
      <c r="L16" s="47">
        <v>82075</v>
      </c>
      <c r="M16" s="48">
        <v>83717</v>
      </c>
      <c r="N16" s="48">
        <v>83717</v>
      </c>
      <c r="O16" s="48">
        <v>83717</v>
      </c>
    </row>
    <row r="17" spans="4:15" ht="15" customHeight="1" x14ac:dyDescent="0.2">
      <c r="D17" s="44">
        <v>10</v>
      </c>
      <c r="E17" s="44">
        <v>10</v>
      </c>
      <c r="F17" s="45">
        <v>78042</v>
      </c>
      <c r="G17" s="45">
        <v>79213</v>
      </c>
      <c r="H17" s="45">
        <v>80599</v>
      </c>
      <c r="I17" s="45">
        <v>82211</v>
      </c>
      <c r="J17" s="46">
        <v>82211</v>
      </c>
      <c r="K17" s="47">
        <v>83855</v>
      </c>
      <c r="L17" s="47">
        <v>85532</v>
      </c>
      <c r="M17" s="48">
        <v>87243</v>
      </c>
      <c r="N17" s="48">
        <v>87243</v>
      </c>
      <c r="O17" s="48">
        <v>87243</v>
      </c>
    </row>
    <row r="18" spans="4:15" ht="15" customHeight="1" x14ac:dyDescent="0.2">
      <c r="D18" s="44">
        <v>11</v>
      </c>
      <c r="E18" s="44">
        <v>11</v>
      </c>
      <c r="F18" s="45">
        <v>81327</v>
      </c>
      <c r="G18" s="45">
        <v>82547</v>
      </c>
      <c r="H18" s="45">
        <v>83992</v>
      </c>
      <c r="I18" s="45">
        <v>85672</v>
      </c>
      <c r="J18" s="46">
        <v>85672</v>
      </c>
      <c r="K18" s="47">
        <v>87385</v>
      </c>
      <c r="L18" s="47">
        <v>89133</v>
      </c>
      <c r="M18" s="48">
        <v>90916</v>
      </c>
      <c r="N18" s="48">
        <v>90916</v>
      </c>
      <c r="O18" s="48">
        <v>90916</v>
      </c>
    </row>
    <row r="19" spans="4:15" ht="15" customHeight="1" x14ac:dyDescent="0.2">
      <c r="D19" s="44">
        <v>12</v>
      </c>
      <c r="E19" s="44">
        <v>12</v>
      </c>
      <c r="F19" s="45">
        <v>84752</v>
      </c>
      <c r="G19" s="45">
        <v>86023</v>
      </c>
      <c r="H19" s="45">
        <v>87528</v>
      </c>
      <c r="I19" s="45">
        <v>89279</v>
      </c>
      <c r="J19" s="46">
        <v>89279</v>
      </c>
      <c r="K19" s="47">
        <v>91065</v>
      </c>
      <c r="L19" s="47">
        <v>92886</v>
      </c>
      <c r="M19" s="48">
        <v>94744</v>
      </c>
      <c r="N19" s="48">
        <v>94744</v>
      </c>
      <c r="O19" s="48">
        <v>94744</v>
      </c>
    </row>
    <row r="20" spans="4:15" ht="15" customHeight="1" x14ac:dyDescent="0.2">
      <c r="D20" s="44">
        <v>13</v>
      </c>
      <c r="E20" s="44">
        <v>13</v>
      </c>
      <c r="F20" s="45">
        <v>88320</v>
      </c>
      <c r="G20" s="45">
        <v>89645</v>
      </c>
      <c r="H20" s="45">
        <v>91214</v>
      </c>
      <c r="I20" s="45">
        <v>93038</v>
      </c>
      <c r="J20" s="46">
        <v>93038</v>
      </c>
      <c r="K20" s="47">
        <v>94899</v>
      </c>
      <c r="L20" s="47">
        <v>96797</v>
      </c>
      <c r="M20" s="48">
        <v>98733</v>
      </c>
      <c r="N20" s="48">
        <v>98733</v>
      </c>
      <c r="O20" s="48">
        <v>98733</v>
      </c>
    </row>
    <row r="21" spans="4:15" ht="15" customHeight="1" x14ac:dyDescent="0.2">
      <c r="D21" s="44">
        <v>14</v>
      </c>
      <c r="E21" s="44">
        <v>14</v>
      </c>
      <c r="F21" s="45">
        <v>92039</v>
      </c>
      <c r="G21" s="45">
        <v>93420</v>
      </c>
      <c r="H21" s="45">
        <v>95055</v>
      </c>
      <c r="I21" s="45">
        <v>96956</v>
      </c>
      <c r="J21" s="46">
        <v>96956</v>
      </c>
      <c r="K21" s="47">
        <v>98895</v>
      </c>
      <c r="L21" s="47">
        <v>100873</v>
      </c>
      <c r="M21" s="48">
        <v>102890</v>
      </c>
      <c r="N21" s="48">
        <v>102890</v>
      </c>
      <c r="O21" s="48">
        <v>102890</v>
      </c>
    </row>
    <row r="22" spans="4:15" ht="15" customHeight="1" x14ac:dyDescent="0.2">
      <c r="D22" s="44">
        <v>15</v>
      </c>
      <c r="E22" s="44">
        <v>15</v>
      </c>
      <c r="F22" s="45">
        <v>95914</v>
      </c>
      <c r="G22" s="45">
        <v>97353</v>
      </c>
      <c r="H22" s="45">
        <v>99057</v>
      </c>
      <c r="I22" s="45">
        <v>101038</v>
      </c>
      <c r="J22" s="46">
        <v>101038</v>
      </c>
      <c r="K22" s="47">
        <v>103059</v>
      </c>
      <c r="L22" s="47">
        <v>105120</v>
      </c>
      <c r="M22" s="48">
        <v>107222</v>
      </c>
      <c r="N22" s="48">
        <v>107222</v>
      </c>
      <c r="O22" s="48">
        <v>107222</v>
      </c>
    </row>
    <row r="23" spans="4:15" ht="15" customHeight="1" x14ac:dyDescent="0.2">
      <c r="D23" s="44">
        <v>16</v>
      </c>
      <c r="E23" s="44">
        <v>16</v>
      </c>
      <c r="F23" s="45">
        <v>99952</v>
      </c>
      <c r="G23" s="45">
        <v>101451</v>
      </c>
      <c r="H23" s="45">
        <v>103226</v>
      </c>
      <c r="I23" s="45">
        <v>105291</v>
      </c>
      <c r="J23" s="46">
        <v>105291</v>
      </c>
      <c r="K23" s="47">
        <v>107397</v>
      </c>
      <c r="L23" s="47">
        <v>109545</v>
      </c>
      <c r="M23" s="48">
        <v>111736</v>
      </c>
      <c r="N23" s="48">
        <v>111736</v>
      </c>
      <c r="O23" s="48">
        <v>111736</v>
      </c>
    </row>
    <row r="24" spans="4:15" ht="15" customHeight="1" x14ac:dyDescent="0.2">
      <c r="D24" s="44">
        <v>17</v>
      </c>
      <c r="E24" s="44">
        <v>17</v>
      </c>
      <c r="F24" s="45">
        <v>104159</v>
      </c>
      <c r="G24" s="45">
        <v>105721</v>
      </c>
      <c r="H24" s="45">
        <v>107571</v>
      </c>
      <c r="I24" s="45">
        <v>109722</v>
      </c>
      <c r="J24" s="46">
        <v>109722</v>
      </c>
      <c r="K24" s="47">
        <v>111916</v>
      </c>
      <c r="L24" s="47">
        <v>114154</v>
      </c>
      <c r="M24" s="48">
        <v>116437</v>
      </c>
      <c r="N24" s="48">
        <v>116437</v>
      </c>
      <c r="O24" s="48">
        <v>116437</v>
      </c>
    </row>
    <row r="25" spans="4:15" ht="15" customHeight="1" x14ac:dyDescent="0.2">
      <c r="D25" s="44">
        <v>18</v>
      </c>
      <c r="E25" s="44">
        <v>18</v>
      </c>
      <c r="F25" s="45">
        <v>108546</v>
      </c>
      <c r="G25" s="45">
        <v>110174</v>
      </c>
      <c r="H25" s="45">
        <v>112102</v>
      </c>
      <c r="I25" s="45">
        <v>114344</v>
      </c>
      <c r="J25" s="46">
        <v>114344</v>
      </c>
      <c r="K25" s="47">
        <v>116631</v>
      </c>
      <c r="L25" s="47">
        <v>118964</v>
      </c>
      <c r="M25" s="48">
        <v>121343</v>
      </c>
      <c r="N25" s="48">
        <v>121343</v>
      </c>
      <c r="O25" s="48">
        <v>121343</v>
      </c>
    </row>
    <row r="26" spans="4:15" ht="15" customHeight="1" x14ac:dyDescent="0.2">
      <c r="D26" s="44">
        <v>19</v>
      </c>
      <c r="E26" s="44">
        <v>18</v>
      </c>
      <c r="F26" s="45">
        <v>108546</v>
      </c>
      <c r="G26" s="45">
        <v>110174</v>
      </c>
      <c r="H26" s="45">
        <v>112102</v>
      </c>
      <c r="I26" s="45">
        <v>114344</v>
      </c>
      <c r="J26" s="46">
        <v>114344</v>
      </c>
      <c r="K26" s="47">
        <v>116631</v>
      </c>
      <c r="L26" s="47">
        <v>118964</v>
      </c>
      <c r="M26" s="48">
        <v>121343</v>
      </c>
      <c r="N26" s="48">
        <v>121343</v>
      </c>
      <c r="O26" s="48">
        <v>121343</v>
      </c>
    </row>
    <row r="27" spans="4:15" ht="15" customHeight="1" x14ac:dyDescent="0.2">
      <c r="D27" s="55">
        <v>20</v>
      </c>
      <c r="E27" s="44" t="s">
        <v>51</v>
      </c>
      <c r="F27" s="56">
        <v>124828</v>
      </c>
      <c r="G27" s="56">
        <v>126700</v>
      </c>
      <c r="H27" s="56">
        <v>128917</v>
      </c>
      <c r="I27" s="56">
        <v>131496</v>
      </c>
      <c r="J27" s="46">
        <v>131496</v>
      </c>
      <c r="K27" s="47">
        <v>134126</v>
      </c>
      <c r="L27" s="47">
        <v>136809</v>
      </c>
      <c r="M27" s="48">
        <v>139544</v>
      </c>
      <c r="N27" s="48">
        <v>139544</v>
      </c>
      <c r="O27" s="48">
        <v>139544</v>
      </c>
    </row>
    <row r="28" spans="4:15" ht="15" customHeight="1" x14ac:dyDescent="0.2">
      <c r="D28" s="57"/>
      <c r="E28" s="57"/>
      <c r="J28" s="58"/>
      <c r="M28" s="59"/>
      <c r="N28" s="59"/>
      <c r="O28" s="59"/>
    </row>
    <row r="29" spans="4:15" ht="15" customHeight="1" x14ac:dyDescent="0.2">
      <c r="E29" s="57" t="s">
        <v>52</v>
      </c>
      <c r="F29" s="60">
        <v>0</v>
      </c>
      <c r="G29" s="60">
        <v>1.5006593243318538E-2</v>
      </c>
      <c r="H29" s="60">
        <v>1.7492818063713382E-2</v>
      </c>
      <c r="I29" s="60">
        <v>1.9997482331361161E-2</v>
      </c>
      <c r="J29" s="61">
        <v>0</v>
      </c>
      <c r="K29" s="60">
        <v>0.02</v>
      </c>
      <c r="L29" s="60">
        <v>0.02</v>
      </c>
      <c r="M29" s="62">
        <v>0.02</v>
      </c>
      <c r="N29" s="62"/>
      <c r="O29" s="62"/>
    </row>
    <row r="30" spans="4:15" ht="15" customHeight="1" x14ac:dyDescent="0.2">
      <c r="E30" s="57"/>
      <c r="J30" s="58"/>
      <c r="M30" s="59"/>
      <c r="N30" s="59"/>
      <c r="O30" s="59"/>
    </row>
    <row r="31" spans="4:15" ht="15" customHeight="1" thickBot="1" x14ac:dyDescent="0.25">
      <c r="E31" s="63" t="s">
        <v>53</v>
      </c>
      <c r="F31" s="64"/>
      <c r="G31" s="65">
        <v>1.4999999999999999E-2</v>
      </c>
      <c r="H31" s="65">
        <v>3.2800000000000003E-2</v>
      </c>
      <c r="I31" s="65">
        <v>5.3400000000000003E-2</v>
      </c>
      <c r="J31" s="66">
        <v>5.3400000000000003E-2</v>
      </c>
      <c r="K31" s="65">
        <v>7.4467999999999979E-2</v>
      </c>
      <c r="L31" s="65">
        <v>9.5957360000000103E-2</v>
      </c>
      <c r="M31" s="67">
        <v>0.11787650720000009</v>
      </c>
      <c r="N31" s="67"/>
      <c r="O31" s="67"/>
    </row>
    <row r="32" spans="4:15" ht="15" customHeight="1" x14ac:dyDescent="0.2"/>
    <row r="33" spans="1:15" ht="15" customHeight="1" x14ac:dyDescent="0.2"/>
    <row r="34" spans="1:15" ht="15" customHeight="1" x14ac:dyDescent="0.25">
      <c r="E34" s="33" t="s">
        <v>54</v>
      </c>
    </row>
    <row r="35" spans="1:15" ht="15" customHeight="1" thickBot="1" x14ac:dyDescent="0.25"/>
    <row r="36" spans="1:15" ht="15" customHeight="1" x14ac:dyDescent="0.2">
      <c r="D36" s="217" t="s">
        <v>23</v>
      </c>
      <c r="E36" s="85"/>
      <c r="F36" s="34">
        <v>42095</v>
      </c>
      <c r="G36" s="34">
        <v>42461</v>
      </c>
      <c r="H36" s="34">
        <v>42826</v>
      </c>
      <c r="I36" s="34">
        <v>43191</v>
      </c>
      <c r="J36" s="35">
        <v>43556</v>
      </c>
      <c r="K36" s="34">
        <v>43922</v>
      </c>
      <c r="L36" s="34">
        <v>44287</v>
      </c>
      <c r="M36" s="36">
        <v>44652</v>
      </c>
      <c r="N36" s="36">
        <v>45017</v>
      </c>
      <c r="O36" s="36">
        <v>45383</v>
      </c>
    </row>
    <row r="37" spans="1:15" ht="15" customHeight="1" thickBot="1" x14ac:dyDescent="0.25">
      <c r="D37" s="218"/>
      <c r="E37" s="86" t="s">
        <v>23</v>
      </c>
      <c r="F37" s="37" t="s">
        <v>49</v>
      </c>
      <c r="G37" s="37" t="s">
        <v>49</v>
      </c>
      <c r="H37" s="37" t="s">
        <v>49</v>
      </c>
      <c r="I37" s="37" t="s">
        <v>50</v>
      </c>
      <c r="J37" s="38" t="s">
        <v>50</v>
      </c>
      <c r="K37" s="37" t="s">
        <v>50</v>
      </c>
      <c r="L37" s="37" t="s">
        <v>50</v>
      </c>
      <c r="M37" s="39" t="s">
        <v>50</v>
      </c>
      <c r="N37" s="39" t="s">
        <v>50</v>
      </c>
      <c r="O37" s="39" t="s">
        <v>50</v>
      </c>
    </row>
    <row r="38" spans="1:15" ht="15" customHeight="1" x14ac:dyDescent="0.2">
      <c r="D38" s="219"/>
      <c r="E38" s="86"/>
      <c r="F38" s="40">
        <v>42460</v>
      </c>
      <c r="G38" s="40">
        <v>42825</v>
      </c>
      <c r="H38" s="40">
        <v>43190</v>
      </c>
      <c r="I38" s="40">
        <v>43555</v>
      </c>
      <c r="J38" s="41">
        <v>43921</v>
      </c>
      <c r="K38" s="40">
        <v>44286</v>
      </c>
      <c r="L38" s="40">
        <v>44651</v>
      </c>
      <c r="M38" s="42">
        <v>45016</v>
      </c>
      <c r="N38" s="36">
        <v>45382</v>
      </c>
      <c r="O38" s="36">
        <v>45747</v>
      </c>
    </row>
    <row r="39" spans="1:15" ht="15" customHeight="1" x14ac:dyDescent="0.2">
      <c r="A39" s="43"/>
      <c r="D39" s="44">
        <v>1</v>
      </c>
      <c r="E39" s="44">
        <v>1</v>
      </c>
      <c r="F39" s="45">
        <v>53843</v>
      </c>
      <c r="G39" s="45">
        <v>54651</v>
      </c>
      <c r="H39" s="45">
        <v>55607</v>
      </c>
      <c r="I39" s="45">
        <v>56719</v>
      </c>
      <c r="J39" s="46">
        <v>56719</v>
      </c>
      <c r="K39" s="47">
        <v>56719</v>
      </c>
      <c r="L39" s="47">
        <v>56719</v>
      </c>
      <c r="M39" s="48">
        <v>56719</v>
      </c>
      <c r="N39" s="48">
        <v>56719</v>
      </c>
      <c r="O39" s="48">
        <v>56719</v>
      </c>
    </row>
    <row r="40" spans="1:15" ht="15" customHeight="1" x14ac:dyDescent="0.2">
      <c r="D40" s="44">
        <v>2</v>
      </c>
      <c r="E40" s="44">
        <v>2</v>
      </c>
      <c r="F40" s="45">
        <v>56110</v>
      </c>
      <c r="G40" s="45">
        <v>56952</v>
      </c>
      <c r="H40" s="45">
        <v>57949</v>
      </c>
      <c r="I40" s="45">
        <v>59108</v>
      </c>
      <c r="J40" s="46">
        <v>59108</v>
      </c>
      <c r="K40" s="47">
        <v>59108</v>
      </c>
      <c r="L40" s="47">
        <v>59108</v>
      </c>
      <c r="M40" s="48">
        <v>59108</v>
      </c>
      <c r="N40" s="48">
        <v>59108</v>
      </c>
      <c r="O40" s="48">
        <v>59108</v>
      </c>
    </row>
    <row r="41" spans="1:15" ht="15" customHeight="1" x14ac:dyDescent="0.2">
      <c r="D41" s="44">
        <v>3</v>
      </c>
      <c r="E41" s="44">
        <v>3</v>
      </c>
      <c r="F41" s="45">
        <v>58471</v>
      </c>
      <c r="G41" s="45">
        <v>59348</v>
      </c>
      <c r="H41" s="45">
        <v>60387</v>
      </c>
      <c r="I41" s="45">
        <v>61595</v>
      </c>
      <c r="J41" s="46">
        <v>61595</v>
      </c>
      <c r="K41" s="47">
        <v>61595</v>
      </c>
      <c r="L41" s="47">
        <v>61595</v>
      </c>
      <c r="M41" s="48">
        <v>61595</v>
      </c>
      <c r="N41" s="48">
        <v>61595</v>
      </c>
      <c r="O41" s="48">
        <v>61595</v>
      </c>
    </row>
    <row r="42" spans="1:15" ht="15" customHeight="1" x14ac:dyDescent="0.2">
      <c r="D42" s="44">
        <v>4</v>
      </c>
      <c r="E42" s="44">
        <v>4</v>
      </c>
      <c r="F42" s="45">
        <v>60933</v>
      </c>
      <c r="G42" s="45">
        <v>61847</v>
      </c>
      <c r="H42" s="45">
        <v>62929</v>
      </c>
      <c r="I42" s="45">
        <v>64188</v>
      </c>
      <c r="J42" s="46">
        <v>64188</v>
      </c>
      <c r="K42" s="47">
        <v>64188</v>
      </c>
      <c r="L42" s="47">
        <v>64188</v>
      </c>
      <c r="M42" s="48">
        <v>64188</v>
      </c>
      <c r="N42" s="48">
        <v>64188</v>
      </c>
      <c r="O42" s="48">
        <v>64188</v>
      </c>
    </row>
    <row r="43" spans="1:15" ht="15" customHeight="1" x14ac:dyDescent="0.2">
      <c r="D43" s="44">
        <v>5</v>
      </c>
      <c r="E43" s="44">
        <v>5</v>
      </c>
      <c r="F43" s="45">
        <v>63500</v>
      </c>
      <c r="G43" s="45">
        <v>64453</v>
      </c>
      <c r="H43" s="45">
        <v>65581</v>
      </c>
      <c r="I43" s="45">
        <v>66893</v>
      </c>
      <c r="J43" s="46">
        <v>66893</v>
      </c>
      <c r="K43" s="47">
        <v>66893</v>
      </c>
      <c r="L43" s="47">
        <v>66893</v>
      </c>
      <c r="M43" s="48">
        <v>66893</v>
      </c>
      <c r="N43" s="48">
        <v>66893</v>
      </c>
      <c r="O43" s="48">
        <v>66893</v>
      </c>
    </row>
    <row r="44" spans="1:15" ht="15" customHeight="1" x14ac:dyDescent="0.2">
      <c r="D44" s="44">
        <v>6</v>
      </c>
      <c r="E44" s="44">
        <v>6</v>
      </c>
      <c r="F44" s="45">
        <v>66174</v>
      </c>
      <c r="G44" s="45">
        <v>67167</v>
      </c>
      <c r="H44" s="45">
        <v>68342</v>
      </c>
      <c r="I44" s="45">
        <v>69709</v>
      </c>
      <c r="J44" s="46">
        <v>69709</v>
      </c>
      <c r="K44" s="47">
        <v>69709</v>
      </c>
      <c r="L44" s="47">
        <v>69709</v>
      </c>
      <c r="M44" s="48">
        <v>69709</v>
      </c>
      <c r="N44" s="48">
        <v>69709</v>
      </c>
      <c r="O44" s="48">
        <v>69709</v>
      </c>
    </row>
    <row r="45" spans="1:15" ht="15" customHeight="1" x14ac:dyDescent="0.2">
      <c r="D45" s="44">
        <v>7</v>
      </c>
      <c r="E45" s="44">
        <v>7</v>
      </c>
      <c r="F45" s="45">
        <v>68959</v>
      </c>
      <c r="G45" s="45">
        <v>69993</v>
      </c>
      <c r="H45" s="45">
        <v>71218</v>
      </c>
      <c r="I45" s="45">
        <v>72642</v>
      </c>
      <c r="J45" s="46">
        <v>72642</v>
      </c>
      <c r="K45" s="47">
        <v>72642</v>
      </c>
      <c r="L45" s="47">
        <v>72642</v>
      </c>
      <c r="M45" s="48">
        <v>72642</v>
      </c>
      <c r="N45" s="48">
        <v>72642</v>
      </c>
      <c r="O45" s="48">
        <v>72642</v>
      </c>
    </row>
    <row r="46" spans="1:15" ht="15" customHeight="1" thickBot="1" x14ac:dyDescent="0.25">
      <c r="D46" s="49">
        <v>8</v>
      </c>
      <c r="E46" s="49">
        <v>8</v>
      </c>
      <c r="F46" s="50">
        <v>71864</v>
      </c>
      <c r="G46" s="50">
        <v>72942</v>
      </c>
      <c r="H46" s="50">
        <v>74218</v>
      </c>
      <c r="I46" s="50">
        <v>75702</v>
      </c>
      <c r="J46" s="51">
        <v>75702</v>
      </c>
      <c r="K46" s="47">
        <v>75702</v>
      </c>
      <c r="L46" s="47">
        <v>75702</v>
      </c>
      <c r="M46" s="48">
        <v>75702</v>
      </c>
      <c r="N46" s="48">
        <v>75702</v>
      </c>
      <c r="O46" s="48">
        <v>75702</v>
      </c>
    </row>
    <row r="47" spans="1:15" ht="15" customHeight="1" x14ac:dyDescent="0.2">
      <c r="D47" s="52">
        <v>9</v>
      </c>
      <c r="E47" s="44">
        <v>9</v>
      </c>
      <c r="F47" s="53">
        <v>74888</v>
      </c>
      <c r="G47" s="53">
        <v>76011</v>
      </c>
      <c r="H47" s="53">
        <v>77341</v>
      </c>
      <c r="I47" s="53">
        <v>78888</v>
      </c>
      <c r="J47" s="54">
        <v>78888</v>
      </c>
      <c r="K47" s="47">
        <v>78888</v>
      </c>
      <c r="L47" s="47">
        <v>78888</v>
      </c>
      <c r="M47" s="48">
        <v>78888</v>
      </c>
      <c r="N47" s="48">
        <v>78888</v>
      </c>
      <c r="O47" s="48">
        <v>78888</v>
      </c>
    </row>
    <row r="48" spans="1:15" ht="15" customHeight="1" x14ac:dyDescent="0.2">
      <c r="D48" s="44">
        <v>10</v>
      </c>
      <c r="E48" s="44">
        <v>10</v>
      </c>
      <c r="F48" s="45">
        <v>78042</v>
      </c>
      <c r="G48" s="45">
        <v>79213</v>
      </c>
      <c r="H48" s="45">
        <v>80599</v>
      </c>
      <c r="I48" s="45">
        <v>82211</v>
      </c>
      <c r="J48" s="46">
        <v>82211</v>
      </c>
      <c r="K48" s="47">
        <v>82211</v>
      </c>
      <c r="L48" s="47">
        <v>82211</v>
      </c>
      <c r="M48" s="48">
        <v>82211</v>
      </c>
      <c r="N48" s="48">
        <v>82211</v>
      </c>
      <c r="O48" s="48">
        <v>82211</v>
      </c>
    </row>
    <row r="49" spans="4:15" ht="15" customHeight="1" x14ac:dyDescent="0.2">
      <c r="D49" s="44">
        <v>11</v>
      </c>
      <c r="E49" s="44">
        <v>11</v>
      </c>
      <c r="F49" s="45">
        <v>81327</v>
      </c>
      <c r="G49" s="45">
        <v>82547</v>
      </c>
      <c r="H49" s="45">
        <v>83992</v>
      </c>
      <c r="I49" s="45">
        <v>85672</v>
      </c>
      <c r="J49" s="46">
        <v>85672</v>
      </c>
      <c r="K49" s="47">
        <v>85672</v>
      </c>
      <c r="L49" s="47">
        <v>85672</v>
      </c>
      <c r="M49" s="48">
        <v>85672</v>
      </c>
      <c r="N49" s="48">
        <v>85672</v>
      </c>
      <c r="O49" s="48">
        <v>85672</v>
      </c>
    </row>
    <row r="50" spans="4:15" ht="15" customHeight="1" x14ac:dyDescent="0.2">
      <c r="D50" s="44">
        <v>12</v>
      </c>
      <c r="E50" s="44">
        <v>12</v>
      </c>
      <c r="F50" s="45">
        <v>84752</v>
      </c>
      <c r="G50" s="45">
        <v>86023</v>
      </c>
      <c r="H50" s="45">
        <v>87528</v>
      </c>
      <c r="I50" s="45">
        <v>89279</v>
      </c>
      <c r="J50" s="46">
        <v>89279</v>
      </c>
      <c r="K50" s="47">
        <v>89279</v>
      </c>
      <c r="L50" s="47">
        <v>89279</v>
      </c>
      <c r="M50" s="48">
        <v>89279</v>
      </c>
      <c r="N50" s="48">
        <v>89279</v>
      </c>
      <c r="O50" s="48">
        <v>89279</v>
      </c>
    </row>
    <row r="51" spans="4:15" ht="15" customHeight="1" x14ac:dyDescent="0.2">
      <c r="D51" s="44">
        <v>13</v>
      </c>
      <c r="E51" s="44">
        <v>13</v>
      </c>
      <c r="F51" s="45">
        <v>88320</v>
      </c>
      <c r="G51" s="45">
        <v>89645</v>
      </c>
      <c r="H51" s="45">
        <v>91214</v>
      </c>
      <c r="I51" s="45">
        <v>93038</v>
      </c>
      <c r="J51" s="46">
        <v>93038</v>
      </c>
      <c r="K51" s="47">
        <v>93038</v>
      </c>
      <c r="L51" s="47">
        <v>93038</v>
      </c>
      <c r="M51" s="48">
        <v>93038</v>
      </c>
      <c r="N51" s="48">
        <v>93038</v>
      </c>
      <c r="O51" s="48">
        <v>93038</v>
      </c>
    </row>
    <row r="52" spans="4:15" ht="15" customHeight="1" x14ac:dyDescent="0.2">
      <c r="D52" s="44">
        <v>14</v>
      </c>
      <c r="E52" s="44">
        <v>14</v>
      </c>
      <c r="F52" s="45">
        <v>92039</v>
      </c>
      <c r="G52" s="45">
        <v>93420</v>
      </c>
      <c r="H52" s="45">
        <v>95055</v>
      </c>
      <c r="I52" s="45">
        <v>96956</v>
      </c>
      <c r="J52" s="46">
        <v>96956</v>
      </c>
      <c r="K52" s="47">
        <v>96956</v>
      </c>
      <c r="L52" s="47">
        <v>96956</v>
      </c>
      <c r="M52" s="48">
        <v>96956</v>
      </c>
      <c r="N52" s="48">
        <v>96956</v>
      </c>
      <c r="O52" s="48">
        <v>96956</v>
      </c>
    </row>
    <row r="53" spans="4:15" ht="15" customHeight="1" x14ac:dyDescent="0.2">
      <c r="D53" s="44">
        <v>15</v>
      </c>
      <c r="E53" s="44">
        <v>15</v>
      </c>
      <c r="F53" s="45">
        <v>95914</v>
      </c>
      <c r="G53" s="45">
        <v>97353</v>
      </c>
      <c r="H53" s="45">
        <v>99057</v>
      </c>
      <c r="I53" s="45">
        <v>101038</v>
      </c>
      <c r="J53" s="46">
        <v>101038</v>
      </c>
      <c r="K53" s="47">
        <v>101038</v>
      </c>
      <c r="L53" s="47">
        <v>101038</v>
      </c>
      <c r="M53" s="48">
        <v>101038</v>
      </c>
      <c r="N53" s="48">
        <v>101038</v>
      </c>
      <c r="O53" s="48">
        <v>101038</v>
      </c>
    </row>
    <row r="54" spans="4:15" ht="15" customHeight="1" x14ac:dyDescent="0.2">
      <c r="D54" s="44">
        <v>16</v>
      </c>
      <c r="E54" s="44">
        <v>16</v>
      </c>
      <c r="F54" s="45">
        <v>99952</v>
      </c>
      <c r="G54" s="45">
        <v>101451</v>
      </c>
      <c r="H54" s="45">
        <v>103226</v>
      </c>
      <c r="I54" s="45">
        <v>105291</v>
      </c>
      <c r="J54" s="46">
        <v>105291</v>
      </c>
      <c r="K54" s="47">
        <v>105291</v>
      </c>
      <c r="L54" s="47">
        <v>105291</v>
      </c>
      <c r="M54" s="48">
        <v>105291</v>
      </c>
      <c r="N54" s="48">
        <v>105291</v>
      </c>
      <c r="O54" s="48">
        <v>105291</v>
      </c>
    </row>
    <row r="55" spans="4:15" ht="15" customHeight="1" x14ac:dyDescent="0.2">
      <c r="D55" s="44">
        <v>17</v>
      </c>
      <c r="E55" s="44">
        <v>17</v>
      </c>
      <c r="F55" s="45">
        <v>104159</v>
      </c>
      <c r="G55" s="45">
        <v>105721</v>
      </c>
      <c r="H55" s="45">
        <v>107571</v>
      </c>
      <c r="I55" s="45">
        <v>109722</v>
      </c>
      <c r="J55" s="46">
        <v>109722</v>
      </c>
      <c r="K55" s="47">
        <v>109722</v>
      </c>
      <c r="L55" s="47">
        <v>109722</v>
      </c>
      <c r="M55" s="48">
        <v>109722</v>
      </c>
      <c r="N55" s="48">
        <v>109722</v>
      </c>
      <c r="O55" s="48">
        <v>109722</v>
      </c>
    </row>
    <row r="56" spans="4:15" ht="15" customHeight="1" x14ac:dyDescent="0.2">
      <c r="D56" s="44">
        <v>18</v>
      </c>
      <c r="E56" s="44">
        <v>18</v>
      </c>
      <c r="F56" s="45">
        <v>108546</v>
      </c>
      <c r="G56" s="45">
        <v>110174</v>
      </c>
      <c r="H56" s="45">
        <v>112102</v>
      </c>
      <c r="I56" s="45">
        <v>114344</v>
      </c>
      <c r="J56" s="46">
        <v>114344</v>
      </c>
      <c r="K56" s="47">
        <v>114344</v>
      </c>
      <c r="L56" s="47">
        <v>114344</v>
      </c>
      <c r="M56" s="48">
        <v>114344</v>
      </c>
      <c r="N56" s="48">
        <v>114344</v>
      </c>
      <c r="O56" s="48">
        <v>114344</v>
      </c>
    </row>
    <row r="57" spans="4:15" ht="15" customHeight="1" x14ac:dyDescent="0.2">
      <c r="D57" s="44">
        <v>19</v>
      </c>
      <c r="E57" s="44">
        <v>18</v>
      </c>
      <c r="F57" s="45">
        <v>108546</v>
      </c>
      <c r="G57" s="45">
        <v>110174</v>
      </c>
      <c r="H57" s="45">
        <v>112102</v>
      </c>
      <c r="I57" s="45">
        <v>114344</v>
      </c>
      <c r="J57" s="46">
        <v>114344</v>
      </c>
      <c r="K57" s="47">
        <v>114344</v>
      </c>
      <c r="L57" s="47">
        <v>114344</v>
      </c>
      <c r="M57" s="48">
        <v>114344</v>
      </c>
      <c r="N57" s="48">
        <v>114344</v>
      </c>
      <c r="O57" s="48">
        <v>114344</v>
      </c>
    </row>
    <row r="58" spans="4:15" ht="15" customHeight="1" x14ac:dyDescent="0.2">
      <c r="D58" s="55">
        <v>20</v>
      </c>
      <c r="E58" s="44" t="s">
        <v>51</v>
      </c>
      <c r="F58" s="56">
        <v>124828</v>
      </c>
      <c r="G58" s="56">
        <v>126700</v>
      </c>
      <c r="H58" s="56">
        <v>128917</v>
      </c>
      <c r="I58" s="56">
        <v>131496</v>
      </c>
      <c r="J58" s="46">
        <v>131496</v>
      </c>
      <c r="K58" s="47">
        <v>131496</v>
      </c>
      <c r="L58" s="47">
        <v>131496</v>
      </c>
      <c r="M58" s="48">
        <v>131496</v>
      </c>
      <c r="N58" s="48">
        <v>131496</v>
      </c>
      <c r="O58" s="48">
        <v>131496</v>
      </c>
    </row>
    <row r="59" spans="4:15" ht="15" customHeight="1" x14ac:dyDescent="0.2">
      <c r="D59" s="57"/>
      <c r="E59" s="57"/>
      <c r="J59" s="58"/>
      <c r="M59" s="59"/>
    </row>
    <row r="60" spans="4:15" ht="15" customHeight="1" x14ac:dyDescent="0.2">
      <c r="D60" s="57" t="s">
        <v>52</v>
      </c>
      <c r="E60" s="57" t="s">
        <v>52</v>
      </c>
      <c r="F60" s="60">
        <v>0</v>
      </c>
      <c r="G60" s="60">
        <v>1.5006593243318538E-2</v>
      </c>
      <c r="H60" s="60">
        <v>1.7492818063713382E-2</v>
      </c>
      <c r="I60" s="60">
        <v>1.9997482331361161E-2</v>
      </c>
      <c r="J60" s="61">
        <v>0</v>
      </c>
      <c r="K60" s="60">
        <v>0</v>
      </c>
      <c r="L60" s="60">
        <v>0</v>
      </c>
      <c r="M60" s="62">
        <v>0</v>
      </c>
    </row>
    <row r="61" spans="4:15" ht="15" customHeight="1" x14ac:dyDescent="0.2">
      <c r="D61" s="57"/>
      <c r="E61" s="57"/>
      <c r="J61" s="58"/>
      <c r="M61" s="59"/>
    </row>
    <row r="62" spans="4:15" ht="15" customHeight="1" thickBot="1" x14ac:dyDescent="0.25">
      <c r="D62" s="63" t="s">
        <v>53</v>
      </c>
      <c r="E62" s="63" t="s">
        <v>53</v>
      </c>
      <c r="F62" s="64"/>
      <c r="G62" s="65">
        <v>1.4999999999999999E-2</v>
      </c>
      <c r="H62" s="65">
        <v>3.2800000000000003E-2</v>
      </c>
      <c r="I62" s="65">
        <v>5.3400000000000003E-2</v>
      </c>
      <c r="J62" s="66">
        <v>5.3400000000000003E-2</v>
      </c>
      <c r="K62" s="65">
        <v>5.3400000000000003E-2</v>
      </c>
      <c r="L62" s="65">
        <v>5.3400000000000003E-2</v>
      </c>
      <c r="M62" s="67">
        <v>5.3400000000000003E-2</v>
      </c>
    </row>
    <row r="63" spans="4:15" ht="15" customHeight="1" x14ac:dyDescent="0.2"/>
    <row r="64" spans="4:15" ht="15" customHeight="1" x14ac:dyDescent="0.2"/>
    <row r="65" spans="1:15" ht="15" customHeight="1" x14ac:dyDescent="0.25">
      <c r="E65" s="33" t="s">
        <v>55</v>
      </c>
    </row>
    <row r="66" spans="1:15" ht="15" customHeight="1" thickBot="1" x14ac:dyDescent="0.25"/>
    <row r="67" spans="1:15" ht="15" customHeight="1" x14ac:dyDescent="0.2">
      <c r="D67" s="217" t="s">
        <v>23</v>
      </c>
      <c r="E67" s="85"/>
      <c r="F67" s="34">
        <v>42095</v>
      </c>
      <c r="G67" s="34">
        <v>42461</v>
      </c>
      <c r="H67" s="34">
        <v>42826</v>
      </c>
      <c r="I67" s="34">
        <v>43191</v>
      </c>
      <c r="J67" s="35">
        <v>43556</v>
      </c>
      <c r="K67" s="34">
        <v>43922</v>
      </c>
      <c r="L67" s="34">
        <v>44287</v>
      </c>
      <c r="M67" s="36">
        <v>44652</v>
      </c>
      <c r="N67" s="36">
        <v>45017</v>
      </c>
      <c r="O67" s="36">
        <v>45383</v>
      </c>
    </row>
    <row r="68" spans="1:15" ht="15" customHeight="1" thickBot="1" x14ac:dyDescent="0.25">
      <c r="D68" s="218"/>
      <c r="E68" s="86" t="s">
        <v>23</v>
      </c>
      <c r="F68" s="37" t="s">
        <v>49</v>
      </c>
      <c r="G68" s="37" t="s">
        <v>49</v>
      </c>
      <c r="H68" s="37" t="s">
        <v>49</v>
      </c>
      <c r="I68" s="37" t="s">
        <v>50</v>
      </c>
      <c r="J68" s="38" t="s">
        <v>50</v>
      </c>
      <c r="K68" s="37" t="s">
        <v>50</v>
      </c>
      <c r="L68" s="37" t="s">
        <v>50</v>
      </c>
      <c r="M68" s="39" t="s">
        <v>50</v>
      </c>
      <c r="N68" s="39" t="s">
        <v>50</v>
      </c>
      <c r="O68" s="39" t="s">
        <v>50</v>
      </c>
    </row>
    <row r="69" spans="1:15" ht="15" customHeight="1" x14ac:dyDescent="0.2">
      <c r="D69" s="218"/>
      <c r="E69" s="86"/>
      <c r="F69" s="40">
        <v>42460</v>
      </c>
      <c r="G69" s="40">
        <v>42825</v>
      </c>
      <c r="H69" s="40">
        <v>43190</v>
      </c>
      <c r="I69" s="40">
        <v>43555</v>
      </c>
      <c r="J69" s="41">
        <v>43921</v>
      </c>
      <c r="K69" s="40">
        <v>44286</v>
      </c>
      <c r="L69" s="40">
        <v>44651</v>
      </c>
      <c r="M69" s="42">
        <v>45016</v>
      </c>
      <c r="N69" s="36">
        <v>45382</v>
      </c>
      <c r="O69" s="36">
        <v>45747</v>
      </c>
    </row>
    <row r="70" spans="1:15" ht="15" customHeight="1" x14ac:dyDescent="0.2">
      <c r="A70" s="43"/>
      <c r="D70" s="44">
        <v>1</v>
      </c>
      <c r="E70" s="44">
        <v>1</v>
      </c>
      <c r="F70" s="45">
        <v>54150</v>
      </c>
      <c r="G70" s="45">
        <v>55504</v>
      </c>
      <c r="H70" s="45">
        <v>56892</v>
      </c>
      <c r="I70" s="45">
        <v>58314</v>
      </c>
      <c r="J70" s="46">
        <v>60938</v>
      </c>
      <c r="K70" s="47">
        <v>62461</v>
      </c>
      <c r="L70" s="47">
        <v>63710</v>
      </c>
      <c r="M70" s="48">
        <v>64984</v>
      </c>
      <c r="N70" s="48">
        <v>64984</v>
      </c>
      <c r="O70" s="48">
        <v>64984</v>
      </c>
    </row>
    <row r="71" spans="1:15" ht="15" customHeight="1" x14ac:dyDescent="0.2">
      <c r="D71" s="44">
        <v>2</v>
      </c>
      <c r="E71" s="44">
        <v>2</v>
      </c>
      <c r="F71" s="45">
        <v>56430</v>
      </c>
      <c r="G71" s="45">
        <v>57841</v>
      </c>
      <c r="H71" s="45">
        <v>59287</v>
      </c>
      <c r="I71" s="45">
        <v>60769</v>
      </c>
      <c r="J71" s="46">
        <v>63504</v>
      </c>
      <c r="K71" s="47">
        <v>65092</v>
      </c>
      <c r="L71" s="47">
        <v>66394</v>
      </c>
      <c r="M71" s="48">
        <v>67722</v>
      </c>
      <c r="N71" s="48">
        <v>67722</v>
      </c>
      <c r="O71" s="48">
        <v>67722</v>
      </c>
    </row>
    <row r="72" spans="1:15" ht="15" customHeight="1" x14ac:dyDescent="0.2">
      <c r="D72" s="44">
        <v>3</v>
      </c>
      <c r="E72" s="44">
        <v>3</v>
      </c>
      <c r="F72" s="45">
        <v>58804</v>
      </c>
      <c r="G72" s="45">
        <v>60274</v>
      </c>
      <c r="H72" s="45">
        <v>61781</v>
      </c>
      <c r="I72" s="45">
        <v>63326</v>
      </c>
      <c r="J72" s="46">
        <v>66176</v>
      </c>
      <c r="K72" s="47">
        <v>67830</v>
      </c>
      <c r="L72" s="47">
        <v>69187</v>
      </c>
      <c r="M72" s="48">
        <v>70571</v>
      </c>
      <c r="N72" s="48">
        <v>70571</v>
      </c>
      <c r="O72" s="48">
        <v>70571</v>
      </c>
    </row>
    <row r="73" spans="1:15" ht="15" customHeight="1" x14ac:dyDescent="0.2">
      <c r="D73" s="44">
        <v>4</v>
      </c>
      <c r="E73" s="44">
        <v>4</v>
      </c>
      <c r="F73" s="45">
        <v>61280</v>
      </c>
      <c r="G73" s="45">
        <v>62812</v>
      </c>
      <c r="H73" s="45">
        <v>64382</v>
      </c>
      <c r="I73" s="45">
        <v>65992</v>
      </c>
      <c r="J73" s="46">
        <v>68962</v>
      </c>
      <c r="K73" s="47">
        <v>70686</v>
      </c>
      <c r="L73" s="47">
        <v>72100</v>
      </c>
      <c r="M73" s="48">
        <v>73542</v>
      </c>
      <c r="N73" s="48">
        <v>73542</v>
      </c>
      <c r="O73" s="48">
        <v>73542</v>
      </c>
    </row>
    <row r="74" spans="1:15" ht="15" customHeight="1" x14ac:dyDescent="0.2">
      <c r="D74" s="44">
        <v>5</v>
      </c>
      <c r="E74" s="44">
        <v>5</v>
      </c>
      <c r="F74" s="45">
        <v>63862</v>
      </c>
      <c r="G74" s="45">
        <v>65459</v>
      </c>
      <c r="H74" s="45">
        <v>67095</v>
      </c>
      <c r="I74" s="45">
        <v>68772</v>
      </c>
      <c r="J74" s="46">
        <v>71867</v>
      </c>
      <c r="K74" s="47">
        <v>73664</v>
      </c>
      <c r="L74" s="47">
        <v>75137</v>
      </c>
      <c r="M74" s="48">
        <v>76640</v>
      </c>
      <c r="N74" s="48">
        <v>76640</v>
      </c>
      <c r="O74" s="48">
        <v>76640</v>
      </c>
    </row>
    <row r="75" spans="1:15" ht="15" customHeight="1" x14ac:dyDescent="0.2">
      <c r="D75" s="44">
        <v>6</v>
      </c>
      <c r="E75" s="44">
        <v>6</v>
      </c>
      <c r="F75" s="45">
        <v>66551</v>
      </c>
      <c r="G75" s="45">
        <v>68215</v>
      </c>
      <c r="H75" s="45">
        <v>69920</v>
      </c>
      <c r="I75" s="45">
        <v>71668</v>
      </c>
      <c r="J75" s="46">
        <v>74893</v>
      </c>
      <c r="K75" s="47">
        <v>76765</v>
      </c>
      <c r="L75" s="47">
        <v>78300</v>
      </c>
      <c r="M75" s="48">
        <v>79866</v>
      </c>
      <c r="N75" s="48">
        <v>79866</v>
      </c>
      <c r="O75" s="48">
        <v>79866</v>
      </c>
    </row>
    <row r="76" spans="1:15" ht="15" customHeight="1" x14ac:dyDescent="0.2">
      <c r="D76" s="44">
        <v>7</v>
      </c>
      <c r="E76" s="44">
        <v>7</v>
      </c>
      <c r="F76" s="45">
        <v>69352</v>
      </c>
      <c r="G76" s="45">
        <v>71086</v>
      </c>
      <c r="H76" s="45">
        <v>72863</v>
      </c>
      <c r="I76" s="45">
        <v>74685</v>
      </c>
      <c r="J76" s="46">
        <v>78046</v>
      </c>
      <c r="K76" s="47">
        <v>79997</v>
      </c>
      <c r="L76" s="47">
        <v>81597</v>
      </c>
      <c r="M76" s="48">
        <v>83229</v>
      </c>
      <c r="N76" s="48">
        <v>83229</v>
      </c>
      <c r="O76" s="48">
        <v>83229</v>
      </c>
    </row>
    <row r="77" spans="1:15" ht="15" customHeight="1" thickBot="1" x14ac:dyDescent="0.25">
      <c r="D77" s="49">
        <v>8</v>
      </c>
      <c r="E77" s="49">
        <v>8</v>
      </c>
      <c r="F77" s="50">
        <v>72274</v>
      </c>
      <c r="G77" s="50">
        <v>74081</v>
      </c>
      <c r="H77" s="50">
        <v>75933</v>
      </c>
      <c r="I77" s="50">
        <v>77831</v>
      </c>
      <c r="J77" s="51">
        <v>81333</v>
      </c>
      <c r="K77" s="68">
        <v>83366</v>
      </c>
      <c r="L77" s="68">
        <v>85033</v>
      </c>
      <c r="M77" s="69">
        <v>86734</v>
      </c>
      <c r="N77" s="48">
        <v>86734</v>
      </c>
      <c r="O77" s="48">
        <v>86734</v>
      </c>
    </row>
    <row r="78" spans="1:15" ht="15" customHeight="1" x14ac:dyDescent="0.2">
      <c r="D78" s="52">
        <v>9</v>
      </c>
      <c r="E78" s="44">
        <v>9</v>
      </c>
      <c r="F78" s="53">
        <v>75315</v>
      </c>
      <c r="G78" s="53">
        <v>77198</v>
      </c>
      <c r="H78" s="53">
        <v>79128</v>
      </c>
      <c r="I78" s="53">
        <v>81106</v>
      </c>
      <c r="J78" s="54">
        <v>84756</v>
      </c>
      <c r="K78" s="70">
        <v>86875</v>
      </c>
      <c r="L78" s="70">
        <v>88613</v>
      </c>
      <c r="M78" s="71">
        <v>90385</v>
      </c>
      <c r="N78" s="48">
        <v>90385</v>
      </c>
      <c r="O78" s="48">
        <v>90385</v>
      </c>
    </row>
    <row r="79" spans="1:15" ht="15" customHeight="1" x14ac:dyDescent="0.2">
      <c r="D79" s="44">
        <v>10</v>
      </c>
      <c r="E79" s="44">
        <v>10</v>
      </c>
      <c r="F79" s="45">
        <v>78487</v>
      </c>
      <c r="G79" s="45">
        <v>80449</v>
      </c>
      <c r="H79" s="45">
        <v>82460</v>
      </c>
      <c r="I79" s="45">
        <v>84522</v>
      </c>
      <c r="J79" s="46">
        <v>88325</v>
      </c>
      <c r="K79" s="47">
        <v>90533</v>
      </c>
      <c r="L79" s="47">
        <v>92344</v>
      </c>
      <c r="M79" s="48">
        <v>94191</v>
      </c>
      <c r="N79" s="48">
        <v>94191</v>
      </c>
      <c r="O79" s="48">
        <v>94191</v>
      </c>
    </row>
    <row r="80" spans="1:15" ht="15" customHeight="1" x14ac:dyDescent="0.2">
      <c r="D80" s="44">
        <v>11</v>
      </c>
      <c r="E80" s="44">
        <v>11</v>
      </c>
      <c r="F80" s="45">
        <v>81791</v>
      </c>
      <c r="G80" s="45">
        <v>83836</v>
      </c>
      <c r="H80" s="45">
        <v>85932</v>
      </c>
      <c r="I80" s="45">
        <v>88080</v>
      </c>
      <c r="J80" s="46">
        <v>92044</v>
      </c>
      <c r="K80" s="47">
        <v>94345</v>
      </c>
      <c r="L80" s="47">
        <v>96232</v>
      </c>
      <c r="M80" s="48">
        <v>98157</v>
      </c>
      <c r="N80" s="48">
        <v>98157</v>
      </c>
      <c r="O80" s="48">
        <v>98157</v>
      </c>
    </row>
    <row r="81" spans="4:15" ht="15" customHeight="1" x14ac:dyDescent="0.2">
      <c r="D81" s="44">
        <v>12</v>
      </c>
      <c r="E81" s="44">
        <v>12</v>
      </c>
      <c r="F81" s="45">
        <v>85235</v>
      </c>
      <c r="G81" s="45">
        <v>87366</v>
      </c>
      <c r="H81" s="45">
        <v>89550</v>
      </c>
      <c r="I81" s="45">
        <v>91789</v>
      </c>
      <c r="J81" s="46">
        <v>95920</v>
      </c>
      <c r="K81" s="47">
        <v>98318</v>
      </c>
      <c r="L81" s="47">
        <v>100284</v>
      </c>
      <c r="M81" s="48">
        <v>102290</v>
      </c>
      <c r="N81" s="48">
        <v>102290</v>
      </c>
      <c r="O81" s="48">
        <v>102290</v>
      </c>
    </row>
    <row r="82" spans="4:15" ht="15" customHeight="1" x14ac:dyDescent="0.2">
      <c r="D82" s="44">
        <v>13</v>
      </c>
      <c r="E82" s="44">
        <v>13</v>
      </c>
      <c r="F82" s="45">
        <v>88823</v>
      </c>
      <c r="G82" s="45">
        <v>91044</v>
      </c>
      <c r="H82" s="45">
        <v>93320</v>
      </c>
      <c r="I82" s="45">
        <v>95653</v>
      </c>
      <c r="J82" s="46">
        <v>99957</v>
      </c>
      <c r="K82" s="47">
        <v>102456</v>
      </c>
      <c r="L82" s="47">
        <v>104505</v>
      </c>
      <c r="M82" s="48">
        <v>106595</v>
      </c>
      <c r="N82" s="48">
        <v>106595</v>
      </c>
      <c r="O82" s="48">
        <v>106595</v>
      </c>
    </row>
    <row r="83" spans="4:15" ht="15" customHeight="1" x14ac:dyDescent="0.2">
      <c r="D83" s="44">
        <v>14</v>
      </c>
      <c r="E83" s="44">
        <v>14</v>
      </c>
      <c r="F83" s="45">
        <v>92564</v>
      </c>
      <c r="G83" s="45">
        <v>94878</v>
      </c>
      <c r="H83" s="45">
        <v>97250</v>
      </c>
      <c r="I83" s="45">
        <v>99681</v>
      </c>
      <c r="J83" s="46">
        <v>104167</v>
      </c>
      <c r="K83" s="47">
        <v>106771</v>
      </c>
      <c r="L83" s="47">
        <v>108906</v>
      </c>
      <c r="M83" s="48">
        <v>111084</v>
      </c>
      <c r="N83" s="48">
        <v>111084</v>
      </c>
      <c r="O83" s="48">
        <v>111084</v>
      </c>
    </row>
    <row r="84" spans="4:15" ht="15" customHeight="1" x14ac:dyDescent="0.2">
      <c r="D84" s="44">
        <v>15</v>
      </c>
      <c r="E84" s="44">
        <v>15</v>
      </c>
      <c r="F84" s="45">
        <v>96461</v>
      </c>
      <c r="G84" s="45">
        <v>98873</v>
      </c>
      <c r="H84" s="45">
        <v>101345</v>
      </c>
      <c r="I84" s="45">
        <v>103879</v>
      </c>
      <c r="J84" s="46">
        <v>108554</v>
      </c>
      <c r="K84" s="47">
        <v>111268</v>
      </c>
      <c r="L84" s="47">
        <v>113493</v>
      </c>
      <c r="M84" s="48">
        <v>115763</v>
      </c>
      <c r="N84" s="48">
        <v>115763</v>
      </c>
      <c r="O84" s="48">
        <v>115763</v>
      </c>
    </row>
    <row r="85" spans="4:15" ht="15" customHeight="1" x14ac:dyDescent="0.2">
      <c r="D85" s="44">
        <v>16</v>
      </c>
      <c r="E85" s="44">
        <v>16</v>
      </c>
      <c r="F85" s="45">
        <v>100522</v>
      </c>
      <c r="G85" s="45">
        <v>103035</v>
      </c>
      <c r="H85" s="45">
        <v>105611</v>
      </c>
      <c r="I85" s="45">
        <v>108251</v>
      </c>
      <c r="J85" s="46">
        <v>113122</v>
      </c>
      <c r="K85" s="47">
        <v>115950</v>
      </c>
      <c r="L85" s="47">
        <v>118269</v>
      </c>
      <c r="M85" s="48">
        <v>120634</v>
      </c>
      <c r="N85" s="48">
        <v>120634</v>
      </c>
      <c r="O85" s="48">
        <v>120634</v>
      </c>
    </row>
    <row r="86" spans="4:15" ht="15" customHeight="1" x14ac:dyDescent="0.2">
      <c r="D86" s="44">
        <v>17</v>
      </c>
      <c r="E86" s="44">
        <v>17</v>
      </c>
      <c r="F86" s="45">
        <v>104753</v>
      </c>
      <c r="G86" s="45">
        <v>107372</v>
      </c>
      <c r="H86" s="45">
        <v>110056</v>
      </c>
      <c r="I86" s="45">
        <v>112807</v>
      </c>
      <c r="J86" s="46">
        <v>117883</v>
      </c>
      <c r="K86" s="47">
        <v>120830</v>
      </c>
      <c r="L86" s="47">
        <v>123247</v>
      </c>
      <c r="M86" s="48">
        <v>125712</v>
      </c>
      <c r="N86" s="48">
        <v>125712</v>
      </c>
      <c r="O86" s="48">
        <v>125712</v>
      </c>
    </row>
    <row r="87" spans="4:15" ht="15" customHeight="1" x14ac:dyDescent="0.2">
      <c r="D87" s="44">
        <v>18</v>
      </c>
      <c r="E87" s="44">
        <v>18</v>
      </c>
      <c r="F87" s="45">
        <v>109165</v>
      </c>
      <c r="G87" s="45">
        <v>111894</v>
      </c>
      <c r="H87" s="45">
        <v>114691</v>
      </c>
      <c r="I87" s="45">
        <v>117558</v>
      </c>
      <c r="J87" s="46">
        <v>122848</v>
      </c>
      <c r="K87" s="47">
        <v>125919</v>
      </c>
      <c r="L87" s="47">
        <v>128437</v>
      </c>
      <c r="M87" s="48">
        <v>131006</v>
      </c>
      <c r="N87" s="48">
        <v>131006</v>
      </c>
      <c r="O87" s="48">
        <v>131006</v>
      </c>
    </row>
    <row r="88" spans="4:15" ht="15" customHeight="1" x14ac:dyDescent="0.2">
      <c r="D88" s="44">
        <v>19</v>
      </c>
      <c r="E88" s="44">
        <v>18</v>
      </c>
      <c r="F88" s="45">
        <v>109165</v>
      </c>
      <c r="G88" s="45">
        <v>111894</v>
      </c>
      <c r="H88" s="45">
        <v>114691</v>
      </c>
      <c r="I88" s="45">
        <v>117558</v>
      </c>
      <c r="J88" s="46">
        <v>122848</v>
      </c>
      <c r="K88" s="47">
        <v>125919</v>
      </c>
      <c r="L88" s="47">
        <v>128437</v>
      </c>
      <c r="M88" s="48">
        <v>131006</v>
      </c>
      <c r="N88" s="48">
        <v>131006</v>
      </c>
      <c r="O88" s="48">
        <v>131006</v>
      </c>
    </row>
    <row r="89" spans="4:15" ht="15" customHeight="1" x14ac:dyDescent="0.2">
      <c r="D89" s="55">
        <v>20</v>
      </c>
      <c r="E89" s="44" t="s">
        <v>51</v>
      </c>
      <c r="F89" s="45">
        <f t="shared" ref="F89:O89" si="0">ROUND(F88*1.15,0)</f>
        <v>125540</v>
      </c>
      <c r="G89" s="45">
        <f t="shared" si="0"/>
        <v>128678</v>
      </c>
      <c r="H89" s="45">
        <f t="shared" si="0"/>
        <v>131895</v>
      </c>
      <c r="I89" s="45">
        <f t="shared" si="0"/>
        <v>135192</v>
      </c>
      <c r="J89" s="46">
        <f t="shared" si="0"/>
        <v>141275</v>
      </c>
      <c r="K89" s="47">
        <f t="shared" si="0"/>
        <v>144807</v>
      </c>
      <c r="L89" s="47">
        <f t="shared" si="0"/>
        <v>147703</v>
      </c>
      <c r="M89" s="48">
        <f t="shared" si="0"/>
        <v>150657</v>
      </c>
      <c r="N89" s="48">
        <f t="shared" si="0"/>
        <v>150657</v>
      </c>
      <c r="O89" s="48">
        <f t="shared" si="0"/>
        <v>150657</v>
      </c>
    </row>
    <row r="90" spans="4:15" ht="15" customHeight="1" x14ac:dyDescent="0.2">
      <c r="D90" s="57"/>
      <c r="E90" s="57"/>
      <c r="J90" s="58"/>
      <c r="M90" s="59"/>
    </row>
    <row r="91" spans="4:15" ht="15" customHeight="1" x14ac:dyDescent="0.2">
      <c r="D91" s="57" t="s">
        <v>52</v>
      </c>
      <c r="E91" s="57" t="s">
        <v>52</v>
      </c>
      <c r="F91" s="60">
        <v>5.7000000000000002E-3</v>
      </c>
      <c r="G91" s="60">
        <v>2.5000000000000001E-2</v>
      </c>
      <c r="H91" s="60">
        <v>2.5000000000000001E-2</v>
      </c>
      <c r="I91" s="60">
        <v>2.5000000000000001E-2</v>
      </c>
      <c r="J91" s="61">
        <v>4.4999999999999998E-2</v>
      </c>
      <c r="K91" s="60">
        <v>2.5000000000000001E-2</v>
      </c>
      <c r="L91" s="60">
        <v>0.02</v>
      </c>
      <c r="M91" s="62">
        <v>0.02</v>
      </c>
    </row>
    <row r="92" spans="4:15" ht="15" customHeight="1" x14ac:dyDescent="0.2">
      <c r="D92" s="57"/>
      <c r="E92" s="57"/>
      <c r="J92" s="58"/>
      <c r="M92" s="59"/>
    </row>
    <row r="93" spans="4:15" ht="15" customHeight="1" thickBot="1" x14ac:dyDescent="0.3">
      <c r="D93" s="63" t="s">
        <v>53</v>
      </c>
      <c r="E93" s="63" t="s">
        <v>53</v>
      </c>
      <c r="F93" s="72">
        <v>5.7000000000000002E-3</v>
      </c>
      <c r="G93" s="65">
        <v>3.0842499999999884E-2</v>
      </c>
      <c r="H93" s="65">
        <v>5.6613562499999714E-2</v>
      </c>
      <c r="I93" s="65">
        <v>8.3028901562499646E-2</v>
      </c>
      <c r="J93" s="66">
        <v>0.13176520213281195</v>
      </c>
      <c r="K93" s="65">
        <v>0.16005933218613211</v>
      </c>
      <c r="L93" s="65">
        <v>0.18326051882985483</v>
      </c>
      <c r="M93" s="67">
        <v>0.20692572920645191</v>
      </c>
    </row>
    <row r="94" spans="4:15" ht="15" customHeight="1" x14ac:dyDescent="0.2"/>
    <row r="95" spans="4:15" ht="15" customHeight="1" x14ac:dyDescent="0.2"/>
    <row r="96" spans="4:15" ht="15" customHeight="1" x14ac:dyDescent="0.25">
      <c r="E96" s="33" t="s">
        <v>56</v>
      </c>
    </row>
    <row r="97" spans="1:15" ht="15" customHeight="1" thickBot="1" x14ac:dyDescent="0.25"/>
    <row r="98" spans="1:15" ht="15" customHeight="1" x14ac:dyDescent="0.2">
      <c r="D98" s="217" t="s">
        <v>23</v>
      </c>
      <c r="E98" s="85"/>
      <c r="F98" s="34">
        <v>42095</v>
      </c>
      <c r="G98" s="34">
        <v>42461</v>
      </c>
      <c r="H98" s="34">
        <v>42826</v>
      </c>
      <c r="I98" s="34">
        <v>43191</v>
      </c>
      <c r="J98" s="35">
        <v>43556</v>
      </c>
      <c r="K98" s="34">
        <v>43922</v>
      </c>
      <c r="L98" s="34">
        <v>44287</v>
      </c>
      <c r="M98" s="36">
        <v>44652</v>
      </c>
      <c r="N98" s="36">
        <v>45017</v>
      </c>
      <c r="O98" s="36">
        <v>45383</v>
      </c>
    </row>
    <row r="99" spans="1:15" ht="15" customHeight="1" thickBot="1" x14ac:dyDescent="0.25">
      <c r="D99" s="218"/>
      <c r="E99" s="86" t="s">
        <v>23</v>
      </c>
      <c r="F99" s="37" t="s">
        <v>49</v>
      </c>
      <c r="G99" s="37" t="s">
        <v>49</v>
      </c>
      <c r="H99" s="37" t="s">
        <v>49</v>
      </c>
      <c r="I99" s="37" t="s">
        <v>50</v>
      </c>
      <c r="J99" s="38" t="s">
        <v>50</v>
      </c>
      <c r="K99" s="37" t="s">
        <v>50</v>
      </c>
      <c r="L99" s="37" t="s">
        <v>50</v>
      </c>
      <c r="M99" s="39" t="s">
        <v>50</v>
      </c>
      <c r="N99" s="39" t="s">
        <v>50</v>
      </c>
      <c r="O99" s="39" t="s">
        <v>50</v>
      </c>
    </row>
    <row r="100" spans="1:15" ht="15" customHeight="1" x14ac:dyDescent="0.2">
      <c r="D100" s="218"/>
      <c r="E100" s="86"/>
      <c r="F100" s="40">
        <v>42460</v>
      </c>
      <c r="G100" s="40">
        <v>42825</v>
      </c>
      <c r="H100" s="40">
        <v>43190</v>
      </c>
      <c r="I100" s="40">
        <v>43555</v>
      </c>
      <c r="J100" s="41">
        <v>43921</v>
      </c>
      <c r="K100" s="40">
        <v>44286</v>
      </c>
      <c r="L100" s="40">
        <v>44651</v>
      </c>
      <c r="M100" s="42">
        <v>45016</v>
      </c>
      <c r="N100" s="36">
        <v>45382</v>
      </c>
      <c r="O100" s="36">
        <v>45747</v>
      </c>
    </row>
    <row r="101" spans="1:15" ht="15" customHeight="1" x14ac:dyDescent="0.2">
      <c r="A101" s="43"/>
      <c r="D101" s="44">
        <v>1</v>
      </c>
      <c r="E101" s="44">
        <v>1</v>
      </c>
      <c r="F101" s="45">
        <v>55233</v>
      </c>
      <c r="G101" s="45">
        <v>56614</v>
      </c>
      <c r="H101" s="45">
        <v>58030</v>
      </c>
      <c r="I101" s="45">
        <v>59480</v>
      </c>
      <c r="J101" s="73">
        <v>62157</v>
      </c>
      <c r="K101" s="45">
        <v>63710</v>
      </c>
      <c r="L101" s="45">
        <v>64984</v>
      </c>
      <c r="M101" s="74">
        <v>66284</v>
      </c>
      <c r="N101" s="48">
        <v>66284</v>
      </c>
      <c r="O101" s="48">
        <v>66284</v>
      </c>
    </row>
    <row r="102" spans="1:15" ht="15" customHeight="1" x14ac:dyDescent="0.2">
      <c r="D102" s="44">
        <v>2</v>
      </c>
      <c r="E102" s="44">
        <v>2</v>
      </c>
      <c r="F102" s="45">
        <v>57559</v>
      </c>
      <c r="G102" s="45">
        <v>58998</v>
      </c>
      <c r="H102" s="45">
        <v>60473</v>
      </c>
      <c r="I102" s="45">
        <v>61984</v>
      </c>
      <c r="J102" s="73">
        <v>64774</v>
      </c>
      <c r="K102" s="45">
        <v>66394</v>
      </c>
      <c r="L102" s="45">
        <v>67722</v>
      </c>
      <c r="M102" s="74">
        <v>69076</v>
      </c>
      <c r="N102" s="48">
        <v>69076</v>
      </c>
      <c r="O102" s="48">
        <v>69076</v>
      </c>
    </row>
    <row r="103" spans="1:15" ht="15" customHeight="1" x14ac:dyDescent="0.2">
      <c r="D103" s="44">
        <v>3</v>
      </c>
      <c r="E103" s="44">
        <v>3</v>
      </c>
      <c r="F103" s="45">
        <v>59980</v>
      </c>
      <c r="G103" s="45">
        <v>61479</v>
      </c>
      <c r="H103" s="45">
        <v>63017</v>
      </c>
      <c r="I103" s="45">
        <v>64593</v>
      </c>
      <c r="J103" s="73">
        <v>67500</v>
      </c>
      <c r="K103" s="45">
        <v>69187</v>
      </c>
      <c r="L103" s="45">
        <v>70571</v>
      </c>
      <c r="M103" s="74">
        <v>71982</v>
      </c>
      <c r="N103" s="48">
        <v>71982</v>
      </c>
      <c r="O103" s="48">
        <v>71982</v>
      </c>
    </row>
    <row r="104" spans="1:15" ht="15" customHeight="1" x14ac:dyDescent="0.2">
      <c r="D104" s="44">
        <v>4</v>
      </c>
      <c r="E104" s="44">
        <v>4</v>
      </c>
      <c r="F104" s="45">
        <v>62506</v>
      </c>
      <c r="G104" s="45">
        <v>64068</v>
      </c>
      <c r="H104" s="45">
        <v>65670</v>
      </c>
      <c r="I104" s="45">
        <v>67312</v>
      </c>
      <c r="J104" s="73">
        <v>70341</v>
      </c>
      <c r="K104" s="45">
        <v>72100</v>
      </c>
      <c r="L104" s="45">
        <v>73542</v>
      </c>
      <c r="M104" s="74">
        <v>75013</v>
      </c>
      <c r="N104" s="48">
        <v>75013</v>
      </c>
      <c r="O104" s="48">
        <v>75013</v>
      </c>
    </row>
    <row r="105" spans="1:15" ht="15" customHeight="1" x14ac:dyDescent="0.2">
      <c r="D105" s="44">
        <v>5</v>
      </c>
      <c r="E105" s="44">
        <v>5</v>
      </c>
      <c r="F105" s="45">
        <v>65139</v>
      </c>
      <c r="G105" s="45">
        <v>66768</v>
      </c>
      <c r="H105" s="45">
        <v>68437</v>
      </c>
      <c r="I105" s="45">
        <v>70147</v>
      </c>
      <c r="J105" s="73">
        <v>73304</v>
      </c>
      <c r="K105" s="45">
        <v>75137</v>
      </c>
      <c r="L105" s="45">
        <v>76640</v>
      </c>
      <c r="M105" s="74">
        <v>78173</v>
      </c>
      <c r="N105" s="48">
        <v>78173</v>
      </c>
      <c r="O105" s="48">
        <v>78173</v>
      </c>
    </row>
    <row r="106" spans="1:15" ht="15" customHeight="1" x14ac:dyDescent="0.2">
      <c r="D106" s="44">
        <v>6</v>
      </c>
      <c r="E106" s="44">
        <v>6</v>
      </c>
      <c r="F106" s="45">
        <v>67882</v>
      </c>
      <c r="G106" s="45">
        <v>69579</v>
      </c>
      <c r="H106" s="45">
        <v>71318</v>
      </c>
      <c r="I106" s="45">
        <v>73101</v>
      </c>
      <c r="J106" s="73">
        <v>76391</v>
      </c>
      <c r="K106" s="45">
        <v>78300</v>
      </c>
      <c r="L106" s="45">
        <v>79866</v>
      </c>
      <c r="M106" s="74">
        <v>81463</v>
      </c>
      <c r="N106" s="48">
        <v>81463</v>
      </c>
      <c r="O106" s="48">
        <v>81463</v>
      </c>
    </row>
    <row r="107" spans="1:15" ht="15" customHeight="1" x14ac:dyDescent="0.2">
      <c r="D107" s="44">
        <v>7</v>
      </c>
      <c r="E107" s="44">
        <v>7</v>
      </c>
      <c r="F107" s="45">
        <v>70739</v>
      </c>
      <c r="G107" s="45">
        <v>72508</v>
      </c>
      <c r="H107" s="45">
        <v>74320</v>
      </c>
      <c r="I107" s="45">
        <v>76179</v>
      </c>
      <c r="J107" s="73">
        <v>79607</v>
      </c>
      <c r="K107" s="45">
        <v>81597</v>
      </c>
      <c r="L107" s="45">
        <v>83229</v>
      </c>
      <c r="M107" s="74">
        <v>84894</v>
      </c>
      <c r="N107" s="48">
        <v>84894</v>
      </c>
      <c r="O107" s="48">
        <v>84894</v>
      </c>
    </row>
    <row r="108" spans="1:15" ht="15" customHeight="1" thickBot="1" x14ac:dyDescent="0.25">
      <c r="D108" s="49">
        <v>8</v>
      </c>
      <c r="E108" s="49">
        <v>8</v>
      </c>
      <c r="F108" s="50">
        <v>73719</v>
      </c>
      <c r="G108" s="50">
        <v>75563</v>
      </c>
      <c r="H108" s="50">
        <v>77452</v>
      </c>
      <c r="I108" s="50">
        <v>79388</v>
      </c>
      <c r="J108" s="75">
        <v>82960</v>
      </c>
      <c r="K108" s="50">
        <v>85033</v>
      </c>
      <c r="L108" s="50">
        <v>86734</v>
      </c>
      <c r="M108" s="76">
        <v>88469</v>
      </c>
      <c r="N108" s="48">
        <v>88469</v>
      </c>
      <c r="O108" s="48">
        <v>88469</v>
      </c>
    </row>
    <row r="109" spans="1:15" ht="15" customHeight="1" x14ac:dyDescent="0.2">
      <c r="D109" s="52">
        <v>9</v>
      </c>
      <c r="E109" s="44">
        <v>9</v>
      </c>
      <c r="F109" s="53">
        <v>76821</v>
      </c>
      <c r="G109" s="53">
        <v>78742</v>
      </c>
      <c r="H109" s="53">
        <v>80711</v>
      </c>
      <c r="I109" s="53">
        <v>82728</v>
      </c>
      <c r="J109" s="77">
        <v>86451</v>
      </c>
      <c r="K109" s="53">
        <v>88613</v>
      </c>
      <c r="L109" s="53">
        <v>90385</v>
      </c>
      <c r="M109" s="78">
        <v>92193</v>
      </c>
      <c r="N109" s="48">
        <v>92193</v>
      </c>
      <c r="O109" s="48">
        <v>92193</v>
      </c>
    </row>
    <row r="110" spans="1:15" ht="15" customHeight="1" x14ac:dyDescent="0.2">
      <c r="D110" s="44">
        <v>10</v>
      </c>
      <c r="E110" s="44">
        <v>10</v>
      </c>
      <c r="F110" s="45">
        <v>80057</v>
      </c>
      <c r="G110" s="45">
        <v>82058</v>
      </c>
      <c r="H110" s="45">
        <v>84109</v>
      </c>
      <c r="I110" s="45">
        <v>86212</v>
      </c>
      <c r="J110" s="73">
        <v>90092</v>
      </c>
      <c r="K110" s="45">
        <v>92344</v>
      </c>
      <c r="L110" s="45">
        <v>94191</v>
      </c>
      <c r="M110" s="74">
        <v>96075</v>
      </c>
      <c r="N110" s="48">
        <v>96075</v>
      </c>
      <c r="O110" s="48">
        <v>96075</v>
      </c>
    </row>
    <row r="111" spans="1:15" ht="15" customHeight="1" x14ac:dyDescent="0.2">
      <c r="D111" s="44">
        <v>11</v>
      </c>
      <c r="E111" s="44">
        <v>11</v>
      </c>
      <c r="F111" s="45">
        <v>83427</v>
      </c>
      <c r="G111" s="45">
        <v>85513</v>
      </c>
      <c r="H111" s="45">
        <v>87651</v>
      </c>
      <c r="I111" s="45">
        <v>89842</v>
      </c>
      <c r="J111" s="73">
        <v>93885</v>
      </c>
      <c r="K111" s="45">
        <v>96232</v>
      </c>
      <c r="L111" s="45">
        <v>98157</v>
      </c>
      <c r="M111" s="74">
        <v>100120</v>
      </c>
      <c r="N111" s="48">
        <v>100120</v>
      </c>
      <c r="O111" s="48">
        <v>100120</v>
      </c>
    </row>
    <row r="112" spans="1:15" ht="15" customHeight="1" x14ac:dyDescent="0.2">
      <c r="D112" s="44">
        <v>12</v>
      </c>
      <c r="E112" s="44">
        <v>12</v>
      </c>
      <c r="F112" s="45">
        <v>86940</v>
      </c>
      <c r="G112" s="45">
        <v>89113</v>
      </c>
      <c r="H112" s="45">
        <v>91341</v>
      </c>
      <c r="I112" s="45">
        <v>93625</v>
      </c>
      <c r="J112" s="73">
        <v>97838</v>
      </c>
      <c r="K112" s="45">
        <v>100284</v>
      </c>
      <c r="L112" s="45">
        <v>102290</v>
      </c>
      <c r="M112" s="74">
        <v>104336</v>
      </c>
      <c r="N112" s="48">
        <v>104336</v>
      </c>
      <c r="O112" s="48">
        <v>104336</v>
      </c>
    </row>
    <row r="113" spans="4:15" ht="15" customHeight="1" x14ac:dyDescent="0.2">
      <c r="D113" s="44">
        <v>13</v>
      </c>
      <c r="E113" s="44">
        <v>13</v>
      </c>
      <c r="F113" s="45">
        <v>90599</v>
      </c>
      <c r="G113" s="45">
        <v>92865</v>
      </c>
      <c r="H113" s="45">
        <v>95186</v>
      </c>
      <c r="I113" s="45">
        <v>97566</v>
      </c>
      <c r="J113" s="73">
        <v>101956</v>
      </c>
      <c r="K113" s="45">
        <v>104505</v>
      </c>
      <c r="L113" s="45">
        <v>106595</v>
      </c>
      <c r="M113" s="74">
        <v>108727</v>
      </c>
      <c r="N113" s="48">
        <v>108727</v>
      </c>
      <c r="O113" s="48">
        <v>108727</v>
      </c>
    </row>
    <row r="114" spans="4:15" ht="15" customHeight="1" x14ac:dyDescent="0.2">
      <c r="D114" s="44">
        <v>14</v>
      </c>
      <c r="E114" s="44">
        <v>14</v>
      </c>
      <c r="F114" s="45">
        <v>94415</v>
      </c>
      <c r="G114" s="45">
        <v>96776</v>
      </c>
      <c r="H114" s="45">
        <v>99195</v>
      </c>
      <c r="I114" s="45">
        <v>101675</v>
      </c>
      <c r="J114" s="73">
        <v>106250</v>
      </c>
      <c r="K114" s="45">
        <v>108906</v>
      </c>
      <c r="L114" s="45">
        <v>111084</v>
      </c>
      <c r="M114" s="74">
        <v>113306</v>
      </c>
      <c r="N114" s="48">
        <v>113306</v>
      </c>
      <c r="O114" s="48">
        <v>113306</v>
      </c>
    </row>
    <row r="115" spans="4:15" ht="15" customHeight="1" x14ac:dyDescent="0.2">
      <c r="D115" s="44">
        <v>15</v>
      </c>
      <c r="E115" s="44">
        <v>15</v>
      </c>
      <c r="F115" s="45">
        <v>98390</v>
      </c>
      <c r="G115" s="45">
        <v>100850</v>
      </c>
      <c r="H115" s="45">
        <v>103372</v>
      </c>
      <c r="I115" s="45">
        <v>105957</v>
      </c>
      <c r="J115" s="73">
        <v>110725</v>
      </c>
      <c r="K115" s="45">
        <v>113493</v>
      </c>
      <c r="L115" s="45">
        <v>115763</v>
      </c>
      <c r="M115" s="74">
        <v>118078</v>
      </c>
      <c r="N115" s="48">
        <v>118078</v>
      </c>
      <c r="O115" s="48">
        <v>118078</v>
      </c>
    </row>
    <row r="116" spans="4:15" ht="15" customHeight="1" x14ac:dyDescent="0.2">
      <c r="D116" s="44">
        <v>16</v>
      </c>
      <c r="E116" s="44">
        <v>16</v>
      </c>
      <c r="F116" s="45">
        <v>102532</v>
      </c>
      <c r="G116" s="45">
        <v>105096</v>
      </c>
      <c r="H116" s="45">
        <v>107723</v>
      </c>
      <c r="I116" s="45">
        <v>110416</v>
      </c>
      <c r="J116" s="73">
        <v>115384</v>
      </c>
      <c r="K116" s="45">
        <v>118269</v>
      </c>
      <c r="L116" s="45">
        <v>120634</v>
      </c>
      <c r="M116" s="74">
        <v>123047</v>
      </c>
      <c r="N116" s="48">
        <v>123047</v>
      </c>
      <c r="O116" s="48">
        <v>123047</v>
      </c>
    </row>
    <row r="117" spans="4:15" ht="15" customHeight="1" x14ac:dyDescent="0.2">
      <c r="D117" s="44">
        <v>17</v>
      </c>
      <c r="E117" s="44">
        <v>17</v>
      </c>
      <c r="F117" s="45">
        <v>106848</v>
      </c>
      <c r="G117" s="45">
        <v>109519</v>
      </c>
      <c r="H117" s="45">
        <v>112257</v>
      </c>
      <c r="I117" s="45">
        <v>115063</v>
      </c>
      <c r="J117" s="73">
        <v>120241</v>
      </c>
      <c r="K117" s="45">
        <v>123247</v>
      </c>
      <c r="L117" s="45">
        <v>125712</v>
      </c>
      <c r="M117" s="74">
        <v>128226</v>
      </c>
      <c r="N117" s="48">
        <v>128226</v>
      </c>
      <c r="O117" s="48">
        <v>128226</v>
      </c>
    </row>
    <row r="118" spans="4:15" ht="15" customHeight="1" x14ac:dyDescent="0.2">
      <c r="D118" s="44">
        <v>18</v>
      </c>
      <c r="E118" s="44">
        <v>18</v>
      </c>
      <c r="F118" s="45">
        <v>111348</v>
      </c>
      <c r="G118" s="45">
        <v>114132</v>
      </c>
      <c r="H118" s="45">
        <v>116985</v>
      </c>
      <c r="I118" s="45">
        <v>119909</v>
      </c>
      <c r="J118" s="73">
        <v>125305</v>
      </c>
      <c r="K118" s="45">
        <v>128437</v>
      </c>
      <c r="L118" s="45">
        <v>131006</v>
      </c>
      <c r="M118" s="74">
        <v>133626</v>
      </c>
      <c r="N118" s="48">
        <v>133626</v>
      </c>
      <c r="O118" s="48">
        <v>133626</v>
      </c>
    </row>
    <row r="119" spans="4:15" ht="15" customHeight="1" x14ac:dyDescent="0.2">
      <c r="D119" s="44">
        <v>18</v>
      </c>
      <c r="E119" s="44">
        <v>18</v>
      </c>
      <c r="F119" s="45">
        <v>111348</v>
      </c>
      <c r="G119" s="45">
        <v>114132</v>
      </c>
      <c r="H119" s="45">
        <v>116985</v>
      </c>
      <c r="I119" s="45">
        <v>119909</v>
      </c>
      <c r="J119" s="73">
        <v>125305</v>
      </c>
      <c r="K119" s="45">
        <v>128437</v>
      </c>
      <c r="L119" s="45">
        <v>131006</v>
      </c>
      <c r="M119" s="74">
        <v>133626</v>
      </c>
      <c r="N119" s="48">
        <v>133626</v>
      </c>
      <c r="O119" s="48">
        <v>133626</v>
      </c>
    </row>
    <row r="120" spans="4:15" ht="15" customHeight="1" thickBot="1" x14ac:dyDescent="0.25">
      <c r="D120" s="55" t="s">
        <v>51</v>
      </c>
      <c r="E120" s="44" t="s">
        <v>51</v>
      </c>
      <c r="F120" s="45">
        <f>ROUND(1.02*F89,0)</f>
        <v>128051</v>
      </c>
      <c r="G120" s="45">
        <f t="shared" ref="G120:O120" si="1">ROUND(1.02*G89,0)</f>
        <v>131252</v>
      </c>
      <c r="H120" s="45">
        <f>ROUND(1.02*H89,0)</f>
        <v>134533</v>
      </c>
      <c r="I120" s="45">
        <f t="shared" si="1"/>
        <v>137896</v>
      </c>
      <c r="J120" s="119">
        <f t="shared" si="1"/>
        <v>144101</v>
      </c>
      <c r="K120" s="121">
        <f t="shared" si="1"/>
        <v>147703</v>
      </c>
      <c r="L120" s="121">
        <f t="shared" si="1"/>
        <v>150657</v>
      </c>
      <c r="M120" s="122">
        <f t="shared" si="1"/>
        <v>153670</v>
      </c>
      <c r="N120" s="48">
        <f t="shared" si="1"/>
        <v>153670</v>
      </c>
      <c r="O120" s="48">
        <f t="shared" si="1"/>
        <v>153670</v>
      </c>
    </row>
    <row r="121" spans="4:15" ht="15" customHeight="1" x14ac:dyDescent="0.2">
      <c r="D121" s="57"/>
      <c r="E121" s="57"/>
      <c r="F121" s="43"/>
      <c r="G121" s="43"/>
      <c r="H121" s="43"/>
      <c r="I121" s="43"/>
      <c r="J121" s="120"/>
      <c r="K121" s="123"/>
      <c r="L121" s="124"/>
      <c r="M121" s="125"/>
      <c r="N121" s="43"/>
      <c r="O121" s="43"/>
    </row>
    <row r="122" spans="4:15" ht="15" customHeight="1" x14ac:dyDescent="0.2">
      <c r="D122" s="57" t="s">
        <v>52</v>
      </c>
      <c r="E122" s="57" t="s">
        <v>52</v>
      </c>
      <c r="F122" s="60">
        <v>5.7000000000000002E-3</v>
      </c>
      <c r="G122" s="60">
        <v>2.5000000000000001E-2</v>
      </c>
      <c r="H122" s="60">
        <v>2.5000000000000001E-2</v>
      </c>
      <c r="I122" s="60">
        <v>2.5000000000000001E-2</v>
      </c>
      <c r="J122" s="61">
        <v>4.4999999999999998E-2</v>
      </c>
      <c r="K122" s="126">
        <v>2.5000000000000001E-2</v>
      </c>
      <c r="L122" s="60">
        <v>0.02</v>
      </c>
      <c r="M122" s="62">
        <v>0.02</v>
      </c>
    </row>
    <row r="123" spans="4:15" ht="15" customHeight="1" x14ac:dyDescent="0.2">
      <c r="D123" s="57"/>
      <c r="E123" s="57"/>
      <c r="J123" s="58"/>
      <c r="K123" s="57"/>
      <c r="M123" s="59"/>
    </row>
    <row r="124" spans="4:15" ht="15" customHeight="1" thickBot="1" x14ac:dyDescent="0.3">
      <c r="D124" s="63" t="s">
        <v>53</v>
      </c>
      <c r="E124" s="63" t="s">
        <v>53</v>
      </c>
      <c r="F124" s="72">
        <v>5.7000000000000002E-3</v>
      </c>
      <c r="G124" s="65">
        <v>3.0842499999999884E-2</v>
      </c>
      <c r="H124" s="65">
        <v>5.6613562499999714E-2</v>
      </c>
      <c r="I124" s="65">
        <v>8.3028901562499646E-2</v>
      </c>
      <c r="J124" s="66">
        <v>0.13176520213281195</v>
      </c>
      <c r="K124" s="127">
        <v>0.16005933218613211</v>
      </c>
      <c r="L124" s="65">
        <v>0.18326051882985483</v>
      </c>
      <c r="M124" s="67">
        <v>0.20692572920645191</v>
      </c>
    </row>
    <row r="125" spans="4:15" ht="15" customHeight="1" x14ac:dyDescent="0.2"/>
    <row r="126" spans="4:15" ht="15" customHeight="1" x14ac:dyDescent="0.2"/>
    <row r="127" spans="4:15" ht="15" customHeight="1" x14ac:dyDescent="0.2"/>
    <row r="128" spans="4:15" ht="15" customHeight="1" x14ac:dyDescent="0.2">
      <c r="E128" s="79" t="s">
        <v>57</v>
      </c>
    </row>
    <row r="129" spans="1:15" ht="15" customHeight="1" thickBot="1" x14ac:dyDescent="0.25">
      <c r="F129" s="80"/>
    </row>
    <row r="130" spans="1:15" ht="15" customHeight="1" x14ac:dyDescent="0.2">
      <c r="D130" s="217" t="s">
        <v>23</v>
      </c>
      <c r="E130" s="85"/>
      <c r="F130" s="34">
        <v>42095</v>
      </c>
      <c r="G130" s="34">
        <v>42461</v>
      </c>
      <c r="H130" s="34">
        <v>42826</v>
      </c>
      <c r="I130" s="34">
        <v>43191</v>
      </c>
      <c r="J130" s="35">
        <v>43556</v>
      </c>
      <c r="K130" s="34">
        <v>43922</v>
      </c>
      <c r="L130" s="34">
        <v>44287</v>
      </c>
      <c r="M130" s="36">
        <v>44652</v>
      </c>
      <c r="N130" s="36">
        <v>45017</v>
      </c>
      <c r="O130" s="36">
        <v>45383</v>
      </c>
    </row>
    <row r="131" spans="1:15" ht="15" customHeight="1" thickBot="1" x14ac:dyDescent="0.25">
      <c r="D131" s="218"/>
      <c r="E131" s="86" t="s">
        <v>23</v>
      </c>
      <c r="F131" s="37" t="s">
        <v>49</v>
      </c>
      <c r="G131" s="37" t="s">
        <v>49</v>
      </c>
      <c r="H131" s="37" t="s">
        <v>49</v>
      </c>
      <c r="I131" s="37" t="s">
        <v>50</v>
      </c>
      <c r="J131" s="38" t="s">
        <v>50</v>
      </c>
      <c r="K131" s="37" t="s">
        <v>50</v>
      </c>
      <c r="L131" s="37" t="s">
        <v>50</v>
      </c>
      <c r="M131" s="39" t="s">
        <v>50</v>
      </c>
      <c r="N131" s="39" t="s">
        <v>50</v>
      </c>
      <c r="O131" s="39" t="s">
        <v>50</v>
      </c>
    </row>
    <row r="132" spans="1:15" ht="15" customHeight="1" thickBot="1" x14ac:dyDescent="0.25">
      <c r="D132" s="220"/>
      <c r="E132" s="86"/>
      <c r="F132" s="81">
        <v>42460</v>
      </c>
      <c r="G132" s="81">
        <v>42825</v>
      </c>
      <c r="H132" s="81">
        <v>43190</v>
      </c>
      <c r="I132" s="81">
        <v>43555</v>
      </c>
      <c r="J132" s="82">
        <v>43921</v>
      </c>
      <c r="K132" s="81">
        <v>44286</v>
      </c>
      <c r="L132" s="81">
        <v>44651</v>
      </c>
      <c r="M132" s="83">
        <v>45016</v>
      </c>
      <c r="N132" s="36">
        <v>45382</v>
      </c>
      <c r="O132" s="36">
        <v>45747</v>
      </c>
    </row>
    <row r="133" spans="1:15" ht="15" customHeight="1" x14ac:dyDescent="0.2">
      <c r="A133" s="43"/>
      <c r="D133" s="44">
        <v>1</v>
      </c>
      <c r="E133" s="44">
        <v>1</v>
      </c>
      <c r="F133" s="45">
        <v>55189.074999999997</v>
      </c>
      <c r="G133" s="45">
        <v>56568.80187499999</v>
      </c>
      <c r="H133" s="45">
        <v>57983.021921874984</v>
      </c>
      <c r="I133" s="45">
        <v>59433</v>
      </c>
      <c r="J133" s="46">
        <v>61513.154999999999</v>
      </c>
      <c r="K133" s="47">
        <v>63050.983874999991</v>
      </c>
      <c r="L133" s="47">
        <v>64312.003552499991</v>
      </c>
      <c r="M133" s="48">
        <v>65598.243623549992</v>
      </c>
      <c r="N133" s="48">
        <v>65598.243623549992</v>
      </c>
      <c r="O133" s="48">
        <v>65598.243623549992</v>
      </c>
    </row>
    <row r="134" spans="1:15" ht="15" customHeight="1" x14ac:dyDescent="0.2">
      <c r="D134" s="44">
        <v>2</v>
      </c>
      <c r="E134" s="44">
        <v>2</v>
      </c>
      <c r="F134" s="45">
        <v>57512.749999999993</v>
      </c>
      <c r="G134" s="45">
        <v>58950.568749999984</v>
      </c>
      <c r="H134" s="45">
        <v>60425</v>
      </c>
      <c r="I134" s="45">
        <v>61936</v>
      </c>
      <c r="J134" s="46">
        <v>64103.759999999995</v>
      </c>
      <c r="K134" s="47">
        <v>65706.353999999992</v>
      </c>
      <c r="L134" s="47">
        <v>67021</v>
      </c>
      <c r="M134" s="48">
        <v>68361</v>
      </c>
      <c r="N134" s="48">
        <v>68361</v>
      </c>
      <c r="O134" s="48">
        <v>68361</v>
      </c>
    </row>
    <row r="135" spans="1:15" ht="15" customHeight="1" x14ac:dyDescent="0.2">
      <c r="D135" s="44">
        <v>3</v>
      </c>
      <c r="E135" s="44">
        <v>3</v>
      </c>
      <c r="F135" s="45">
        <v>59932.774999999994</v>
      </c>
      <c r="G135" s="45">
        <v>61431.094374999986</v>
      </c>
      <c r="H135" s="45">
        <v>62966.871734374981</v>
      </c>
      <c r="I135" s="45">
        <v>64541</v>
      </c>
      <c r="J135" s="46">
        <v>66799.934999999998</v>
      </c>
      <c r="K135" s="47">
        <v>68469.933374999993</v>
      </c>
      <c r="L135" s="47">
        <v>69839.332042499998</v>
      </c>
      <c r="M135" s="48">
        <v>71236.118683349996</v>
      </c>
      <c r="N135" s="48">
        <v>71236.118683349996</v>
      </c>
      <c r="O135" s="48">
        <v>71236.118683349996</v>
      </c>
    </row>
    <row r="136" spans="1:15" ht="15" customHeight="1" x14ac:dyDescent="0.2">
      <c r="D136" s="44">
        <v>4</v>
      </c>
      <c r="E136" s="44">
        <v>4</v>
      </c>
      <c r="F136" s="45">
        <v>62456.324999999997</v>
      </c>
      <c r="G136" s="45">
        <v>64017</v>
      </c>
      <c r="H136" s="45">
        <v>65617.424999999988</v>
      </c>
      <c r="I136" s="45">
        <v>67257</v>
      </c>
      <c r="J136" s="46">
        <v>69610.994999999995</v>
      </c>
      <c r="K136" s="47">
        <v>71351.269874999984</v>
      </c>
      <c r="L136" s="47">
        <v>72778.295272499978</v>
      </c>
      <c r="M136" s="48">
        <v>74233.861177949977</v>
      </c>
      <c r="N136" s="48">
        <v>74233.861177949977</v>
      </c>
      <c r="O136" s="48">
        <v>74233.861177949977</v>
      </c>
    </row>
    <row r="137" spans="1:15" ht="15" customHeight="1" x14ac:dyDescent="0.2">
      <c r="D137" s="44">
        <v>5</v>
      </c>
      <c r="E137" s="44">
        <v>5</v>
      </c>
      <c r="F137" s="45">
        <v>65087.499999999993</v>
      </c>
      <c r="G137" s="45">
        <v>66714.687499999985</v>
      </c>
      <c r="H137" s="45">
        <v>68382.554687499985</v>
      </c>
      <c r="I137" s="45">
        <v>70093</v>
      </c>
      <c r="J137" s="46">
        <v>72546.25499999999</v>
      </c>
      <c r="K137" s="47">
        <v>74359.911374999981</v>
      </c>
      <c r="L137" s="47">
        <v>75847.109602499986</v>
      </c>
      <c r="M137" s="48">
        <v>77364.051794549989</v>
      </c>
      <c r="N137" s="48">
        <v>77364.051794549989</v>
      </c>
      <c r="O137" s="48">
        <v>77364.051794549989</v>
      </c>
    </row>
    <row r="138" spans="1:15" ht="15" customHeight="1" x14ac:dyDescent="0.2">
      <c r="D138" s="44">
        <v>6</v>
      </c>
      <c r="E138" s="44">
        <v>6</v>
      </c>
      <c r="F138" s="45">
        <v>67828.349999999991</v>
      </c>
      <c r="G138" s="45">
        <v>69524.058749999982</v>
      </c>
      <c r="H138" s="45">
        <v>71262.160218749981</v>
      </c>
      <c r="I138" s="45">
        <v>73044</v>
      </c>
      <c r="J138" s="46">
        <v>75600.539999999994</v>
      </c>
      <c r="K138" s="47">
        <v>77490.55349999998</v>
      </c>
      <c r="L138" s="47">
        <v>79041</v>
      </c>
      <c r="M138" s="48">
        <v>80621.820000000007</v>
      </c>
      <c r="N138" s="48">
        <v>80621.820000000007</v>
      </c>
      <c r="O138" s="48">
        <v>80621.820000000007</v>
      </c>
    </row>
    <row r="139" spans="1:15" ht="15" customHeight="1" x14ac:dyDescent="0.2">
      <c r="D139" s="44">
        <v>7</v>
      </c>
      <c r="E139" s="44">
        <v>7</v>
      </c>
      <c r="F139" s="45">
        <v>70682.974999999991</v>
      </c>
      <c r="G139" s="45">
        <v>72450.049374999988</v>
      </c>
      <c r="H139" s="45">
        <v>74261.300609374986</v>
      </c>
      <c r="I139" s="45">
        <v>76118</v>
      </c>
      <c r="J139" s="46">
        <v>78782.12999999999</v>
      </c>
      <c r="K139" s="47">
        <v>80751.683249999987</v>
      </c>
      <c r="L139" s="47">
        <v>82366.716914999983</v>
      </c>
      <c r="M139" s="48">
        <v>84014.051253299986</v>
      </c>
      <c r="N139" s="48">
        <v>84014.051253299986</v>
      </c>
      <c r="O139" s="48">
        <v>84014.051253299986</v>
      </c>
    </row>
    <row r="140" spans="1:15" ht="15" customHeight="1" thickBot="1" x14ac:dyDescent="0.25">
      <c r="D140" s="49">
        <v>8</v>
      </c>
      <c r="E140" s="49">
        <v>8</v>
      </c>
      <c r="F140" s="50">
        <v>73660.599999999991</v>
      </c>
      <c r="G140" s="50">
        <v>75503</v>
      </c>
      <c r="H140" s="50">
        <v>77390.574999999997</v>
      </c>
      <c r="I140" s="50">
        <v>79326</v>
      </c>
      <c r="J140" s="51">
        <v>82102.409999999989</v>
      </c>
      <c r="K140" s="47">
        <v>84154.970249999984</v>
      </c>
      <c r="L140" s="47">
        <v>85838.069654999985</v>
      </c>
      <c r="M140" s="48">
        <v>87554.831048099979</v>
      </c>
      <c r="N140" s="48">
        <v>87554.831048099979</v>
      </c>
      <c r="O140" s="48">
        <v>87554.831048099979</v>
      </c>
    </row>
    <row r="141" spans="1:15" ht="15" customHeight="1" x14ac:dyDescent="0.2">
      <c r="D141" s="52">
        <v>9</v>
      </c>
      <c r="E141" s="44">
        <v>9</v>
      </c>
      <c r="F141" s="53">
        <v>76760.2</v>
      </c>
      <c r="G141" s="53">
        <v>78679.204999999987</v>
      </c>
      <c r="H141" s="53">
        <v>80646.185124999975</v>
      </c>
      <c r="I141" s="53">
        <v>82662</v>
      </c>
      <c r="J141" s="54">
        <v>85555.17</v>
      </c>
      <c r="K141" s="47">
        <v>87694.049249999996</v>
      </c>
      <c r="L141" s="47">
        <v>89447.930234999993</v>
      </c>
      <c r="M141" s="48">
        <v>91236.888839699997</v>
      </c>
      <c r="N141" s="48">
        <v>91236.888839699997</v>
      </c>
      <c r="O141" s="48">
        <v>91236.888839699997</v>
      </c>
    </row>
    <row r="142" spans="1:15" ht="15" customHeight="1" x14ac:dyDescent="0.2">
      <c r="D142" s="44">
        <v>10</v>
      </c>
      <c r="E142" s="44">
        <v>10</v>
      </c>
      <c r="F142" s="45">
        <v>79993.049999999988</v>
      </c>
      <c r="G142" s="45">
        <v>81992.876249999987</v>
      </c>
      <c r="H142" s="45">
        <v>84042.698156249986</v>
      </c>
      <c r="I142" s="45">
        <v>86144</v>
      </c>
      <c r="J142" s="46">
        <v>89159.039999999994</v>
      </c>
      <c r="K142" s="47">
        <v>91388.015999999989</v>
      </c>
      <c r="L142" s="47">
        <v>93215.77631999999</v>
      </c>
      <c r="M142" s="48">
        <v>95080.091846399984</v>
      </c>
      <c r="N142" s="48">
        <v>95080.091846399984</v>
      </c>
      <c r="O142" s="48">
        <v>95080.091846399984</v>
      </c>
    </row>
    <row r="143" spans="1:15" ht="15" customHeight="1" x14ac:dyDescent="0.2">
      <c r="D143" s="44">
        <v>11</v>
      </c>
      <c r="E143" s="44">
        <v>11</v>
      </c>
      <c r="F143" s="45">
        <v>83360.174999999988</v>
      </c>
      <c r="G143" s="45">
        <v>85444.179374999978</v>
      </c>
      <c r="H143" s="45">
        <v>87580.283859374977</v>
      </c>
      <c r="I143" s="45">
        <v>89770</v>
      </c>
      <c r="J143" s="46">
        <v>92911.95</v>
      </c>
      <c r="K143" s="47">
        <v>95234.748749999984</v>
      </c>
      <c r="L143" s="47">
        <v>97140</v>
      </c>
      <c r="M143" s="48">
        <v>99082.8</v>
      </c>
      <c r="N143" s="48">
        <v>99082.8</v>
      </c>
      <c r="O143" s="48">
        <v>99082.8</v>
      </c>
    </row>
    <row r="144" spans="1:15" ht="15" customHeight="1" x14ac:dyDescent="0.2">
      <c r="D144" s="44">
        <v>12</v>
      </c>
      <c r="E144" s="44">
        <v>12</v>
      </c>
      <c r="F144" s="45">
        <v>86870.799999999988</v>
      </c>
      <c r="G144" s="45">
        <v>89042.569999999978</v>
      </c>
      <c r="H144" s="45">
        <v>91268.634249999974</v>
      </c>
      <c r="I144" s="45">
        <v>93551</v>
      </c>
      <c r="J144" s="46">
        <v>96825.284999999989</v>
      </c>
      <c r="K144" s="47">
        <v>99245.917124999978</v>
      </c>
      <c r="L144" s="47">
        <v>101230.83546749999</v>
      </c>
      <c r="M144" s="48">
        <v>103256</v>
      </c>
      <c r="N144" s="48">
        <v>103256</v>
      </c>
      <c r="O144" s="48">
        <v>103256</v>
      </c>
    </row>
    <row r="145" spans="4:15" ht="15" customHeight="1" x14ac:dyDescent="0.2">
      <c r="D145" s="44">
        <v>13</v>
      </c>
      <c r="E145" s="44">
        <v>13</v>
      </c>
      <c r="F145" s="45">
        <v>90527.999999999985</v>
      </c>
      <c r="G145" s="45">
        <v>92791.199999999983</v>
      </c>
      <c r="H145" s="45">
        <v>95110.979999999967</v>
      </c>
      <c r="I145" s="45">
        <v>97489</v>
      </c>
      <c r="J145" s="46">
        <v>100901.11499999999</v>
      </c>
      <c r="K145" s="47">
        <v>103423.64287499998</v>
      </c>
      <c r="L145" s="47">
        <v>105492.11573249998</v>
      </c>
      <c r="M145" s="48">
        <v>107601.95804714998</v>
      </c>
      <c r="N145" s="48">
        <v>107601.95804714998</v>
      </c>
      <c r="O145" s="48">
        <v>107601.95804714998</v>
      </c>
    </row>
    <row r="146" spans="4:15" ht="15" customHeight="1" x14ac:dyDescent="0.2">
      <c r="D146" s="44">
        <v>14</v>
      </c>
      <c r="E146" s="44">
        <v>14</v>
      </c>
      <c r="F146" s="45">
        <v>94339.974999999991</v>
      </c>
      <c r="G146" s="45">
        <v>96699</v>
      </c>
      <c r="H146" s="45">
        <v>99116.474999999991</v>
      </c>
      <c r="I146" s="45">
        <v>101594</v>
      </c>
      <c r="J146" s="46">
        <v>105149.79</v>
      </c>
      <c r="K146" s="47">
        <v>107778.53474999998</v>
      </c>
      <c r="L146" s="47">
        <v>109935</v>
      </c>
      <c r="M146" s="48">
        <v>112133.7</v>
      </c>
      <c r="N146" s="48">
        <v>112133.7</v>
      </c>
      <c r="O146" s="48">
        <v>112133.7</v>
      </c>
    </row>
    <row r="147" spans="4:15" ht="15" customHeight="1" x14ac:dyDescent="0.2">
      <c r="D147" s="44">
        <v>15</v>
      </c>
      <c r="E147" s="44">
        <v>15</v>
      </c>
      <c r="F147" s="45">
        <v>98311.849999999991</v>
      </c>
      <c r="G147" s="45">
        <v>100769.64624999998</v>
      </c>
      <c r="H147" s="45">
        <v>103288.88740624997</v>
      </c>
      <c r="I147" s="45">
        <v>105871</v>
      </c>
      <c r="J147" s="46">
        <v>109576.48499999999</v>
      </c>
      <c r="K147" s="47">
        <v>112315</v>
      </c>
      <c r="L147" s="47">
        <v>114561.3</v>
      </c>
      <c r="M147" s="48">
        <v>116852</v>
      </c>
      <c r="N147" s="48">
        <v>116852</v>
      </c>
      <c r="O147" s="48">
        <v>116852</v>
      </c>
    </row>
    <row r="148" spans="4:15" ht="15" customHeight="1" x14ac:dyDescent="0.2">
      <c r="D148" s="44">
        <v>16</v>
      </c>
      <c r="E148" s="44">
        <v>16</v>
      </c>
      <c r="F148" s="45">
        <v>102450.79999999999</v>
      </c>
      <c r="G148" s="45">
        <v>105012.06999999998</v>
      </c>
      <c r="H148" s="45">
        <v>107637.37174999996</v>
      </c>
      <c r="I148" s="45">
        <v>110328</v>
      </c>
      <c r="J148" s="46">
        <v>114189.48</v>
      </c>
      <c r="K148" s="47">
        <v>117044.21699999999</v>
      </c>
      <c r="L148" s="47">
        <v>119385.10133999999</v>
      </c>
      <c r="M148" s="48">
        <v>121772.8033668</v>
      </c>
      <c r="N148" s="48">
        <v>121772.8033668</v>
      </c>
      <c r="O148" s="48">
        <v>121772.8033668</v>
      </c>
    </row>
    <row r="149" spans="4:15" ht="15" customHeight="1" x14ac:dyDescent="0.2">
      <c r="D149" s="44">
        <v>17</v>
      </c>
      <c r="E149" s="44">
        <v>17</v>
      </c>
      <c r="F149" s="45">
        <v>106762.97499999999</v>
      </c>
      <c r="G149" s="45">
        <v>109432.04937499999</v>
      </c>
      <c r="H149" s="45">
        <v>112167.85060937497</v>
      </c>
      <c r="I149" s="45">
        <v>114972</v>
      </c>
      <c r="J149" s="46">
        <v>118996.01999999999</v>
      </c>
      <c r="K149" s="47">
        <v>121970.92049999998</v>
      </c>
      <c r="L149" s="47">
        <v>124410.33890999998</v>
      </c>
      <c r="M149" s="48">
        <v>126898</v>
      </c>
      <c r="N149" s="48">
        <v>126898</v>
      </c>
      <c r="O149" s="48">
        <v>126898</v>
      </c>
    </row>
    <row r="150" spans="4:15" ht="15" customHeight="1" x14ac:dyDescent="0.2">
      <c r="D150" s="44">
        <v>18</v>
      </c>
      <c r="E150" s="44">
        <v>18</v>
      </c>
      <c r="F150" s="45">
        <v>111259.65</v>
      </c>
      <c r="G150" s="45">
        <v>114042</v>
      </c>
      <c r="H150" s="45">
        <v>116893.04999999999</v>
      </c>
      <c r="I150" s="45">
        <v>119815</v>
      </c>
      <c r="J150" s="46">
        <v>124008.52499999999</v>
      </c>
      <c r="K150" s="47">
        <v>127108.73812499999</v>
      </c>
      <c r="L150" s="47">
        <v>129650.91288749999</v>
      </c>
      <c r="M150" s="48">
        <v>132243.93114524998</v>
      </c>
      <c r="N150" s="48">
        <v>132243.93114524998</v>
      </c>
      <c r="O150" s="48">
        <v>132243.93114524998</v>
      </c>
    </row>
    <row r="151" spans="4:15" ht="15" customHeight="1" x14ac:dyDescent="0.2">
      <c r="D151" s="44"/>
      <c r="E151" s="44">
        <v>18</v>
      </c>
      <c r="F151" s="45">
        <v>111259.65</v>
      </c>
      <c r="G151" s="45">
        <v>114042</v>
      </c>
      <c r="H151" s="45">
        <v>116893.04999999999</v>
      </c>
      <c r="I151" s="45">
        <v>119815</v>
      </c>
      <c r="J151" s="73">
        <v>124008.52499999999</v>
      </c>
      <c r="K151" s="45">
        <v>127108.73812499999</v>
      </c>
      <c r="L151" s="45">
        <v>129650.91288749999</v>
      </c>
      <c r="M151" s="74">
        <v>132243.93114524998</v>
      </c>
      <c r="N151" s="48">
        <v>132243.93114524998</v>
      </c>
      <c r="O151" s="48">
        <v>132243.93114524998</v>
      </c>
    </row>
    <row r="152" spans="4:15" ht="15" customHeight="1" x14ac:dyDescent="0.2">
      <c r="D152" s="55" t="s">
        <v>51</v>
      </c>
      <c r="E152" s="44" t="s">
        <v>51</v>
      </c>
      <c r="F152" s="56">
        <v>127948.59749999999</v>
      </c>
      <c r="G152" s="56">
        <v>131148</v>
      </c>
      <c r="H152" s="56">
        <v>134426.69999999998</v>
      </c>
      <c r="I152" s="56">
        <v>137787.25</v>
      </c>
      <c r="J152" s="46">
        <v>142609.80374999999</v>
      </c>
      <c r="K152" s="47">
        <v>146175.04884374997</v>
      </c>
      <c r="L152" s="47">
        <v>149098.54982062496</v>
      </c>
      <c r="M152" s="48">
        <v>152080.52081703747</v>
      </c>
      <c r="N152" s="48">
        <v>152080.52081703747</v>
      </c>
      <c r="O152" s="48">
        <v>152080.52081703747</v>
      </c>
    </row>
    <row r="153" spans="4:15" ht="15" customHeight="1" x14ac:dyDescent="0.2">
      <c r="D153" s="57"/>
      <c r="E153" s="57"/>
      <c r="J153" s="58"/>
      <c r="M153" s="59"/>
    </row>
    <row r="154" spans="4:15" ht="15" customHeight="1" x14ac:dyDescent="0.2">
      <c r="D154" s="57" t="s">
        <v>52</v>
      </c>
      <c r="E154" s="57" t="s">
        <v>52</v>
      </c>
      <c r="F154" s="60">
        <v>2.5000000000000001E-2</v>
      </c>
      <c r="G154" s="60">
        <v>2.4999999999999876E-2</v>
      </c>
      <c r="H154" s="60">
        <v>2.4999999999999904E-2</v>
      </c>
      <c r="I154" s="60">
        <v>2.4999999999999963E-2</v>
      </c>
      <c r="J154" s="61">
        <v>3.4999999999999962E-2</v>
      </c>
      <c r="K154" s="60">
        <v>2.4999999999999942E-2</v>
      </c>
      <c r="L154" s="60">
        <v>1.9999999999999987E-2</v>
      </c>
      <c r="M154" s="62">
        <v>1.9999999999999959E-2</v>
      </c>
    </row>
    <row r="155" spans="4:15" ht="15" customHeight="1" x14ac:dyDescent="0.2">
      <c r="D155" s="57"/>
      <c r="E155" s="57"/>
      <c r="J155" s="58"/>
      <c r="M155" s="59"/>
    </row>
    <row r="156" spans="4:15" ht="15" customHeight="1" thickBot="1" x14ac:dyDescent="0.25">
      <c r="D156" s="63" t="s">
        <v>53</v>
      </c>
      <c r="E156" s="63" t="s">
        <v>53</v>
      </c>
      <c r="F156" s="64">
        <v>2.5000000000000001E-2</v>
      </c>
      <c r="G156" s="65">
        <v>5.0599999999999999E-2</v>
      </c>
      <c r="H156" s="65">
        <v>7.6899999999999996E-2</v>
      </c>
      <c r="I156" s="65">
        <v>0.1038</v>
      </c>
      <c r="J156" s="66">
        <v>0.1424</v>
      </c>
      <c r="K156" s="65">
        <v>0.17100000000000001</v>
      </c>
      <c r="L156" s="65">
        <v>0.19439999999999999</v>
      </c>
      <c r="M156" s="67">
        <v>0.21829999999999999</v>
      </c>
    </row>
  </sheetData>
  <mergeCells count="5">
    <mergeCell ref="D5:D7"/>
    <mergeCell ref="D36:D38"/>
    <mergeCell ref="D67:D69"/>
    <mergeCell ref="D98:D100"/>
    <mergeCell ref="D130:D132"/>
  </mergeCells>
  <pageMargins left="0.7" right="0.7" top="0.75" bottom="0.75" header="0.3" footer="0.3"/>
  <pageSetup scale="59" orientation="portrait" horizontalDpi="1200" verticalDpi="1200" r:id="rId1"/>
  <rowBreaks count="2" manualBreakCount="2">
    <brk id="63" min="2" max="12" man="1"/>
    <brk id="125" min="2"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8B6F1-AB3E-413B-9815-43C62991CCB3}">
  <dimension ref="A1:O156"/>
  <sheetViews>
    <sheetView topLeftCell="A109" workbookViewId="0">
      <selection activeCell="C24" sqref="C24"/>
    </sheetView>
  </sheetViews>
  <sheetFormatPr baseColWidth="10" defaultColWidth="11.42578125" defaultRowHeight="15" x14ac:dyDescent="0.25"/>
  <cols>
    <col min="1" max="1" width="12.5703125" style="31" bestFit="1" customWidth="1"/>
    <col min="2" max="2" width="16.140625" style="84" bestFit="1" customWidth="1"/>
    <col min="3" max="3" width="11.42578125" style="31"/>
    <col min="4" max="4" width="14.5703125" style="31" hidden="1" customWidth="1"/>
    <col min="5" max="5" width="14.5703125" style="31" customWidth="1"/>
    <col min="6" max="9" width="14.42578125" style="31" bestFit="1" customWidth="1"/>
    <col min="10" max="13" width="14.85546875" style="31" bestFit="1" customWidth="1"/>
    <col min="14" max="16384" width="11.42578125" style="31"/>
  </cols>
  <sheetData>
    <row r="1" spans="1:15" ht="15" customHeight="1" x14ac:dyDescent="0.25">
      <c r="E1" s="32" t="s">
        <v>58</v>
      </c>
    </row>
    <row r="2" spans="1:15" ht="15" customHeight="1" x14ac:dyDescent="0.25"/>
    <row r="3" spans="1:15" ht="15" customHeight="1" x14ac:dyDescent="0.25">
      <c r="E3" s="33" t="s">
        <v>48</v>
      </c>
    </row>
    <row r="4" spans="1:15" ht="15" customHeight="1" thickBot="1" x14ac:dyDescent="0.3"/>
    <row r="5" spans="1:15" ht="15" customHeight="1" x14ac:dyDescent="0.25">
      <c r="D5" s="217" t="s">
        <v>23</v>
      </c>
      <c r="E5" s="85"/>
      <c r="F5" s="34">
        <v>42095</v>
      </c>
      <c r="G5" s="34">
        <v>42461</v>
      </c>
      <c r="H5" s="34">
        <v>42826</v>
      </c>
      <c r="I5" s="34">
        <v>43191</v>
      </c>
      <c r="J5" s="35">
        <v>43556</v>
      </c>
      <c r="K5" s="34">
        <v>43922</v>
      </c>
      <c r="L5" s="34">
        <v>44287</v>
      </c>
      <c r="M5" s="36">
        <v>44652</v>
      </c>
      <c r="N5" s="36">
        <f>DATE(YEAR(M5)+1,MONTH(M5),DAY(M5))</f>
        <v>45017</v>
      </c>
      <c r="O5" s="36">
        <f>DATE(YEAR(N5)+1,MONTH(N5),DAY(N5))</f>
        <v>45383</v>
      </c>
    </row>
    <row r="6" spans="1:15" ht="15" customHeight="1" thickBot="1" x14ac:dyDescent="0.3">
      <c r="D6" s="218"/>
      <c r="E6" s="86" t="str">
        <f>D5</f>
        <v>Échelon</v>
      </c>
      <c r="F6" s="37" t="s">
        <v>49</v>
      </c>
      <c r="G6" s="37" t="s">
        <v>49</v>
      </c>
      <c r="H6" s="37" t="s">
        <v>49</v>
      </c>
      <c r="I6" s="37" t="s">
        <v>50</v>
      </c>
      <c r="J6" s="38" t="s">
        <v>50</v>
      </c>
      <c r="K6" s="37" t="s">
        <v>50</v>
      </c>
      <c r="L6" s="37" t="s">
        <v>50</v>
      </c>
      <c r="M6" s="39" t="s">
        <v>50</v>
      </c>
      <c r="N6" s="39" t="str">
        <f>M6</f>
        <v xml:space="preserve">au </v>
      </c>
      <c r="O6" s="39" t="str">
        <f>N6</f>
        <v xml:space="preserve">au </v>
      </c>
    </row>
    <row r="7" spans="1:15" ht="15" customHeight="1" x14ac:dyDescent="0.25">
      <c r="D7" s="219"/>
      <c r="E7" s="86"/>
      <c r="F7" s="40">
        <v>42460</v>
      </c>
      <c r="G7" s="40">
        <v>42825</v>
      </c>
      <c r="H7" s="40">
        <v>43190</v>
      </c>
      <c r="I7" s="40">
        <v>43555</v>
      </c>
      <c r="J7" s="41">
        <v>43921</v>
      </c>
      <c r="K7" s="40">
        <v>44286</v>
      </c>
      <c r="L7" s="40">
        <v>44651</v>
      </c>
      <c r="M7" s="42">
        <v>45016</v>
      </c>
      <c r="N7" s="36">
        <f>DATE(YEAR(M7)+1,MONTH(M7),DAY(M7))</f>
        <v>45382</v>
      </c>
      <c r="O7" s="36">
        <f>DATE(YEAR(N7)+1,MONTH(N7),DAY(N7))</f>
        <v>45747</v>
      </c>
    </row>
    <row r="8" spans="1:15" ht="15" customHeight="1" x14ac:dyDescent="0.25">
      <c r="A8" s="43"/>
      <c r="D8" s="44">
        <v>1</v>
      </c>
      <c r="E8" s="44">
        <f>D8</f>
        <v>1</v>
      </c>
      <c r="F8" s="45">
        <f>37.5/35*'35h'!F8</f>
        <v>57688.928571428572</v>
      </c>
      <c r="G8" s="45">
        <f>37.5/35*'35h'!G8</f>
        <v>58554.642857142855</v>
      </c>
      <c r="H8" s="45">
        <f>37.5/35*'35h'!H8</f>
        <v>59578.928571428572</v>
      </c>
      <c r="I8" s="45">
        <f>37.5/35*'35h'!I8</f>
        <v>60770.357142857138</v>
      </c>
      <c r="J8" s="46">
        <f>37.5/35*'35h'!J8</f>
        <v>60770.357142857138</v>
      </c>
      <c r="K8" s="47">
        <f>37.5/35*'35h'!K8</f>
        <v>61985.357142857138</v>
      </c>
      <c r="L8" s="47">
        <f>37.5/35*'35h'!L8</f>
        <v>63225</v>
      </c>
      <c r="M8" s="48">
        <f>37.5/35*'35h'!M8</f>
        <v>64489.28571428571</v>
      </c>
      <c r="N8" s="48">
        <f>M8</f>
        <v>64489.28571428571</v>
      </c>
      <c r="O8" s="48">
        <f>N8</f>
        <v>64489.28571428571</v>
      </c>
    </row>
    <row r="9" spans="1:15" ht="15" customHeight="1" x14ac:dyDescent="0.25">
      <c r="D9" s="44">
        <v>2</v>
      </c>
      <c r="E9" s="44">
        <f t="shared" ref="E9:E25" si="0">D9</f>
        <v>2</v>
      </c>
      <c r="F9" s="45">
        <f>37.5/35*'35h'!F9</f>
        <v>60117.857142857138</v>
      </c>
      <c r="G9" s="45">
        <f>37.5/35*'35h'!G9</f>
        <v>61020</v>
      </c>
      <c r="H9" s="45">
        <f>37.5/35*'35h'!H9</f>
        <v>62088.214285714283</v>
      </c>
      <c r="I9" s="45">
        <f>37.5/35*'35h'!I9</f>
        <v>63330</v>
      </c>
      <c r="J9" s="46">
        <f>37.5/35*'35h'!J9</f>
        <v>63330</v>
      </c>
      <c r="K9" s="47">
        <f>37.5/35*'35h'!K9</f>
        <v>64596.428571428572</v>
      </c>
      <c r="L9" s="47">
        <f>37.5/35*'35h'!L9</f>
        <v>65888.57142857142</v>
      </c>
      <c r="M9" s="48">
        <f>37.5/35*'35h'!M9</f>
        <v>67206.428571428565</v>
      </c>
      <c r="N9" s="48">
        <f t="shared" ref="N9:O24" si="1">M9</f>
        <v>67206.428571428565</v>
      </c>
      <c r="O9" s="48">
        <f t="shared" si="1"/>
        <v>67206.428571428565</v>
      </c>
    </row>
    <row r="10" spans="1:15" ht="15" customHeight="1" x14ac:dyDescent="0.25">
      <c r="D10" s="44">
        <v>3</v>
      </c>
      <c r="E10" s="44">
        <f t="shared" si="0"/>
        <v>3</v>
      </c>
      <c r="F10" s="45">
        <f>37.5/35*'35h'!F10</f>
        <v>62647.5</v>
      </c>
      <c r="G10" s="45">
        <f>37.5/35*'35h'!G10</f>
        <v>63587.142857142855</v>
      </c>
      <c r="H10" s="45">
        <f>37.5/35*'35h'!H10</f>
        <v>64700.357142857138</v>
      </c>
      <c r="I10" s="45">
        <f>37.5/35*'35h'!I10</f>
        <v>65994.642857142855</v>
      </c>
      <c r="J10" s="46">
        <f>37.5/35*'35h'!J10</f>
        <v>65994.642857142855</v>
      </c>
      <c r="K10" s="47">
        <f>37.5/35*'35h'!K10</f>
        <v>67314.642857142855</v>
      </c>
      <c r="L10" s="47">
        <f>37.5/35*'35h'!L10</f>
        <v>68661.428571428565</v>
      </c>
      <c r="M10" s="48">
        <f>37.5/35*'35h'!M10</f>
        <v>70035</v>
      </c>
      <c r="N10" s="48">
        <f t="shared" si="1"/>
        <v>70035</v>
      </c>
      <c r="O10" s="48">
        <f t="shared" si="1"/>
        <v>70035</v>
      </c>
    </row>
    <row r="11" spans="1:15" ht="15" customHeight="1" x14ac:dyDescent="0.25">
      <c r="D11" s="44">
        <v>4</v>
      </c>
      <c r="E11" s="44">
        <f t="shared" si="0"/>
        <v>4</v>
      </c>
      <c r="F11" s="45">
        <f>37.5/35*'35h'!F11</f>
        <v>65285.357142857138</v>
      </c>
      <c r="G11" s="45">
        <f>37.5/35*'35h'!G11</f>
        <v>66264.642857142855</v>
      </c>
      <c r="H11" s="45">
        <f>37.5/35*'35h'!H11</f>
        <v>67423.928571428565</v>
      </c>
      <c r="I11" s="45">
        <f>37.5/35*'35h'!I11</f>
        <v>68772.857142857145</v>
      </c>
      <c r="J11" s="46">
        <f>37.5/35*'35h'!J11</f>
        <v>68772.857142857145</v>
      </c>
      <c r="K11" s="47">
        <f>37.5/35*'35h'!K11</f>
        <v>70148.57142857142</v>
      </c>
      <c r="L11" s="47">
        <f>37.5/35*'35h'!L11</f>
        <v>71551.07142857142</v>
      </c>
      <c r="M11" s="48">
        <f>37.5/35*'35h'!M11</f>
        <v>72982.5</v>
      </c>
      <c r="N11" s="48">
        <f t="shared" si="1"/>
        <v>72982.5</v>
      </c>
      <c r="O11" s="48">
        <f t="shared" si="1"/>
        <v>72982.5</v>
      </c>
    </row>
    <row r="12" spans="1:15" ht="15" customHeight="1" x14ac:dyDescent="0.25">
      <c r="D12" s="44">
        <v>5</v>
      </c>
      <c r="E12" s="44">
        <f t="shared" si="0"/>
        <v>5</v>
      </c>
      <c r="F12" s="45">
        <f>37.5/35*'35h'!F12</f>
        <v>68035.71428571429</v>
      </c>
      <c r="G12" s="45">
        <f>37.5/35*'35h'!G12</f>
        <v>69056.78571428571</v>
      </c>
      <c r="H12" s="45">
        <f>37.5/35*'35h'!H12</f>
        <v>70265.357142857145</v>
      </c>
      <c r="I12" s="45">
        <f>37.5/35*'35h'!I12</f>
        <v>71671.07142857142</v>
      </c>
      <c r="J12" s="46">
        <f>37.5/35*'35h'!J12</f>
        <v>71671.07142857142</v>
      </c>
      <c r="K12" s="47">
        <f>37.5/35*'35h'!K12</f>
        <v>73104.642857142855</v>
      </c>
      <c r="L12" s="47">
        <f>37.5/35*'35h'!L12</f>
        <v>74567.142857142855</v>
      </c>
      <c r="M12" s="48">
        <f>37.5/35*'35h'!M12</f>
        <v>76058.57142857142</v>
      </c>
      <c r="N12" s="48">
        <f t="shared" si="1"/>
        <v>76058.57142857142</v>
      </c>
      <c r="O12" s="48">
        <f t="shared" si="1"/>
        <v>76058.57142857142</v>
      </c>
    </row>
    <row r="13" spans="1:15" ht="15" customHeight="1" x14ac:dyDescent="0.25">
      <c r="D13" s="44">
        <v>6</v>
      </c>
      <c r="E13" s="44">
        <f t="shared" si="0"/>
        <v>6</v>
      </c>
      <c r="F13" s="45">
        <f>37.5/35*'35h'!F13</f>
        <v>70900.71428571429</v>
      </c>
      <c r="G13" s="45">
        <f>37.5/35*'35h'!G13</f>
        <v>71964.642857142855</v>
      </c>
      <c r="H13" s="45">
        <f>37.5/35*'35h'!H13</f>
        <v>73223.57142857142</v>
      </c>
      <c r="I13" s="45">
        <f>37.5/35*'35h'!I13</f>
        <v>74688.21428571429</v>
      </c>
      <c r="J13" s="46">
        <f>37.5/35*'35h'!J13</f>
        <v>74688.21428571429</v>
      </c>
      <c r="K13" s="47">
        <f>37.5/35*'35h'!K13</f>
        <v>76181.78571428571</v>
      </c>
      <c r="L13" s="47">
        <f>37.5/35*'35h'!L13</f>
        <v>77705.357142857145</v>
      </c>
      <c r="M13" s="48">
        <f>37.5/35*'35h'!M13</f>
        <v>79260</v>
      </c>
      <c r="N13" s="48">
        <f t="shared" si="1"/>
        <v>79260</v>
      </c>
      <c r="O13" s="48">
        <f t="shared" si="1"/>
        <v>79260</v>
      </c>
    </row>
    <row r="14" spans="1:15" ht="15" customHeight="1" x14ac:dyDescent="0.25">
      <c r="D14" s="44">
        <v>7</v>
      </c>
      <c r="E14" s="44">
        <f t="shared" si="0"/>
        <v>7</v>
      </c>
      <c r="F14" s="45">
        <f>37.5/35*'35h'!F14</f>
        <v>73884.642857142855</v>
      </c>
      <c r="G14" s="45">
        <f>37.5/35*'35h'!G14</f>
        <v>74992.5</v>
      </c>
      <c r="H14" s="45">
        <f>37.5/35*'35h'!H14</f>
        <v>76305</v>
      </c>
      <c r="I14" s="45">
        <f>37.5/35*'35h'!I14</f>
        <v>77830.71428571429</v>
      </c>
      <c r="J14" s="46">
        <f>37.5/35*'35h'!J14</f>
        <v>77830.71428571429</v>
      </c>
      <c r="K14" s="47">
        <f>37.5/35*'35h'!K14</f>
        <v>79387.5</v>
      </c>
      <c r="L14" s="47">
        <f>37.5/35*'35h'!L14</f>
        <v>80975.357142857145</v>
      </c>
      <c r="M14" s="48">
        <f>37.5/35*'35h'!M14</f>
        <v>82595.357142857145</v>
      </c>
      <c r="N14" s="48">
        <f t="shared" si="1"/>
        <v>82595.357142857145</v>
      </c>
      <c r="O14" s="48">
        <f t="shared" si="1"/>
        <v>82595.357142857145</v>
      </c>
    </row>
    <row r="15" spans="1:15" ht="15" customHeight="1" thickBot="1" x14ac:dyDescent="0.3">
      <c r="D15" s="49">
        <v>8</v>
      </c>
      <c r="E15" s="49">
        <f t="shared" si="0"/>
        <v>8</v>
      </c>
      <c r="F15" s="50">
        <f>37.5/35*'35h'!F15</f>
        <v>76997.142857142855</v>
      </c>
      <c r="G15" s="50">
        <f>37.5/35*'35h'!G15</f>
        <v>78152.142857142855</v>
      </c>
      <c r="H15" s="50">
        <f>37.5/35*'35h'!H15</f>
        <v>79519.28571428571</v>
      </c>
      <c r="I15" s="50">
        <f>37.5/35*'35h'!I15</f>
        <v>81109.28571428571</v>
      </c>
      <c r="J15" s="51">
        <f>37.5/35*'35h'!J15</f>
        <v>81109.28571428571</v>
      </c>
      <c r="K15" s="47">
        <f>37.5/35*'35h'!K15</f>
        <v>82731.428571428565</v>
      </c>
      <c r="L15" s="47">
        <f>37.5/35*'35h'!L15</f>
        <v>84385.71428571429</v>
      </c>
      <c r="M15" s="48">
        <f>37.5/35*'35h'!M15</f>
        <v>86073.21428571429</v>
      </c>
      <c r="N15" s="48">
        <f t="shared" si="1"/>
        <v>86073.21428571429</v>
      </c>
      <c r="O15" s="48">
        <f t="shared" si="1"/>
        <v>86073.21428571429</v>
      </c>
    </row>
    <row r="16" spans="1:15" ht="15" customHeight="1" x14ac:dyDescent="0.25">
      <c r="D16" s="52">
        <v>9</v>
      </c>
      <c r="E16" s="44">
        <f t="shared" si="0"/>
        <v>9</v>
      </c>
      <c r="F16" s="53">
        <f>37.5/35*'35h'!F16</f>
        <v>80237.142857142855</v>
      </c>
      <c r="G16" s="53">
        <f>37.5/35*'35h'!G16</f>
        <v>81440.357142857145</v>
      </c>
      <c r="H16" s="53">
        <f>37.5/35*'35h'!H16</f>
        <v>82865.357142857145</v>
      </c>
      <c r="I16" s="53">
        <f>37.5/35*'35h'!I16</f>
        <v>84522.857142857145</v>
      </c>
      <c r="J16" s="54">
        <f>37.5/35*'35h'!J16</f>
        <v>84522.857142857145</v>
      </c>
      <c r="K16" s="47">
        <f>37.5/35*'35h'!K16</f>
        <v>86213.57142857142</v>
      </c>
      <c r="L16" s="47">
        <f>37.5/35*'35h'!L16</f>
        <v>87937.5</v>
      </c>
      <c r="M16" s="48">
        <f>37.5/35*'35h'!M16</f>
        <v>89696.78571428571</v>
      </c>
      <c r="N16" s="48">
        <f t="shared" si="1"/>
        <v>89696.78571428571</v>
      </c>
      <c r="O16" s="48">
        <f t="shared" si="1"/>
        <v>89696.78571428571</v>
      </c>
    </row>
    <row r="17" spans="4:15" ht="15" customHeight="1" x14ac:dyDescent="0.25">
      <c r="D17" s="44">
        <v>10</v>
      </c>
      <c r="E17" s="44">
        <f t="shared" si="0"/>
        <v>10</v>
      </c>
      <c r="F17" s="45">
        <f>37.5/35*'35h'!F17</f>
        <v>83616.428571428565</v>
      </c>
      <c r="G17" s="45">
        <f>37.5/35*'35h'!G17</f>
        <v>84871.07142857142</v>
      </c>
      <c r="H17" s="45">
        <f>37.5/35*'35h'!H17</f>
        <v>86356.07142857142</v>
      </c>
      <c r="I17" s="45">
        <f>37.5/35*'35h'!I17</f>
        <v>88083.21428571429</v>
      </c>
      <c r="J17" s="46">
        <f>37.5/35*'35h'!J17</f>
        <v>88083.21428571429</v>
      </c>
      <c r="K17" s="47">
        <f>37.5/35*'35h'!K17</f>
        <v>89844.642857142855</v>
      </c>
      <c r="L17" s="47">
        <f>37.5/35*'35h'!L17</f>
        <v>91641.428571428565</v>
      </c>
      <c r="M17" s="48">
        <f>37.5/35*'35h'!M17</f>
        <v>93474.642857142855</v>
      </c>
      <c r="N17" s="48">
        <f t="shared" si="1"/>
        <v>93474.642857142855</v>
      </c>
      <c r="O17" s="48">
        <f t="shared" si="1"/>
        <v>93474.642857142855</v>
      </c>
    </row>
    <row r="18" spans="4:15" ht="15" customHeight="1" x14ac:dyDescent="0.25">
      <c r="D18" s="44">
        <v>11</v>
      </c>
      <c r="E18" s="44">
        <f t="shared" si="0"/>
        <v>11</v>
      </c>
      <c r="F18" s="45">
        <f>37.5/35*'35h'!F18</f>
        <v>87136.07142857142</v>
      </c>
      <c r="G18" s="45">
        <f>37.5/35*'35h'!G18</f>
        <v>88443.21428571429</v>
      </c>
      <c r="H18" s="45">
        <f>37.5/35*'35h'!H18</f>
        <v>89991.428571428565</v>
      </c>
      <c r="I18" s="45">
        <f>37.5/35*'35h'!I18</f>
        <v>91791.428571428565</v>
      </c>
      <c r="J18" s="46">
        <f>37.5/35*'35h'!J18</f>
        <v>91791.428571428565</v>
      </c>
      <c r="K18" s="47">
        <f>37.5/35*'35h'!K18</f>
        <v>93626.78571428571</v>
      </c>
      <c r="L18" s="47">
        <f>37.5/35*'35h'!L18</f>
        <v>95499.642857142855</v>
      </c>
      <c r="M18" s="48">
        <f>37.5/35*'35h'!M18</f>
        <v>97410</v>
      </c>
      <c r="N18" s="48">
        <f t="shared" si="1"/>
        <v>97410</v>
      </c>
      <c r="O18" s="48">
        <f t="shared" si="1"/>
        <v>97410</v>
      </c>
    </row>
    <row r="19" spans="4:15" ht="15" customHeight="1" x14ac:dyDescent="0.25">
      <c r="D19" s="44">
        <v>12</v>
      </c>
      <c r="E19" s="44">
        <f t="shared" si="0"/>
        <v>12</v>
      </c>
      <c r="F19" s="45">
        <f>37.5/35*'35h'!F19</f>
        <v>90805.71428571429</v>
      </c>
      <c r="G19" s="45">
        <f>37.5/35*'35h'!G19</f>
        <v>92167.5</v>
      </c>
      <c r="H19" s="45">
        <f>37.5/35*'35h'!H19</f>
        <v>93780</v>
      </c>
      <c r="I19" s="45">
        <f>37.5/35*'35h'!I19</f>
        <v>95656.07142857142</v>
      </c>
      <c r="J19" s="46">
        <f>37.5/35*'35h'!J19</f>
        <v>95656.07142857142</v>
      </c>
      <c r="K19" s="47">
        <f>37.5/35*'35h'!K19</f>
        <v>97569.642857142855</v>
      </c>
      <c r="L19" s="47">
        <f>37.5/35*'35h'!L19</f>
        <v>99520.71428571429</v>
      </c>
      <c r="M19" s="48">
        <f>37.5/35*'35h'!M19</f>
        <v>101511.42857142857</v>
      </c>
      <c r="N19" s="48">
        <f t="shared" si="1"/>
        <v>101511.42857142857</v>
      </c>
      <c r="O19" s="48">
        <f t="shared" si="1"/>
        <v>101511.42857142857</v>
      </c>
    </row>
    <row r="20" spans="4:15" ht="15" customHeight="1" x14ac:dyDescent="0.25">
      <c r="D20" s="44">
        <v>13</v>
      </c>
      <c r="E20" s="44">
        <f t="shared" si="0"/>
        <v>13</v>
      </c>
      <c r="F20" s="45">
        <f>37.5/35*'35h'!F20</f>
        <v>94628.57142857142</v>
      </c>
      <c r="G20" s="45">
        <f>37.5/35*'35h'!G20</f>
        <v>96048.21428571429</v>
      </c>
      <c r="H20" s="45">
        <f>37.5/35*'35h'!H20</f>
        <v>97729.28571428571</v>
      </c>
      <c r="I20" s="45">
        <f>37.5/35*'35h'!I20</f>
        <v>99683.57142857142</v>
      </c>
      <c r="J20" s="46">
        <f>37.5/35*'35h'!J20</f>
        <v>99683.57142857142</v>
      </c>
      <c r="K20" s="47">
        <f>37.5/35*'35h'!K20</f>
        <v>101677.5</v>
      </c>
      <c r="L20" s="47">
        <f>37.5/35*'35h'!L20</f>
        <v>103711.07142857142</v>
      </c>
      <c r="M20" s="48">
        <f>37.5/35*'35h'!M20</f>
        <v>105785.35714285714</v>
      </c>
      <c r="N20" s="48">
        <f t="shared" si="1"/>
        <v>105785.35714285714</v>
      </c>
      <c r="O20" s="48">
        <f t="shared" si="1"/>
        <v>105785.35714285714</v>
      </c>
    </row>
    <row r="21" spans="4:15" ht="15" customHeight="1" x14ac:dyDescent="0.25">
      <c r="D21" s="44">
        <v>14</v>
      </c>
      <c r="E21" s="44">
        <f t="shared" si="0"/>
        <v>14</v>
      </c>
      <c r="F21" s="45">
        <f>37.5/35*'35h'!F21</f>
        <v>98613.21428571429</v>
      </c>
      <c r="G21" s="45">
        <f>37.5/35*'35h'!G21</f>
        <v>100092.85714285714</v>
      </c>
      <c r="H21" s="45">
        <f>37.5/35*'35h'!H21</f>
        <v>101844.64285714286</v>
      </c>
      <c r="I21" s="45">
        <f>37.5/35*'35h'!I21</f>
        <v>103881.42857142857</v>
      </c>
      <c r="J21" s="46">
        <f>37.5/35*'35h'!J21</f>
        <v>103881.42857142857</v>
      </c>
      <c r="K21" s="47">
        <f>37.5/35*'35h'!K21</f>
        <v>105958.92857142857</v>
      </c>
      <c r="L21" s="47">
        <f>37.5/35*'35h'!L21</f>
        <v>108078.21428571428</v>
      </c>
      <c r="M21" s="48">
        <f>37.5/35*'35h'!M21</f>
        <v>110239.28571428571</v>
      </c>
      <c r="N21" s="48">
        <f t="shared" si="1"/>
        <v>110239.28571428571</v>
      </c>
      <c r="O21" s="48">
        <f t="shared" si="1"/>
        <v>110239.28571428571</v>
      </c>
    </row>
    <row r="22" spans="4:15" ht="15" customHeight="1" x14ac:dyDescent="0.25">
      <c r="D22" s="44">
        <v>15</v>
      </c>
      <c r="E22" s="44">
        <f t="shared" si="0"/>
        <v>15</v>
      </c>
      <c r="F22" s="45">
        <f>37.5/35*'35h'!F22</f>
        <v>102765</v>
      </c>
      <c r="G22" s="45">
        <f>37.5/35*'35h'!G22</f>
        <v>104306.78571428571</v>
      </c>
      <c r="H22" s="45">
        <f>37.5/35*'35h'!H22</f>
        <v>106132.5</v>
      </c>
      <c r="I22" s="45">
        <f>37.5/35*'35h'!I22</f>
        <v>108255</v>
      </c>
      <c r="J22" s="46">
        <f>37.5/35*'35h'!J22</f>
        <v>108255</v>
      </c>
      <c r="K22" s="47">
        <f>37.5/35*'35h'!K22</f>
        <v>110420.35714285714</v>
      </c>
      <c r="L22" s="47">
        <f>37.5/35*'35h'!L22</f>
        <v>112628.57142857142</v>
      </c>
      <c r="M22" s="48">
        <f>37.5/35*'35h'!M22</f>
        <v>114880.71428571428</v>
      </c>
      <c r="N22" s="48">
        <f t="shared" si="1"/>
        <v>114880.71428571428</v>
      </c>
      <c r="O22" s="48">
        <f t="shared" si="1"/>
        <v>114880.71428571428</v>
      </c>
    </row>
    <row r="23" spans="4:15" ht="15" customHeight="1" x14ac:dyDescent="0.25">
      <c r="D23" s="44">
        <v>16</v>
      </c>
      <c r="E23" s="44">
        <f t="shared" si="0"/>
        <v>16</v>
      </c>
      <c r="F23" s="45">
        <f>37.5/35*'35h'!F23</f>
        <v>107091.42857142857</v>
      </c>
      <c r="G23" s="45">
        <f>37.5/35*'35h'!G23</f>
        <v>108697.5</v>
      </c>
      <c r="H23" s="45">
        <f>37.5/35*'35h'!H23</f>
        <v>110599.28571428571</v>
      </c>
      <c r="I23" s="45">
        <f>37.5/35*'35h'!I23</f>
        <v>112811.78571428571</v>
      </c>
      <c r="J23" s="46">
        <f>37.5/35*'35h'!J23</f>
        <v>112811.78571428571</v>
      </c>
      <c r="K23" s="47">
        <f>37.5/35*'35h'!K23</f>
        <v>115068.21428571428</v>
      </c>
      <c r="L23" s="47">
        <f>37.5/35*'35h'!L23</f>
        <v>117369.64285714286</v>
      </c>
      <c r="M23" s="48">
        <f>37.5/35*'35h'!M23</f>
        <v>119717.14285714286</v>
      </c>
      <c r="N23" s="48">
        <f t="shared" si="1"/>
        <v>119717.14285714286</v>
      </c>
      <c r="O23" s="48">
        <f t="shared" si="1"/>
        <v>119717.14285714286</v>
      </c>
    </row>
    <row r="24" spans="4:15" ht="15" customHeight="1" x14ac:dyDescent="0.25">
      <c r="D24" s="44">
        <v>17</v>
      </c>
      <c r="E24" s="44">
        <f t="shared" si="0"/>
        <v>17</v>
      </c>
      <c r="F24" s="45">
        <f>37.5/35*'35h'!F24</f>
        <v>111598.92857142857</v>
      </c>
      <c r="G24" s="45">
        <f>37.5/35*'35h'!G24</f>
        <v>113272.5</v>
      </c>
      <c r="H24" s="45">
        <f>37.5/35*'35h'!H24</f>
        <v>115254.64285714286</v>
      </c>
      <c r="I24" s="45">
        <f>37.5/35*'35h'!I24</f>
        <v>117559.28571428571</v>
      </c>
      <c r="J24" s="46">
        <f>37.5/35*'35h'!J24</f>
        <v>117559.28571428571</v>
      </c>
      <c r="K24" s="47">
        <f>37.5/35*'35h'!K24</f>
        <v>119910</v>
      </c>
      <c r="L24" s="47">
        <f>37.5/35*'35h'!L24</f>
        <v>122307.85714285714</v>
      </c>
      <c r="M24" s="48">
        <f>37.5/35*'35h'!M24</f>
        <v>124753.92857142857</v>
      </c>
      <c r="N24" s="48">
        <f t="shared" si="1"/>
        <v>124753.92857142857</v>
      </c>
      <c r="O24" s="48">
        <f t="shared" si="1"/>
        <v>124753.92857142857</v>
      </c>
    </row>
    <row r="25" spans="4:15" ht="15" customHeight="1" x14ac:dyDescent="0.25">
      <c r="D25" s="44">
        <v>18</v>
      </c>
      <c r="E25" s="44">
        <f t="shared" si="0"/>
        <v>18</v>
      </c>
      <c r="F25" s="45">
        <f>37.5/35*'35h'!F25</f>
        <v>116299.28571428571</v>
      </c>
      <c r="G25" s="45">
        <f>37.5/35*'35h'!G25</f>
        <v>118043.57142857142</v>
      </c>
      <c r="H25" s="45">
        <f>37.5/35*'35h'!H25</f>
        <v>120109.28571428571</v>
      </c>
      <c r="I25" s="45">
        <f>37.5/35*'35h'!I25</f>
        <v>122511.42857142857</v>
      </c>
      <c r="J25" s="46">
        <f>37.5/35*'35h'!J25</f>
        <v>122511.42857142857</v>
      </c>
      <c r="K25" s="47">
        <f>37.5/35*'35h'!K25</f>
        <v>124961.78571428571</v>
      </c>
      <c r="L25" s="47">
        <f>37.5/35*'35h'!L25</f>
        <v>127461.42857142857</v>
      </c>
      <c r="M25" s="48">
        <f>37.5/35*'35h'!M25</f>
        <v>130010.35714285714</v>
      </c>
      <c r="N25" s="48">
        <f t="shared" ref="N25:O27" si="2">M25</f>
        <v>130010.35714285714</v>
      </c>
      <c r="O25" s="48">
        <f t="shared" si="2"/>
        <v>130010.35714285714</v>
      </c>
    </row>
    <row r="26" spans="4:15" ht="15" customHeight="1" x14ac:dyDescent="0.25">
      <c r="D26" s="44">
        <v>19</v>
      </c>
      <c r="E26" s="44">
        <v>18</v>
      </c>
      <c r="F26" s="45">
        <f>F25</f>
        <v>116299.28571428571</v>
      </c>
      <c r="G26" s="45">
        <f t="shared" ref="G26:M26" si="3">G25</f>
        <v>118043.57142857142</v>
      </c>
      <c r="H26" s="45">
        <f t="shared" si="3"/>
        <v>120109.28571428571</v>
      </c>
      <c r="I26" s="45">
        <f t="shared" si="3"/>
        <v>122511.42857142857</v>
      </c>
      <c r="J26" s="46">
        <f t="shared" si="3"/>
        <v>122511.42857142857</v>
      </c>
      <c r="K26" s="47">
        <f t="shared" si="3"/>
        <v>124961.78571428571</v>
      </c>
      <c r="L26" s="47">
        <f t="shared" si="3"/>
        <v>127461.42857142857</v>
      </c>
      <c r="M26" s="48">
        <f t="shared" si="3"/>
        <v>130010.35714285714</v>
      </c>
      <c r="N26" s="48">
        <f t="shared" si="2"/>
        <v>130010.35714285714</v>
      </c>
      <c r="O26" s="48">
        <f t="shared" si="2"/>
        <v>130010.35714285714</v>
      </c>
    </row>
    <row r="27" spans="4:15" ht="15" customHeight="1" x14ac:dyDescent="0.25">
      <c r="D27" s="55">
        <v>20</v>
      </c>
      <c r="E27" s="44" t="s">
        <v>51</v>
      </c>
      <c r="F27" s="56">
        <f>37.5/35*'35h'!F27</f>
        <v>133744.28571428571</v>
      </c>
      <c r="G27" s="56">
        <f>37.5/35*'35h'!G27</f>
        <v>135750</v>
      </c>
      <c r="H27" s="56">
        <f>37.5/35*'35h'!H27</f>
        <v>138125.35714285713</v>
      </c>
      <c r="I27" s="56">
        <f>37.5/35*'35h'!I27</f>
        <v>140888.57142857142</v>
      </c>
      <c r="J27" s="46">
        <f>37.5/35*'35h'!J27</f>
        <v>140888.57142857142</v>
      </c>
      <c r="K27" s="47">
        <f>37.5/35*'35h'!K27</f>
        <v>143706.42857142858</v>
      </c>
      <c r="L27" s="47">
        <f>37.5/35*'35h'!L27</f>
        <v>146581.07142857142</v>
      </c>
      <c r="M27" s="48">
        <f>37.5/35*'35h'!M27</f>
        <v>149511.42857142858</v>
      </c>
      <c r="N27" s="48">
        <f t="shared" si="2"/>
        <v>149511.42857142858</v>
      </c>
      <c r="O27" s="48">
        <f t="shared" si="2"/>
        <v>149511.42857142858</v>
      </c>
    </row>
    <row r="28" spans="4:15" ht="15" customHeight="1" x14ac:dyDescent="0.25">
      <c r="D28" s="57"/>
      <c r="E28" s="57"/>
      <c r="J28" s="58"/>
      <c r="M28" s="59"/>
      <c r="N28" s="59"/>
      <c r="O28" s="59"/>
    </row>
    <row r="29" spans="4:15" ht="15" customHeight="1" x14ac:dyDescent="0.25">
      <c r="D29" s="57" t="s">
        <v>52</v>
      </c>
      <c r="E29" s="57" t="s">
        <v>52</v>
      </c>
      <c r="F29" s="60">
        <v>0</v>
      </c>
      <c r="G29" s="60">
        <v>1.5006593243318538E-2</v>
      </c>
      <c r="H29" s="60">
        <v>1.7492818063713382E-2</v>
      </c>
      <c r="I29" s="60">
        <v>1.9997482331361161E-2</v>
      </c>
      <c r="J29" s="61">
        <v>0</v>
      </c>
      <c r="K29" s="60">
        <v>0.02</v>
      </c>
      <c r="L29" s="60">
        <v>0.02</v>
      </c>
      <c r="M29" s="62">
        <v>0.02</v>
      </c>
      <c r="N29" s="62"/>
      <c r="O29" s="62"/>
    </row>
    <row r="30" spans="4:15" ht="15" customHeight="1" x14ac:dyDescent="0.25">
      <c r="D30" s="57"/>
      <c r="E30" s="57"/>
      <c r="J30" s="58"/>
      <c r="M30" s="59"/>
      <c r="N30" s="59"/>
      <c r="O30" s="59"/>
    </row>
    <row r="31" spans="4:15" ht="15" customHeight="1" thickBot="1" x14ac:dyDescent="0.3">
      <c r="D31" s="63" t="s">
        <v>53</v>
      </c>
      <c r="E31" s="63" t="s">
        <v>53</v>
      </c>
      <c r="F31" s="64"/>
      <c r="G31" s="65">
        <v>1.4999999999999999E-2</v>
      </c>
      <c r="H31" s="65">
        <v>3.2800000000000003E-2</v>
      </c>
      <c r="I31" s="65">
        <v>5.3400000000000003E-2</v>
      </c>
      <c r="J31" s="66">
        <v>5.3400000000000003E-2</v>
      </c>
      <c r="K31" s="65">
        <v>7.4467999999999979E-2</v>
      </c>
      <c r="L31" s="65">
        <v>9.5957360000000103E-2</v>
      </c>
      <c r="M31" s="67">
        <v>0.11787650720000009</v>
      </c>
      <c r="N31" s="67"/>
      <c r="O31" s="67"/>
    </row>
    <row r="32" spans="4:15" ht="15" customHeight="1" x14ac:dyDescent="0.25"/>
    <row r="33" spans="1:15" ht="15" customHeight="1" x14ac:dyDescent="0.25"/>
    <row r="34" spans="1:15" ht="15" customHeight="1" x14ac:dyDescent="0.25">
      <c r="E34" s="33" t="s">
        <v>54</v>
      </c>
    </row>
    <row r="35" spans="1:15" ht="15" customHeight="1" thickBot="1" x14ac:dyDescent="0.3"/>
    <row r="36" spans="1:15" ht="15" customHeight="1" x14ac:dyDescent="0.25">
      <c r="D36" s="217" t="s">
        <v>23</v>
      </c>
      <c r="E36" s="85"/>
      <c r="F36" s="34">
        <v>42095</v>
      </c>
      <c r="G36" s="34">
        <v>42461</v>
      </c>
      <c r="H36" s="34">
        <v>42826</v>
      </c>
      <c r="I36" s="34">
        <v>43191</v>
      </c>
      <c r="J36" s="35">
        <v>43556</v>
      </c>
      <c r="K36" s="34">
        <v>43922</v>
      </c>
      <c r="L36" s="34">
        <v>44287</v>
      </c>
      <c r="M36" s="36">
        <v>44652</v>
      </c>
      <c r="N36" s="36">
        <f>DATE(YEAR(M36)+1,MONTH(M36),DAY(M36))</f>
        <v>45017</v>
      </c>
      <c r="O36" s="36">
        <f>DATE(YEAR(N36)+1,MONTH(N36),DAY(N36))</f>
        <v>45383</v>
      </c>
    </row>
    <row r="37" spans="1:15" ht="15" customHeight="1" thickBot="1" x14ac:dyDescent="0.3">
      <c r="D37" s="218"/>
      <c r="E37" s="86" t="str">
        <f>D36</f>
        <v>Échelon</v>
      </c>
      <c r="F37" s="37" t="s">
        <v>49</v>
      </c>
      <c r="G37" s="37" t="s">
        <v>49</v>
      </c>
      <c r="H37" s="37" t="s">
        <v>49</v>
      </c>
      <c r="I37" s="37" t="s">
        <v>50</v>
      </c>
      <c r="J37" s="38" t="s">
        <v>50</v>
      </c>
      <c r="K37" s="37" t="s">
        <v>50</v>
      </c>
      <c r="L37" s="37" t="s">
        <v>50</v>
      </c>
      <c r="M37" s="39" t="s">
        <v>50</v>
      </c>
      <c r="N37" s="39" t="str">
        <f>M37</f>
        <v xml:space="preserve">au </v>
      </c>
      <c r="O37" s="39" t="str">
        <f>N37</f>
        <v xml:space="preserve">au </v>
      </c>
    </row>
    <row r="38" spans="1:15" ht="15" customHeight="1" x14ac:dyDescent="0.25">
      <c r="D38" s="219"/>
      <c r="E38" s="86"/>
      <c r="F38" s="40">
        <v>42460</v>
      </c>
      <c r="G38" s="40">
        <v>42825</v>
      </c>
      <c r="H38" s="40">
        <v>43190</v>
      </c>
      <c r="I38" s="40">
        <v>43555</v>
      </c>
      <c r="J38" s="41">
        <v>43921</v>
      </c>
      <c r="K38" s="40">
        <v>44286</v>
      </c>
      <c r="L38" s="40">
        <v>44651</v>
      </c>
      <c r="M38" s="42">
        <v>45016</v>
      </c>
      <c r="N38" s="36">
        <f>DATE(YEAR(M38)+1,MONTH(M38),DAY(M38))</f>
        <v>45382</v>
      </c>
      <c r="O38" s="36">
        <f>DATE(YEAR(N38)+1,MONTH(N38),DAY(N38))</f>
        <v>45747</v>
      </c>
    </row>
    <row r="39" spans="1:15" ht="15" customHeight="1" x14ac:dyDescent="0.25">
      <c r="A39" s="43"/>
      <c r="D39" s="44">
        <v>1</v>
      </c>
      <c r="E39" s="44">
        <f>D39</f>
        <v>1</v>
      </c>
      <c r="F39" s="45">
        <f>37.5/35*'35h'!F39</f>
        <v>57688.928571428572</v>
      </c>
      <c r="G39" s="45">
        <f>37.5/35*'35h'!G39</f>
        <v>58554.642857142855</v>
      </c>
      <c r="H39" s="45">
        <f>37.5/35*'35h'!H39</f>
        <v>59578.928571428572</v>
      </c>
      <c r="I39" s="45">
        <f>37.5/35*'35h'!I39</f>
        <v>60770.357142857138</v>
      </c>
      <c r="J39" s="46">
        <f>37.5/35*'35h'!J39</f>
        <v>60770.357142857138</v>
      </c>
      <c r="K39" s="47">
        <f>37.5/35*'35h'!K39</f>
        <v>60770.357142857138</v>
      </c>
      <c r="L39" s="47">
        <f>37.5/35*'35h'!L39</f>
        <v>60770.357142857138</v>
      </c>
      <c r="M39" s="48">
        <f>37.5/35*'35h'!M39</f>
        <v>60770.357142857138</v>
      </c>
      <c r="N39" s="48">
        <f>M39</f>
        <v>60770.357142857138</v>
      </c>
      <c r="O39" s="48">
        <f>N39</f>
        <v>60770.357142857138</v>
      </c>
    </row>
    <row r="40" spans="1:15" ht="15" customHeight="1" x14ac:dyDescent="0.25">
      <c r="D40" s="44">
        <v>2</v>
      </c>
      <c r="E40" s="44">
        <f t="shared" ref="E40:E56" si="4">D40</f>
        <v>2</v>
      </c>
      <c r="F40" s="45">
        <f>37.5/35*'35h'!F40</f>
        <v>60117.857142857138</v>
      </c>
      <c r="G40" s="45">
        <f>37.5/35*'35h'!G40</f>
        <v>61020</v>
      </c>
      <c r="H40" s="45">
        <f>37.5/35*'35h'!H40</f>
        <v>62088.214285714283</v>
      </c>
      <c r="I40" s="45">
        <f>37.5/35*'35h'!I40</f>
        <v>63330</v>
      </c>
      <c r="J40" s="46">
        <f>37.5/35*'35h'!J40</f>
        <v>63330</v>
      </c>
      <c r="K40" s="47">
        <f>37.5/35*'35h'!K40</f>
        <v>63330</v>
      </c>
      <c r="L40" s="47">
        <f>37.5/35*'35h'!L40</f>
        <v>63330</v>
      </c>
      <c r="M40" s="48">
        <f>37.5/35*'35h'!M40</f>
        <v>63330</v>
      </c>
      <c r="N40" s="48">
        <f t="shared" ref="N40:O55" si="5">M40</f>
        <v>63330</v>
      </c>
      <c r="O40" s="48">
        <f t="shared" si="5"/>
        <v>63330</v>
      </c>
    </row>
    <row r="41" spans="1:15" ht="15" customHeight="1" x14ac:dyDescent="0.25">
      <c r="D41" s="44">
        <v>3</v>
      </c>
      <c r="E41" s="44">
        <f t="shared" si="4"/>
        <v>3</v>
      </c>
      <c r="F41" s="45">
        <f>37.5/35*'35h'!F41</f>
        <v>62647.5</v>
      </c>
      <c r="G41" s="45">
        <f>37.5/35*'35h'!G41</f>
        <v>63587.142857142855</v>
      </c>
      <c r="H41" s="45">
        <f>37.5/35*'35h'!H41</f>
        <v>64700.357142857138</v>
      </c>
      <c r="I41" s="45">
        <f>37.5/35*'35h'!I41</f>
        <v>65994.642857142855</v>
      </c>
      <c r="J41" s="46">
        <f>37.5/35*'35h'!J41</f>
        <v>65994.642857142855</v>
      </c>
      <c r="K41" s="47">
        <f>37.5/35*'35h'!K41</f>
        <v>65994.642857142855</v>
      </c>
      <c r="L41" s="47">
        <f>37.5/35*'35h'!L41</f>
        <v>65994.642857142855</v>
      </c>
      <c r="M41" s="48">
        <f>37.5/35*'35h'!M41</f>
        <v>65994.642857142855</v>
      </c>
      <c r="N41" s="48">
        <f t="shared" si="5"/>
        <v>65994.642857142855</v>
      </c>
      <c r="O41" s="48">
        <f t="shared" si="5"/>
        <v>65994.642857142855</v>
      </c>
    </row>
    <row r="42" spans="1:15" ht="15" customHeight="1" x14ac:dyDescent="0.25">
      <c r="D42" s="44">
        <v>4</v>
      </c>
      <c r="E42" s="44">
        <f t="shared" si="4"/>
        <v>4</v>
      </c>
      <c r="F42" s="45">
        <f>37.5/35*'35h'!F42</f>
        <v>65285.357142857138</v>
      </c>
      <c r="G42" s="45">
        <f>37.5/35*'35h'!G42</f>
        <v>66264.642857142855</v>
      </c>
      <c r="H42" s="45">
        <f>37.5/35*'35h'!H42</f>
        <v>67423.928571428565</v>
      </c>
      <c r="I42" s="45">
        <f>37.5/35*'35h'!I42</f>
        <v>68772.857142857145</v>
      </c>
      <c r="J42" s="46">
        <f>37.5/35*'35h'!J42</f>
        <v>68772.857142857145</v>
      </c>
      <c r="K42" s="47">
        <f>37.5/35*'35h'!K42</f>
        <v>68772.857142857145</v>
      </c>
      <c r="L42" s="47">
        <f>37.5/35*'35h'!L42</f>
        <v>68772.857142857145</v>
      </c>
      <c r="M42" s="48">
        <f>37.5/35*'35h'!M42</f>
        <v>68772.857142857145</v>
      </c>
      <c r="N42" s="48">
        <f t="shared" si="5"/>
        <v>68772.857142857145</v>
      </c>
      <c r="O42" s="48">
        <f t="shared" si="5"/>
        <v>68772.857142857145</v>
      </c>
    </row>
    <row r="43" spans="1:15" ht="15" customHeight="1" x14ac:dyDescent="0.25">
      <c r="D43" s="44">
        <v>5</v>
      </c>
      <c r="E43" s="44">
        <f t="shared" si="4"/>
        <v>5</v>
      </c>
      <c r="F43" s="45">
        <f>37.5/35*'35h'!F43</f>
        <v>68035.71428571429</v>
      </c>
      <c r="G43" s="45">
        <f>37.5/35*'35h'!G43</f>
        <v>69056.78571428571</v>
      </c>
      <c r="H43" s="45">
        <f>37.5/35*'35h'!H43</f>
        <v>70265.357142857145</v>
      </c>
      <c r="I43" s="45">
        <f>37.5/35*'35h'!I43</f>
        <v>71671.07142857142</v>
      </c>
      <c r="J43" s="46">
        <f>37.5/35*'35h'!J43</f>
        <v>71671.07142857142</v>
      </c>
      <c r="K43" s="47">
        <f>37.5/35*'35h'!K43</f>
        <v>71671.07142857142</v>
      </c>
      <c r="L43" s="47">
        <f>37.5/35*'35h'!L43</f>
        <v>71671.07142857142</v>
      </c>
      <c r="M43" s="48">
        <f>37.5/35*'35h'!M43</f>
        <v>71671.07142857142</v>
      </c>
      <c r="N43" s="48">
        <f t="shared" si="5"/>
        <v>71671.07142857142</v>
      </c>
      <c r="O43" s="48">
        <f t="shared" si="5"/>
        <v>71671.07142857142</v>
      </c>
    </row>
    <row r="44" spans="1:15" ht="15" customHeight="1" x14ac:dyDescent="0.25">
      <c r="D44" s="44">
        <v>6</v>
      </c>
      <c r="E44" s="44">
        <f t="shared" si="4"/>
        <v>6</v>
      </c>
      <c r="F44" s="45">
        <f>37.5/35*'35h'!F44</f>
        <v>70900.71428571429</v>
      </c>
      <c r="G44" s="45">
        <f>37.5/35*'35h'!G44</f>
        <v>71964.642857142855</v>
      </c>
      <c r="H44" s="45">
        <f>37.5/35*'35h'!H44</f>
        <v>73223.57142857142</v>
      </c>
      <c r="I44" s="45">
        <f>37.5/35*'35h'!I44</f>
        <v>74688.21428571429</v>
      </c>
      <c r="J44" s="46">
        <f>37.5/35*'35h'!J44</f>
        <v>74688.21428571429</v>
      </c>
      <c r="K44" s="47">
        <f>37.5/35*'35h'!K44</f>
        <v>74688.21428571429</v>
      </c>
      <c r="L44" s="47">
        <f>37.5/35*'35h'!L44</f>
        <v>74688.21428571429</v>
      </c>
      <c r="M44" s="48">
        <f>37.5/35*'35h'!M44</f>
        <v>74688.21428571429</v>
      </c>
      <c r="N44" s="48">
        <f t="shared" si="5"/>
        <v>74688.21428571429</v>
      </c>
      <c r="O44" s="48">
        <f t="shared" si="5"/>
        <v>74688.21428571429</v>
      </c>
    </row>
    <row r="45" spans="1:15" ht="15" customHeight="1" x14ac:dyDescent="0.25">
      <c r="D45" s="44">
        <v>7</v>
      </c>
      <c r="E45" s="44">
        <f t="shared" si="4"/>
        <v>7</v>
      </c>
      <c r="F45" s="45">
        <f>37.5/35*'35h'!F45</f>
        <v>73884.642857142855</v>
      </c>
      <c r="G45" s="45">
        <f>37.5/35*'35h'!G45</f>
        <v>74992.5</v>
      </c>
      <c r="H45" s="45">
        <f>37.5/35*'35h'!H45</f>
        <v>76305</v>
      </c>
      <c r="I45" s="45">
        <f>37.5/35*'35h'!I45</f>
        <v>77830.71428571429</v>
      </c>
      <c r="J45" s="46">
        <f>37.5/35*'35h'!J45</f>
        <v>77830.71428571429</v>
      </c>
      <c r="K45" s="47">
        <f>37.5/35*'35h'!K45</f>
        <v>77830.71428571429</v>
      </c>
      <c r="L45" s="47">
        <f>37.5/35*'35h'!L45</f>
        <v>77830.71428571429</v>
      </c>
      <c r="M45" s="48">
        <f>37.5/35*'35h'!M45</f>
        <v>77830.71428571429</v>
      </c>
      <c r="N45" s="48">
        <f t="shared" si="5"/>
        <v>77830.71428571429</v>
      </c>
      <c r="O45" s="48">
        <f t="shared" si="5"/>
        <v>77830.71428571429</v>
      </c>
    </row>
    <row r="46" spans="1:15" ht="15" customHeight="1" thickBot="1" x14ac:dyDescent="0.3">
      <c r="D46" s="49">
        <v>8</v>
      </c>
      <c r="E46" s="49">
        <f t="shared" si="4"/>
        <v>8</v>
      </c>
      <c r="F46" s="50">
        <f>37.5/35*'35h'!F46</f>
        <v>76997.142857142855</v>
      </c>
      <c r="G46" s="50">
        <f>37.5/35*'35h'!G46</f>
        <v>78152.142857142855</v>
      </c>
      <c r="H46" s="50">
        <f>37.5/35*'35h'!H46</f>
        <v>79519.28571428571</v>
      </c>
      <c r="I46" s="50">
        <f>37.5/35*'35h'!I46</f>
        <v>81109.28571428571</v>
      </c>
      <c r="J46" s="51">
        <f>37.5/35*'35h'!J46</f>
        <v>81109.28571428571</v>
      </c>
      <c r="K46" s="47">
        <f>37.5/35*'35h'!K46</f>
        <v>81109.28571428571</v>
      </c>
      <c r="L46" s="47">
        <f>37.5/35*'35h'!L46</f>
        <v>81109.28571428571</v>
      </c>
      <c r="M46" s="48">
        <f>37.5/35*'35h'!M46</f>
        <v>81109.28571428571</v>
      </c>
      <c r="N46" s="48">
        <f t="shared" si="5"/>
        <v>81109.28571428571</v>
      </c>
      <c r="O46" s="48">
        <f t="shared" si="5"/>
        <v>81109.28571428571</v>
      </c>
    </row>
    <row r="47" spans="1:15" ht="15" customHeight="1" x14ac:dyDescent="0.25">
      <c r="D47" s="52">
        <v>9</v>
      </c>
      <c r="E47" s="44">
        <f t="shared" si="4"/>
        <v>9</v>
      </c>
      <c r="F47" s="53">
        <f>37.5/35*'35h'!F47</f>
        <v>80237.142857142855</v>
      </c>
      <c r="G47" s="53">
        <f>37.5/35*'35h'!G47</f>
        <v>81440.357142857145</v>
      </c>
      <c r="H47" s="53">
        <f>37.5/35*'35h'!H47</f>
        <v>82865.357142857145</v>
      </c>
      <c r="I47" s="53">
        <f>37.5/35*'35h'!I47</f>
        <v>84522.857142857145</v>
      </c>
      <c r="J47" s="54">
        <f>37.5/35*'35h'!J47</f>
        <v>84522.857142857145</v>
      </c>
      <c r="K47" s="47">
        <f>37.5/35*'35h'!K47</f>
        <v>84522.857142857145</v>
      </c>
      <c r="L47" s="47">
        <f>37.5/35*'35h'!L47</f>
        <v>84522.857142857145</v>
      </c>
      <c r="M47" s="48">
        <f>37.5/35*'35h'!M47</f>
        <v>84522.857142857145</v>
      </c>
      <c r="N47" s="48">
        <f t="shared" si="5"/>
        <v>84522.857142857145</v>
      </c>
      <c r="O47" s="48">
        <f t="shared" si="5"/>
        <v>84522.857142857145</v>
      </c>
    </row>
    <row r="48" spans="1:15" ht="15" customHeight="1" x14ac:dyDescent="0.25">
      <c r="D48" s="44">
        <v>10</v>
      </c>
      <c r="E48" s="44">
        <f t="shared" si="4"/>
        <v>10</v>
      </c>
      <c r="F48" s="45">
        <f>37.5/35*'35h'!F48</f>
        <v>83616.428571428565</v>
      </c>
      <c r="G48" s="45">
        <f>37.5/35*'35h'!G48</f>
        <v>84871.07142857142</v>
      </c>
      <c r="H48" s="45">
        <f>37.5/35*'35h'!H48</f>
        <v>86356.07142857142</v>
      </c>
      <c r="I48" s="45">
        <f>37.5/35*'35h'!I48</f>
        <v>88083.21428571429</v>
      </c>
      <c r="J48" s="46">
        <f>37.5/35*'35h'!J48</f>
        <v>88083.21428571429</v>
      </c>
      <c r="K48" s="47">
        <f>37.5/35*'35h'!K48</f>
        <v>88083.21428571429</v>
      </c>
      <c r="L48" s="47">
        <f>37.5/35*'35h'!L48</f>
        <v>88083.21428571429</v>
      </c>
      <c r="M48" s="48">
        <f>37.5/35*'35h'!M48</f>
        <v>88083.21428571429</v>
      </c>
      <c r="N48" s="48">
        <f t="shared" si="5"/>
        <v>88083.21428571429</v>
      </c>
      <c r="O48" s="48">
        <f t="shared" si="5"/>
        <v>88083.21428571429</v>
      </c>
    </row>
    <row r="49" spans="4:15" ht="15" customHeight="1" x14ac:dyDescent="0.25">
      <c r="D49" s="44">
        <v>11</v>
      </c>
      <c r="E49" s="44">
        <f t="shared" si="4"/>
        <v>11</v>
      </c>
      <c r="F49" s="45">
        <f>37.5/35*'35h'!F49</f>
        <v>87136.07142857142</v>
      </c>
      <c r="G49" s="45">
        <f>37.5/35*'35h'!G49</f>
        <v>88443.21428571429</v>
      </c>
      <c r="H49" s="45">
        <f>37.5/35*'35h'!H49</f>
        <v>89991.428571428565</v>
      </c>
      <c r="I49" s="45">
        <f>37.5/35*'35h'!I49</f>
        <v>91791.428571428565</v>
      </c>
      <c r="J49" s="46">
        <f>37.5/35*'35h'!J49</f>
        <v>91791.428571428565</v>
      </c>
      <c r="K49" s="47">
        <f>37.5/35*'35h'!K49</f>
        <v>91791.428571428565</v>
      </c>
      <c r="L49" s="47">
        <f>37.5/35*'35h'!L49</f>
        <v>91791.428571428565</v>
      </c>
      <c r="M49" s="48">
        <f>37.5/35*'35h'!M49</f>
        <v>91791.428571428565</v>
      </c>
      <c r="N49" s="48">
        <f t="shared" si="5"/>
        <v>91791.428571428565</v>
      </c>
      <c r="O49" s="48">
        <f t="shared" si="5"/>
        <v>91791.428571428565</v>
      </c>
    </row>
    <row r="50" spans="4:15" ht="15" customHeight="1" x14ac:dyDescent="0.25">
      <c r="D50" s="44">
        <v>12</v>
      </c>
      <c r="E50" s="44">
        <f t="shared" si="4"/>
        <v>12</v>
      </c>
      <c r="F50" s="45">
        <f>37.5/35*'35h'!F50</f>
        <v>90805.71428571429</v>
      </c>
      <c r="G50" s="45">
        <f>37.5/35*'35h'!G50</f>
        <v>92167.5</v>
      </c>
      <c r="H50" s="45">
        <f>37.5/35*'35h'!H50</f>
        <v>93780</v>
      </c>
      <c r="I50" s="45">
        <f>37.5/35*'35h'!I50</f>
        <v>95656.07142857142</v>
      </c>
      <c r="J50" s="46">
        <f>37.5/35*'35h'!J50</f>
        <v>95656.07142857142</v>
      </c>
      <c r="K50" s="47">
        <f>37.5/35*'35h'!K50</f>
        <v>95656.07142857142</v>
      </c>
      <c r="L50" s="47">
        <f>37.5/35*'35h'!L50</f>
        <v>95656.07142857142</v>
      </c>
      <c r="M50" s="48">
        <f>37.5/35*'35h'!M50</f>
        <v>95656.07142857142</v>
      </c>
      <c r="N50" s="48">
        <f t="shared" si="5"/>
        <v>95656.07142857142</v>
      </c>
      <c r="O50" s="48">
        <f t="shared" si="5"/>
        <v>95656.07142857142</v>
      </c>
    </row>
    <row r="51" spans="4:15" ht="15" customHeight="1" x14ac:dyDescent="0.25">
      <c r="D51" s="44">
        <v>13</v>
      </c>
      <c r="E51" s="44">
        <f t="shared" si="4"/>
        <v>13</v>
      </c>
      <c r="F51" s="45">
        <f>37.5/35*'35h'!F51</f>
        <v>94628.57142857142</v>
      </c>
      <c r="G51" s="45">
        <f>37.5/35*'35h'!G51</f>
        <v>96048.21428571429</v>
      </c>
      <c r="H51" s="45">
        <f>37.5/35*'35h'!H51</f>
        <v>97729.28571428571</v>
      </c>
      <c r="I51" s="45">
        <f>37.5/35*'35h'!I51</f>
        <v>99683.57142857142</v>
      </c>
      <c r="J51" s="46">
        <f>37.5/35*'35h'!J51</f>
        <v>99683.57142857142</v>
      </c>
      <c r="K51" s="47">
        <f>37.5/35*'35h'!K51</f>
        <v>99683.57142857142</v>
      </c>
      <c r="L51" s="47">
        <f>37.5/35*'35h'!L51</f>
        <v>99683.57142857142</v>
      </c>
      <c r="M51" s="48">
        <f>37.5/35*'35h'!M51</f>
        <v>99683.57142857142</v>
      </c>
      <c r="N51" s="48">
        <f t="shared" si="5"/>
        <v>99683.57142857142</v>
      </c>
      <c r="O51" s="48">
        <f t="shared" si="5"/>
        <v>99683.57142857142</v>
      </c>
    </row>
    <row r="52" spans="4:15" ht="15" customHeight="1" x14ac:dyDescent="0.25">
      <c r="D52" s="44">
        <v>14</v>
      </c>
      <c r="E52" s="44">
        <f t="shared" si="4"/>
        <v>14</v>
      </c>
      <c r="F52" s="45">
        <f>37.5/35*'35h'!F52</f>
        <v>98613.21428571429</v>
      </c>
      <c r="G52" s="45">
        <f>37.5/35*'35h'!G52</f>
        <v>100092.85714285714</v>
      </c>
      <c r="H52" s="45">
        <f>37.5/35*'35h'!H52</f>
        <v>101844.64285714286</v>
      </c>
      <c r="I52" s="45">
        <f>37.5/35*'35h'!I52</f>
        <v>103881.42857142857</v>
      </c>
      <c r="J52" s="46">
        <f>37.5/35*'35h'!J52</f>
        <v>103881.42857142857</v>
      </c>
      <c r="K52" s="47">
        <f>37.5/35*'35h'!K52</f>
        <v>103881.42857142857</v>
      </c>
      <c r="L52" s="47">
        <f>37.5/35*'35h'!L52</f>
        <v>103881.42857142857</v>
      </c>
      <c r="M52" s="48">
        <f>37.5/35*'35h'!M52</f>
        <v>103881.42857142857</v>
      </c>
      <c r="N52" s="48">
        <f t="shared" si="5"/>
        <v>103881.42857142857</v>
      </c>
      <c r="O52" s="48">
        <f t="shared" si="5"/>
        <v>103881.42857142857</v>
      </c>
    </row>
    <row r="53" spans="4:15" ht="15" customHeight="1" x14ac:dyDescent="0.25">
      <c r="D53" s="44">
        <v>15</v>
      </c>
      <c r="E53" s="44">
        <f t="shared" si="4"/>
        <v>15</v>
      </c>
      <c r="F53" s="45">
        <f>37.5/35*'35h'!F53</f>
        <v>102765</v>
      </c>
      <c r="G53" s="45">
        <f>37.5/35*'35h'!G53</f>
        <v>104306.78571428571</v>
      </c>
      <c r="H53" s="45">
        <f>37.5/35*'35h'!H53</f>
        <v>106132.5</v>
      </c>
      <c r="I53" s="45">
        <f>37.5/35*'35h'!I53</f>
        <v>108255</v>
      </c>
      <c r="J53" s="46">
        <f>37.5/35*'35h'!J53</f>
        <v>108255</v>
      </c>
      <c r="K53" s="47">
        <f>37.5/35*'35h'!K53</f>
        <v>108255</v>
      </c>
      <c r="L53" s="47">
        <f>37.5/35*'35h'!L53</f>
        <v>108255</v>
      </c>
      <c r="M53" s="48">
        <f>37.5/35*'35h'!M53</f>
        <v>108255</v>
      </c>
      <c r="N53" s="48">
        <f t="shared" si="5"/>
        <v>108255</v>
      </c>
      <c r="O53" s="48">
        <f t="shared" si="5"/>
        <v>108255</v>
      </c>
    </row>
    <row r="54" spans="4:15" ht="15" customHeight="1" x14ac:dyDescent="0.25">
      <c r="D54" s="44">
        <v>16</v>
      </c>
      <c r="E54" s="44">
        <f t="shared" si="4"/>
        <v>16</v>
      </c>
      <c r="F54" s="45">
        <f>37.5/35*'35h'!F54</f>
        <v>107091.42857142857</v>
      </c>
      <c r="G54" s="45">
        <f>37.5/35*'35h'!G54</f>
        <v>108697.5</v>
      </c>
      <c r="H54" s="45">
        <f>37.5/35*'35h'!H54</f>
        <v>110599.28571428571</v>
      </c>
      <c r="I54" s="45">
        <f>37.5/35*'35h'!I54</f>
        <v>112811.78571428571</v>
      </c>
      <c r="J54" s="46">
        <f>37.5/35*'35h'!J54</f>
        <v>112811.78571428571</v>
      </c>
      <c r="K54" s="47">
        <f>37.5/35*'35h'!K54</f>
        <v>112811.78571428571</v>
      </c>
      <c r="L54" s="47">
        <f>37.5/35*'35h'!L54</f>
        <v>112811.78571428571</v>
      </c>
      <c r="M54" s="48">
        <f>37.5/35*'35h'!M54</f>
        <v>112811.78571428571</v>
      </c>
      <c r="N54" s="48">
        <f t="shared" si="5"/>
        <v>112811.78571428571</v>
      </c>
      <c r="O54" s="48">
        <f t="shared" si="5"/>
        <v>112811.78571428571</v>
      </c>
    </row>
    <row r="55" spans="4:15" ht="15" customHeight="1" x14ac:dyDescent="0.25">
      <c r="D55" s="44">
        <v>17</v>
      </c>
      <c r="E55" s="44">
        <f t="shared" si="4"/>
        <v>17</v>
      </c>
      <c r="F55" s="45">
        <f>37.5/35*'35h'!F55</f>
        <v>111598.92857142857</v>
      </c>
      <c r="G55" s="45">
        <f>37.5/35*'35h'!G55</f>
        <v>113272.5</v>
      </c>
      <c r="H55" s="45">
        <f>37.5/35*'35h'!H55</f>
        <v>115254.64285714286</v>
      </c>
      <c r="I55" s="45">
        <f>37.5/35*'35h'!I55</f>
        <v>117559.28571428571</v>
      </c>
      <c r="J55" s="46">
        <f>37.5/35*'35h'!J55</f>
        <v>117559.28571428571</v>
      </c>
      <c r="K55" s="47">
        <f>37.5/35*'35h'!K55</f>
        <v>117559.28571428571</v>
      </c>
      <c r="L55" s="47">
        <f>37.5/35*'35h'!L55</f>
        <v>117559.28571428571</v>
      </c>
      <c r="M55" s="48">
        <f>37.5/35*'35h'!M55</f>
        <v>117559.28571428571</v>
      </c>
      <c r="N55" s="48">
        <f t="shared" si="5"/>
        <v>117559.28571428571</v>
      </c>
      <c r="O55" s="48">
        <f t="shared" si="5"/>
        <v>117559.28571428571</v>
      </c>
    </row>
    <row r="56" spans="4:15" ht="15" customHeight="1" x14ac:dyDescent="0.25">
      <c r="D56" s="44">
        <v>18</v>
      </c>
      <c r="E56" s="44">
        <f t="shared" si="4"/>
        <v>18</v>
      </c>
      <c r="F56" s="45">
        <f>37.5/35*'35h'!F56</f>
        <v>116299.28571428571</v>
      </c>
      <c r="G56" s="45">
        <f>37.5/35*'35h'!G56</f>
        <v>118043.57142857142</v>
      </c>
      <c r="H56" s="45">
        <f>37.5/35*'35h'!H56</f>
        <v>120109.28571428571</v>
      </c>
      <c r="I56" s="45">
        <f>37.5/35*'35h'!I56</f>
        <v>122511.42857142857</v>
      </c>
      <c r="J56" s="46">
        <f>37.5/35*'35h'!J56</f>
        <v>122511.42857142857</v>
      </c>
      <c r="K56" s="47">
        <f>37.5/35*'35h'!K56</f>
        <v>122511.42857142857</v>
      </c>
      <c r="L56" s="47">
        <f>37.5/35*'35h'!L56</f>
        <v>122511.42857142857</v>
      </c>
      <c r="M56" s="48">
        <f>37.5/35*'35h'!M56</f>
        <v>122511.42857142857</v>
      </c>
      <c r="N56" s="48">
        <f t="shared" ref="N56:O58" si="6">M56</f>
        <v>122511.42857142857</v>
      </c>
      <c r="O56" s="48">
        <f t="shared" si="6"/>
        <v>122511.42857142857</v>
      </c>
    </row>
    <row r="57" spans="4:15" ht="15" customHeight="1" x14ac:dyDescent="0.25">
      <c r="D57" s="44">
        <v>19</v>
      </c>
      <c r="E57" s="44">
        <v>18</v>
      </c>
      <c r="F57" s="45">
        <f>F56</f>
        <v>116299.28571428571</v>
      </c>
      <c r="G57" s="45">
        <f t="shared" ref="G57" si="7">G56</f>
        <v>118043.57142857142</v>
      </c>
      <c r="H57" s="45">
        <f t="shared" ref="H57" si="8">H56</f>
        <v>120109.28571428571</v>
      </c>
      <c r="I57" s="45">
        <f t="shared" ref="I57" si="9">I56</f>
        <v>122511.42857142857</v>
      </c>
      <c r="J57" s="46">
        <f t="shared" ref="J57" si="10">J56</f>
        <v>122511.42857142857</v>
      </c>
      <c r="K57" s="47">
        <f t="shared" ref="K57" si="11">K56</f>
        <v>122511.42857142857</v>
      </c>
      <c r="L57" s="47">
        <f t="shared" ref="L57" si="12">L56</f>
        <v>122511.42857142857</v>
      </c>
      <c r="M57" s="48">
        <f t="shared" ref="M57" si="13">M56</f>
        <v>122511.42857142857</v>
      </c>
      <c r="N57" s="48">
        <f t="shared" si="6"/>
        <v>122511.42857142857</v>
      </c>
      <c r="O57" s="48">
        <f t="shared" si="6"/>
        <v>122511.42857142857</v>
      </c>
    </row>
    <row r="58" spans="4:15" ht="15" customHeight="1" x14ac:dyDescent="0.25">
      <c r="D58" s="55">
        <v>20</v>
      </c>
      <c r="E58" s="44" t="s">
        <v>51</v>
      </c>
      <c r="F58" s="56">
        <f>37.5/35*'35h'!F58</f>
        <v>133744.28571428571</v>
      </c>
      <c r="G58" s="56">
        <f>37.5/35*'35h'!G58</f>
        <v>135750</v>
      </c>
      <c r="H58" s="56">
        <f>37.5/35*'35h'!H58</f>
        <v>138125.35714285713</v>
      </c>
      <c r="I58" s="56">
        <f>37.5/35*'35h'!I58</f>
        <v>140888.57142857142</v>
      </c>
      <c r="J58" s="46">
        <f>37.5/35*'35h'!J58</f>
        <v>140888.57142857142</v>
      </c>
      <c r="K58" s="47">
        <f>37.5/35*'35h'!K58</f>
        <v>140888.57142857142</v>
      </c>
      <c r="L58" s="47">
        <f>37.5/35*'35h'!L58</f>
        <v>140888.57142857142</v>
      </c>
      <c r="M58" s="48">
        <f>37.5/35*'35h'!M58</f>
        <v>140888.57142857142</v>
      </c>
      <c r="N58" s="48">
        <f t="shared" si="6"/>
        <v>140888.57142857142</v>
      </c>
      <c r="O58" s="48">
        <f t="shared" si="6"/>
        <v>140888.57142857142</v>
      </c>
    </row>
    <row r="59" spans="4:15" ht="15" customHeight="1" x14ac:dyDescent="0.25">
      <c r="D59" s="57"/>
      <c r="E59" s="57"/>
      <c r="J59" s="58"/>
      <c r="M59" s="59"/>
    </row>
    <row r="60" spans="4:15" ht="15" customHeight="1" x14ac:dyDescent="0.25">
      <c r="D60" s="57" t="s">
        <v>52</v>
      </c>
      <c r="E60" s="57" t="s">
        <v>52</v>
      </c>
      <c r="F60" s="60">
        <v>0</v>
      </c>
      <c r="G60" s="60">
        <v>1.5006593243318538E-2</v>
      </c>
      <c r="H60" s="60">
        <v>1.7492818063713382E-2</v>
      </c>
      <c r="I60" s="60">
        <v>1.9997482331361161E-2</v>
      </c>
      <c r="J60" s="61">
        <v>0</v>
      </c>
      <c r="K60" s="60">
        <v>0</v>
      </c>
      <c r="L60" s="60">
        <v>0</v>
      </c>
      <c r="M60" s="62">
        <v>0</v>
      </c>
    </row>
    <row r="61" spans="4:15" ht="15" customHeight="1" x14ac:dyDescent="0.25">
      <c r="D61" s="57"/>
      <c r="E61" s="57"/>
      <c r="J61" s="58"/>
      <c r="M61" s="59"/>
    </row>
    <row r="62" spans="4:15" ht="15" customHeight="1" thickBot="1" x14ac:dyDescent="0.3">
      <c r="D62" s="63" t="s">
        <v>53</v>
      </c>
      <c r="E62" s="63" t="s">
        <v>53</v>
      </c>
      <c r="F62" s="64"/>
      <c r="G62" s="65">
        <v>1.4999999999999999E-2</v>
      </c>
      <c r="H62" s="65">
        <v>3.2800000000000003E-2</v>
      </c>
      <c r="I62" s="65">
        <v>5.3400000000000003E-2</v>
      </c>
      <c r="J62" s="66">
        <v>5.3400000000000003E-2</v>
      </c>
      <c r="K62" s="65">
        <v>5.3400000000000003E-2</v>
      </c>
      <c r="L62" s="65">
        <v>5.3400000000000003E-2</v>
      </c>
      <c r="M62" s="67">
        <v>5.3400000000000003E-2</v>
      </c>
    </row>
    <row r="63" spans="4:15" ht="15" customHeight="1" x14ac:dyDescent="0.25"/>
    <row r="64" spans="4:15" ht="15" customHeight="1" x14ac:dyDescent="0.25"/>
    <row r="65" spans="1:15" ht="15" customHeight="1" x14ac:dyDescent="0.25">
      <c r="E65" s="33" t="s">
        <v>55</v>
      </c>
    </row>
    <row r="66" spans="1:15" ht="15" customHeight="1" thickBot="1" x14ac:dyDescent="0.3"/>
    <row r="67" spans="1:15" ht="15" customHeight="1" x14ac:dyDescent="0.25">
      <c r="D67" s="217" t="s">
        <v>23</v>
      </c>
      <c r="E67" s="85"/>
      <c r="F67" s="34">
        <v>42095</v>
      </c>
      <c r="G67" s="34">
        <v>42461</v>
      </c>
      <c r="H67" s="34">
        <v>42826</v>
      </c>
      <c r="I67" s="34">
        <v>43191</v>
      </c>
      <c r="J67" s="35">
        <v>43556</v>
      </c>
      <c r="K67" s="34">
        <v>43922</v>
      </c>
      <c r="L67" s="34">
        <v>44287</v>
      </c>
      <c r="M67" s="36">
        <v>44652</v>
      </c>
      <c r="N67" s="36">
        <f>DATE(YEAR(M67)+1,MONTH(M67),DAY(M67))</f>
        <v>45017</v>
      </c>
      <c r="O67" s="36">
        <f>DATE(YEAR(N67)+1,MONTH(N67),DAY(N67))</f>
        <v>45383</v>
      </c>
    </row>
    <row r="68" spans="1:15" ht="15" customHeight="1" thickBot="1" x14ac:dyDescent="0.3">
      <c r="D68" s="218"/>
      <c r="E68" s="86" t="str">
        <f>D67</f>
        <v>Échelon</v>
      </c>
      <c r="F68" s="37" t="s">
        <v>49</v>
      </c>
      <c r="G68" s="37" t="s">
        <v>49</v>
      </c>
      <c r="H68" s="37" t="s">
        <v>49</v>
      </c>
      <c r="I68" s="37" t="s">
        <v>50</v>
      </c>
      <c r="J68" s="38" t="s">
        <v>50</v>
      </c>
      <c r="K68" s="37" t="s">
        <v>50</v>
      </c>
      <c r="L68" s="37" t="s">
        <v>50</v>
      </c>
      <c r="M68" s="39" t="s">
        <v>50</v>
      </c>
      <c r="N68" s="39" t="str">
        <f>M68</f>
        <v xml:space="preserve">au </v>
      </c>
      <c r="O68" s="39" t="str">
        <f>N68</f>
        <v xml:space="preserve">au </v>
      </c>
    </row>
    <row r="69" spans="1:15" ht="15" customHeight="1" x14ac:dyDescent="0.25">
      <c r="D69" s="218"/>
      <c r="E69" s="86"/>
      <c r="F69" s="40">
        <v>42460</v>
      </c>
      <c r="G69" s="40">
        <v>42825</v>
      </c>
      <c r="H69" s="40">
        <v>43190</v>
      </c>
      <c r="I69" s="40">
        <v>43555</v>
      </c>
      <c r="J69" s="41">
        <v>43921</v>
      </c>
      <c r="K69" s="40">
        <v>44286</v>
      </c>
      <c r="L69" s="40">
        <v>44651</v>
      </c>
      <c r="M69" s="42">
        <v>45016</v>
      </c>
      <c r="N69" s="36">
        <f>DATE(YEAR(M69)+1,MONTH(M69),DAY(M69))</f>
        <v>45382</v>
      </c>
      <c r="O69" s="36">
        <f>DATE(YEAR(N69)+1,MONTH(N69),DAY(N69))</f>
        <v>45747</v>
      </c>
    </row>
    <row r="70" spans="1:15" ht="15" customHeight="1" x14ac:dyDescent="0.25">
      <c r="A70" s="43"/>
      <c r="D70" s="44">
        <v>1</v>
      </c>
      <c r="E70" s="44">
        <f>D70</f>
        <v>1</v>
      </c>
      <c r="F70" s="45">
        <f>37.5/35*'35h'!F70</f>
        <v>58017.857142857138</v>
      </c>
      <c r="G70" s="45">
        <f>37.5/35*'35h'!G70</f>
        <v>59468.571428571428</v>
      </c>
      <c r="H70" s="45">
        <f>37.5/35*'35h'!H70</f>
        <v>60955.714285714283</v>
      </c>
      <c r="I70" s="45">
        <f>37.5/35*'35h'!I70</f>
        <v>62479.28571428571</v>
      </c>
      <c r="J70" s="46">
        <f>37.5/35*'35h'!J70</f>
        <v>65290.714285714283</v>
      </c>
      <c r="K70" s="47">
        <f>37.5/35*'35h'!K70</f>
        <v>66922.5</v>
      </c>
      <c r="L70" s="47">
        <f>37.5/35*'35h'!L70</f>
        <v>68260.71428571429</v>
      </c>
      <c r="M70" s="48">
        <f>37.5/35*'35h'!M70</f>
        <v>69625.71428571429</v>
      </c>
      <c r="N70" s="48">
        <f>M70</f>
        <v>69625.71428571429</v>
      </c>
      <c r="O70" s="48">
        <f>N70</f>
        <v>69625.71428571429</v>
      </c>
    </row>
    <row r="71" spans="1:15" ht="15" customHeight="1" x14ac:dyDescent="0.25">
      <c r="D71" s="44">
        <v>2</v>
      </c>
      <c r="E71" s="44">
        <f t="shared" ref="E71:E87" si="14">D71</f>
        <v>2</v>
      </c>
      <c r="F71" s="45">
        <f>37.5/35*'35h'!F71</f>
        <v>60460.714285714283</v>
      </c>
      <c r="G71" s="45">
        <f>37.5/35*'35h'!G71</f>
        <v>61972.5</v>
      </c>
      <c r="H71" s="45">
        <f>37.5/35*'35h'!H71</f>
        <v>63521.78571428571</v>
      </c>
      <c r="I71" s="45">
        <f>37.5/35*'35h'!I71</f>
        <v>65109.642857142855</v>
      </c>
      <c r="J71" s="46">
        <f>37.5/35*'35h'!J71</f>
        <v>68040</v>
      </c>
      <c r="K71" s="47">
        <f>37.5/35*'35h'!K71</f>
        <v>69741.428571428565</v>
      </c>
      <c r="L71" s="47">
        <f>37.5/35*'35h'!L71</f>
        <v>71136.428571428565</v>
      </c>
      <c r="M71" s="48">
        <f>37.5/35*'35h'!M71</f>
        <v>72559.28571428571</v>
      </c>
      <c r="N71" s="48">
        <f t="shared" ref="N71:O86" si="15">M71</f>
        <v>72559.28571428571</v>
      </c>
      <c r="O71" s="48">
        <f t="shared" si="15"/>
        <v>72559.28571428571</v>
      </c>
    </row>
    <row r="72" spans="1:15" ht="15" customHeight="1" x14ac:dyDescent="0.25">
      <c r="D72" s="44">
        <v>3</v>
      </c>
      <c r="E72" s="44">
        <f t="shared" si="14"/>
        <v>3</v>
      </c>
      <c r="F72" s="45">
        <f>37.5/35*'35h'!F72</f>
        <v>63004.28571428571</v>
      </c>
      <c r="G72" s="45">
        <f>37.5/35*'35h'!G72</f>
        <v>64579.28571428571</v>
      </c>
      <c r="H72" s="45">
        <f>37.5/35*'35h'!H72</f>
        <v>66193.928571428565</v>
      </c>
      <c r="I72" s="45">
        <f>37.5/35*'35h'!I72</f>
        <v>67849.28571428571</v>
      </c>
      <c r="J72" s="46">
        <f>37.5/35*'35h'!J72</f>
        <v>70902.857142857145</v>
      </c>
      <c r="K72" s="47">
        <f>37.5/35*'35h'!K72</f>
        <v>72675</v>
      </c>
      <c r="L72" s="47">
        <f>37.5/35*'35h'!L72</f>
        <v>74128.928571428565</v>
      </c>
      <c r="M72" s="48">
        <f>37.5/35*'35h'!M72</f>
        <v>75611.78571428571</v>
      </c>
      <c r="N72" s="48">
        <f t="shared" si="15"/>
        <v>75611.78571428571</v>
      </c>
      <c r="O72" s="48">
        <f t="shared" si="15"/>
        <v>75611.78571428571</v>
      </c>
    </row>
    <row r="73" spans="1:15" ht="15" customHeight="1" x14ac:dyDescent="0.25">
      <c r="D73" s="44">
        <v>4</v>
      </c>
      <c r="E73" s="44">
        <f t="shared" si="14"/>
        <v>4</v>
      </c>
      <c r="F73" s="45">
        <f>37.5/35*'35h'!F73</f>
        <v>65657.142857142855</v>
      </c>
      <c r="G73" s="45">
        <f>37.5/35*'35h'!G73</f>
        <v>67298.57142857142</v>
      </c>
      <c r="H73" s="45">
        <f>37.5/35*'35h'!H73</f>
        <v>68980.71428571429</v>
      </c>
      <c r="I73" s="45">
        <f>37.5/35*'35h'!I73</f>
        <v>70705.71428571429</v>
      </c>
      <c r="J73" s="46">
        <f>37.5/35*'35h'!J73</f>
        <v>73887.857142857145</v>
      </c>
      <c r="K73" s="47">
        <f>37.5/35*'35h'!K73</f>
        <v>75735</v>
      </c>
      <c r="L73" s="47">
        <f>37.5/35*'35h'!L73</f>
        <v>77250</v>
      </c>
      <c r="M73" s="48">
        <f>37.5/35*'35h'!M73</f>
        <v>78795</v>
      </c>
      <c r="N73" s="48">
        <f t="shared" si="15"/>
        <v>78795</v>
      </c>
      <c r="O73" s="48">
        <f t="shared" si="15"/>
        <v>78795</v>
      </c>
    </row>
    <row r="74" spans="1:15" ht="15" customHeight="1" x14ac:dyDescent="0.25">
      <c r="D74" s="44">
        <v>5</v>
      </c>
      <c r="E74" s="44">
        <f t="shared" si="14"/>
        <v>5</v>
      </c>
      <c r="F74" s="45">
        <f>37.5/35*'35h'!F74</f>
        <v>68423.57142857142</v>
      </c>
      <c r="G74" s="45">
        <f>37.5/35*'35h'!G74</f>
        <v>70134.642857142855</v>
      </c>
      <c r="H74" s="45">
        <f>37.5/35*'35h'!H74</f>
        <v>71887.5</v>
      </c>
      <c r="I74" s="45">
        <f>37.5/35*'35h'!I74</f>
        <v>73684.28571428571</v>
      </c>
      <c r="J74" s="46">
        <f>37.5/35*'35h'!J74</f>
        <v>77000.357142857145</v>
      </c>
      <c r="K74" s="47">
        <f>37.5/35*'35h'!K74</f>
        <v>78925.71428571429</v>
      </c>
      <c r="L74" s="47">
        <f>37.5/35*'35h'!L74</f>
        <v>80503.928571428565</v>
      </c>
      <c r="M74" s="48">
        <f>37.5/35*'35h'!M74</f>
        <v>82114.28571428571</v>
      </c>
      <c r="N74" s="48">
        <f t="shared" si="15"/>
        <v>82114.28571428571</v>
      </c>
      <c r="O74" s="48">
        <f t="shared" si="15"/>
        <v>82114.28571428571</v>
      </c>
    </row>
    <row r="75" spans="1:15" ht="15" customHeight="1" x14ac:dyDescent="0.25">
      <c r="D75" s="44">
        <v>6</v>
      </c>
      <c r="E75" s="44">
        <f t="shared" si="14"/>
        <v>6</v>
      </c>
      <c r="F75" s="45">
        <f>37.5/35*'35h'!F75</f>
        <v>71304.642857142855</v>
      </c>
      <c r="G75" s="45">
        <f>37.5/35*'35h'!G75</f>
        <v>73087.5</v>
      </c>
      <c r="H75" s="45">
        <f>37.5/35*'35h'!H75</f>
        <v>74914.28571428571</v>
      </c>
      <c r="I75" s="45">
        <f>37.5/35*'35h'!I75</f>
        <v>76787.142857142855</v>
      </c>
      <c r="J75" s="46">
        <f>37.5/35*'35h'!J75</f>
        <v>80242.5</v>
      </c>
      <c r="K75" s="47">
        <f>37.5/35*'35h'!K75</f>
        <v>82248.21428571429</v>
      </c>
      <c r="L75" s="47">
        <f>37.5/35*'35h'!L75</f>
        <v>83892.857142857145</v>
      </c>
      <c r="M75" s="48">
        <f>37.5/35*'35h'!M75</f>
        <v>85570.71428571429</v>
      </c>
      <c r="N75" s="48">
        <f t="shared" si="15"/>
        <v>85570.71428571429</v>
      </c>
      <c r="O75" s="48">
        <f t="shared" si="15"/>
        <v>85570.71428571429</v>
      </c>
    </row>
    <row r="76" spans="1:15" ht="15" customHeight="1" x14ac:dyDescent="0.25">
      <c r="D76" s="44">
        <v>7</v>
      </c>
      <c r="E76" s="44">
        <f t="shared" si="14"/>
        <v>7</v>
      </c>
      <c r="F76" s="45">
        <f>37.5/35*'35h'!F76</f>
        <v>74305.71428571429</v>
      </c>
      <c r="G76" s="45">
        <f>37.5/35*'35h'!G76</f>
        <v>76163.57142857142</v>
      </c>
      <c r="H76" s="45">
        <f>37.5/35*'35h'!H76</f>
        <v>78067.5</v>
      </c>
      <c r="I76" s="45">
        <f>37.5/35*'35h'!I76</f>
        <v>80019.642857142855</v>
      </c>
      <c r="J76" s="46">
        <f>37.5/35*'35h'!J76</f>
        <v>83620.71428571429</v>
      </c>
      <c r="K76" s="47">
        <f>37.5/35*'35h'!K76</f>
        <v>85711.07142857142</v>
      </c>
      <c r="L76" s="47">
        <f>37.5/35*'35h'!L76</f>
        <v>87425.357142857145</v>
      </c>
      <c r="M76" s="48">
        <f>37.5/35*'35h'!M76</f>
        <v>89173.928571428565</v>
      </c>
      <c r="N76" s="48">
        <f t="shared" si="15"/>
        <v>89173.928571428565</v>
      </c>
      <c r="O76" s="48">
        <f t="shared" si="15"/>
        <v>89173.928571428565</v>
      </c>
    </row>
    <row r="77" spans="1:15" ht="15" customHeight="1" thickBot="1" x14ac:dyDescent="0.3">
      <c r="D77" s="49">
        <v>8</v>
      </c>
      <c r="E77" s="49">
        <f t="shared" si="14"/>
        <v>8</v>
      </c>
      <c r="F77" s="50">
        <f>37.5/35*'35h'!F77</f>
        <v>77436.428571428565</v>
      </c>
      <c r="G77" s="50">
        <f>37.5/35*'35h'!G77</f>
        <v>79372.5</v>
      </c>
      <c r="H77" s="50">
        <f>37.5/35*'35h'!H77</f>
        <v>81356.78571428571</v>
      </c>
      <c r="I77" s="50">
        <f>37.5/35*'35h'!I77</f>
        <v>83390.357142857145</v>
      </c>
      <c r="J77" s="51">
        <f>37.5/35*'35h'!J77</f>
        <v>87142.5</v>
      </c>
      <c r="K77" s="68">
        <f>37.5/35*'35h'!K77</f>
        <v>89320.71428571429</v>
      </c>
      <c r="L77" s="68">
        <f>37.5/35*'35h'!L77</f>
        <v>91106.78571428571</v>
      </c>
      <c r="M77" s="69">
        <f>37.5/35*'35h'!M77</f>
        <v>92929.28571428571</v>
      </c>
      <c r="N77" s="48">
        <f t="shared" si="15"/>
        <v>92929.28571428571</v>
      </c>
      <c r="O77" s="48">
        <f t="shared" si="15"/>
        <v>92929.28571428571</v>
      </c>
    </row>
    <row r="78" spans="1:15" ht="15" customHeight="1" x14ac:dyDescent="0.25">
      <c r="D78" s="52">
        <v>9</v>
      </c>
      <c r="E78" s="44">
        <f t="shared" si="14"/>
        <v>9</v>
      </c>
      <c r="F78" s="53">
        <f>37.5/35*'35h'!F78</f>
        <v>80694.642857142855</v>
      </c>
      <c r="G78" s="53">
        <f>37.5/35*'35h'!G78</f>
        <v>82712.142857142855</v>
      </c>
      <c r="H78" s="53">
        <f>37.5/35*'35h'!H78</f>
        <v>84780</v>
      </c>
      <c r="I78" s="53">
        <f>37.5/35*'35h'!I78</f>
        <v>86899.28571428571</v>
      </c>
      <c r="J78" s="54">
        <f>37.5/35*'35h'!J78</f>
        <v>90810</v>
      </c>
      <c r="K78" s="70">
        <f>37.5/35*'35h'!K78</f>
        <v>93080.357142857145</v>
      </c>
      <c r="L78" s="70">
        <f>37.5/35*'35h'!L78</f>
        <v>94942.5</v>
      </c>
      <c r="M78" s="71">
        <f>37.5/35*'35h'!M78</f>
        <v>96841.07142857142</v>
      </c>
      <c r="N78" s="48">
        <f t="shared" si="15"/>
        <v>96841.07142857142</v>
      </c>
      <c r="O78" s="48">
        <f t="shared" si="15"/>
        <v>96841.07142857142</v>
      </c>
    </row>
    <row r="79" spans="1:15" ht="15" customHeight="1" x14ac:dyDescent="0.25">
      <c r="D79" s="44">
        <v>10</v>
      </c>
      <c r="E79" s="44">
        <f t="shared" si="14"/>
        <v>10</v>
      </c>
      <c r="F79" s="45">
        <f>37.5/35*'35h'!F79</f>
        <v>84093.21428571429</v>
      </c>
      <c r="G79" s="45">
        <f>37.5/35*'35h'!G79</f>
        <v>86195.357142857145</v>
      </c>
      <c r="H79" s="45">
        <f>37.5/35*'35h'!H79</f>
        <v>88350</v>
      </c>
      <c r="I79" s="45">
        <f>37.5/35*'35h'!I79</f>
        <v>90559.28571428571</v>
      </c>
      <c r="J79" s="46">
        <f>37.5/35*'35h'!J79</f>
        <v>94633.928571428565</v>
      </c>
      <c r="K79" s="47">
        <f>37.5/35*'35h'!K79</f>
        <v>96999.642857142855</v>
      </c>
      <c r="L79" s="47">
        <f>37.5/35*'35h'!L79</f>
        <v>98940</v>
      </c>
      <c r="M79" s="48">
        <f>37.5/35*'35h'!M79</f>
        <v>100918.92857142857</v>
      </c>
      <c r="N79" s="48">
        <f t="shared" si="15"/>
        <v>100918.92857142857</v>
      </c>
      <c r="O79" s="48">
        <f t="shared" si="15"/>
        <v>100918.92857142857</v>
      </c>
    </row>
    <row r="80" spans="1:15" ht="15" customHeight="1" x14ac:dyDescent="0.25">
      <c r="D80" s="44">
        <v>11</v>
      </c>
      <c r="E80" s="44">
        <f t="shared" si="14"/>
        <v>11</v>
      </c>
      <c r="F80" s="45">
        <f>37.5/35*'35h'!F80</f>
        <v>87633.21428571429</v>
      </c>
      <c r="G80" s="45">
        <f>37.5/35*'35h'!G80</f>
        <v>89824.28571428571</v>
      </c>
      <c r="H80" s="45">
        <f>37.5/35*'35h'!H80</f>
        <v>92070</v>
      </c>
      <c r="I80" s="45">
        <f>37.5/35*'35h'!I80</f>
        <v>94371.428571428565</v>
      </c>
      <c r="J80" s="46">
        <f>37.5/35*'35h'!J80</f>
        <v>98618.57142857142</v>
      </c>
      <c r="K80" s="47">
        <f>37.5/35*'35h'!K80</f>
        <v>101083.92857142857</v>
      </c>
      <c r="L80" s="47">
        <f>37.5/35*'35h'!L80</f>
        <v>103105.71428571429</v>
      </c>
      <c r="M80" s="48">
        <f>37.5/35*'35h'!M80</f>
        <v>105168.21428571429</v>
      </c>
      <c r="N80" s="48">
        <f t="shared" si="15"/>
        <v>105168.21428571429</v>
      </c>
      <c r="O80" s="48">
        <f t="shared" si="15"/>
        <v>105168.21428571429</v>
      </c>
    </row>
    <row r="81" spans="4:15" ht="15" customHeight="1" x14ac:dyDescent="0.25">
      <c r="D81" s="44">
        <v>12</v>
      </c>
      <c r="E81" s="44">
        <f t="shared" si="14"/>
        <v>12</v>
      </c>
      <c r="F81" s="45">
        <f>37.5/35*'35h'!F81</f>
        <v>91323.21428571429</v>
      </c>
      <c r="G81" s="45">
        <f>37.5/35*'35h'!G81</f>
        <v>93606.428571428565</v>
      </c>
      <c r="H81" s="45">
        <f>37.5/35*'35h'!H81</f>
        <v>95946.428571428565</v>
      </c>
      <c r="I81" s="45">
        <f>37.5/35*'35h'!I81</f>
        <v>98345.357142857145</v>
      </c>
      <c r="J81" s="46">
        <f>37.5/35*'35h'!J81</f>
        <v>102771.42857142857</v>
      </c>
      <c r="K81" s="47">
        <f>37.5/35*'35h'!K81</f>
        <v>105340.71428571429</v>
      </c>
      <c r="L81" s="47">
        <f>37.5/35*'35h'!L81</f>
        <v>107447.14285714286</v>
      </c>
      <c r="M81" s="48">
        <f>37.5/35*'35h'!M81</f>
        <v>109596.42857142857</v>
      </c>
      <c r="N81" s="48">
        <f t="shared" si="15"/>
        <v>109596.42857142857</v>
      </c>
      <c r="O81" s="48">
        <f t="shared" si="15"/>
        <v>109596.42857142857</v>
      </c>
    </row>
    <row r="82" spans="4:15" ht="15" customHeight="1" x14ac:dyDescent="0.25">
      <c r="D82" s="44">
        <v>13</v>
      </c>
      <c r="E82" s="44">
        <f t="shared" si="14"/>
        <v>13</v>
      </c>
      <c r="F82" s="45">
        <f>37.5/35*'35h'!F82</f>
        <v>95167.5</v>
      </c>
      <c r="G82" s="45">
        <f>37.5/35*'35h'!G82</f>
        <v>97547.142857142855</v>
      </c>
      <c r="H82" s="45">
        <f>37.5/35*'35h'!H82</f>
        <v>99985.71428571429</v>
      </c>
      <c r="I82" s="45">
        <f>37.5/35*'35h'!I82</f>
        <v>102485.35714285714</v>
      </c>
      <c r="J82" s="46">
        <f>37.5/35*'35h'!J82</f>
        <v>107096.78571428571</v>
      </c>
      <c r="K82" s="47">
        <f>37.5/35*'35h'!K82</f>
        <v>109774.28571428571</v>
      </c>
      <c r="L82" s="47">
        <f>37.5/35*'35h'!L82</f>
        <v>111969.64285714286</v>
      </c>
      <c r="M82" s="48">
        <f>37.5/35*'35h'!M82</f>
        <v>114208.92857142857</v>
      </c>
      <c r="N82" s="48">
        <f t="shared" si="15"/>
        <v>114208.92857142857</v>
      </c>
      <c r="O82" s="48">
        <f t="shared" si="15"/>
        <v>114208.92857142857</v>
      </c>
    </row>
    <row r="83" spans="4:15" ht="15" customHeight="1" x14ac:dyDescent="0.25">
      <c r="D83" s="44">
        <v>14</v>
      </c>
      <c r="E83" s="44">
        <f t="shared" si="14"/>
        <v>14</v>
      </c>
      <c r="F83" s="45">
        <f>37.5/35*'35h'!F83</f>
        <v>99175.71428571429</v>
      </c>
      <c r="G83" s="45">
        <f>37.5/35*'35h'!G83</f>
        <v>101655</v>
      </c>
      <c r="H83" s="45">
        <f>37.5/35*'35h'!H83</f>
        <v>104196.42857142857</v>
      </c>
      <c r="I83" s="45">
        <f>37.5/35*'35h'!I83</f>
        <v>106801.07142857142</v>
      </c>
      <c r="J83" s="46">
        <f>37.5/35*'35h'!J83</f>
        <v>111607.5</v>
      </c>
      <c r="K83" s="47">
        <f>37.5/35*'35h'!K83</f>
        <v>114397.5</v>
      </c>
      <c r="L83" s="47">
        <f>37.5/35*'35h'!L83</f>
        <v>116685</v>
      </c>
      <c r="M83" s="48">
        <f>37.5/35*'35h'!M83</f>
        <v>119018.57142857142</v>
      </c>
      <c r="N83" s="48">
        <f t="shared" si="15"/>
        <v>119018.57142857142</v>
      </c>
      <c r="O83" s="48">
        <f t="shared" si="15"/>
        <v>119018.57142857142</v>
      </c>
    </row>
    <row r="84" spans="4:15" ht="15" customHeight="1" x14ac:dyDescent="0.25">
      <c r="D84" s="44">
        <v>15</v>
      </c>
      <c r="E84" s="44">
        <f t="shared" si="14"/>
        <v>15</v>
      </c>
      <c r="F84" s="45">
        <f>37.5/35*'35h'!F84</f>
        <v>103351.07142857142</v>
      </c>
      <c r="G84" s="45">
        <f>37.5/35*'35h'!G84</f>
        <v>105935.35714285714</v>
      </c>
      <c r="H84" s="45">
        <f>37.5/35*'35h'!H84</f>
        <v>108583.92857142857</v>
      </c>
      <c r="I84" s="45">
        <f>37.5/35*'35h'!I84</f>
        <v>111298.92857142857</v>
      </c>
      <c r="J84" s="46">
        <f>37.5/35*'35h'!J84</f>
        <v>116307.85714285714</v>
      </c>
      <c r="K84" s="47">
        <f>37.5/35*'35h'!K84</f>
        <v>119215.71428571428</v>
      </c>
      <c r="L84" s="47">
        <f>37.5/35*'35h'!L84</f>
        <v>121599.64285714286</v>
      </c>
      <c r="M84" s="48">
        <f>37.5/35*'35h'!M84</f>
        <v>124031.78571428571</v>
      </c>
      <c r="N84" s="48">
        <f t="shared" si="15"/>
        <v>124031.78571428571</v>
      </c>
      <c r="O84" s="48">
        <f t="shared" si="15"/>
        <v>124031.78571428571</v>
      </c>
    </row>
    <row r="85" spans="4:15" ht="15" customHeight="1" x14ac:dyDescent="0.25">
      <c r="D85" s="44">
        <v>16</v>
      </c>
      <c r="E85" s="44">
        <f t="shared" si="14"/>
        <v>16</v>
      </c>
      <c r="F85" s="45">
        <f>37.5/35*'35h'!F85</f>
        <v>107702.14285714286</v>
      </c>
      <c r="G85" s="45">
        <f>37.5/35*'35h'!G85</f>
        <v>110394.64285714286</v>
      </c>
      <c r="H85" s="45">
        <f>37.5/35*'35h'!H85</f>
        <v>113154.64285714286</v>
      </c>
      <c r="I85" s="45">
        <f>37.5/35*'35h'!I85</f>
        <v>115983.21428571428</v>
      </c>
      <c r="J85" s="46">
        <f>37.5/35*'35h'!J85</f>
        <v>121202.14285714286</v>
      </c>
      <c r="K85" s="47">
        <f>37.5/35*'35h'!K85</f>
        <v>124232.14285714286</v>
      </c>
      <c r="L85" s="47">
        <f>37.5/35*'35h'!L85</f>
        <v>126716.78571428571</v>
      </c>
      <c r="M85" s="48">
        <f>37.5/35*'35h'!M85</f>
        <v>129250.71428571428</v>
      </c>
      <c r="N85" s="48">
        <f t="shared" si="15"/>
        <v>129250.71428571428</v>
      </c>
      <c r="O85" s="48">
        <f t="shared" si="15"/>
        <v>129250.71428571428</v>
      </c>
    </row>
    <row r="86" spans="4:15" ht="15" customHeight="1" x14ac:dyDescent="0.25">
      <c r="D86" s="44">
        <v>17</v>
      </c>
      <c r="E86" s="44">
        <f t="shared" si="14"/>
        <v>17</v>
      </c>
      <c r="F86" s="45">
        <f>37.5/35*'35h'!F86</f>
        <v>112235.35714285714</v>
      </c>
      <c r="G86" s="45">
        <f>37.5/35*'35h'!G86</f>
        <v>115041.42857142857</v>
      </c>
      <c r="H86" s="45">
        <f>37.5/35*'35h'!H86</f>
        <v>117917.14285714286</v>
      </c>
      <c r="I86" s="45">
        <f>37.5/35*'35h'!I86</f>
        <v>120864.64285714286</v>
      </c>
      <c r="J86" s="46">
        <f>37.5/35*'35h'!J86</f>
        <v>126303.21428571428</v>
      </c>
      <c r="K86" s="47">
        <f>37.5/35*'35h'!K86</f>
        <v>129460.71428571428</v>
      </c>
      <c r="L86" s="47">
        <f>37.5/35*'35h'!L86</f>
        <v>132050.35714285713</v>
      </c>
      <c r="M86" s="48">
        <f>37.5/35*'35h'!M86</f>
        <v>134691.42857142858</v>
      </c>
      <c r="N86" s="48">
        <f t="shared" si="15"/>
        <v>134691.42857142858</v>
      </c>
      <c r="O86" s="48">
        <f t="shared" si="15"/>
        <v>134691.42857142858</v>
      </c>
    </row>
    <row r="87" spans="4:15" ht="15" customHeight="1" x14ac:dyDescent="0.25">
      <c r="D87" s="44">
        <v>18</v>
      </c>
      <c r="E87" s="44">
        <f t="shared" si="14"/>
        <v>18</v>
      </c>
      <c r="F87" s="45">
        <f>37.5/35*'35h'!F87</f>
        <v>116962.5</v>
      </c>
      <c r="G87" s="45">
        <f>37.5/35*'35h'!G87</f>
        <v>119886.42857142857</v>
      </c>
      <c r="H87" s="45">
        <f>37.5/35*'35h'!H87</f>
        <v>122883.21428571428</v>
      </c>
      <c r="I87" s="45">
        <f>37.5/35*'35h'!I87</f>
        <v>125955</v>
      </c>
      <c r="J87" s="46">
        <f>37.5/35*'35h'!J87</f>
        <v>131622.85714285713</v>
      </c>
      <c r="K87" s="47">
        <f>37.5/35*'35h'!K87</f>
        <v>134913.21428571429</v>
      </c>
      <c r="L87" s="47">
        <f>37.5/35*'35h'!L87</f>
        <v>137611.07142857142</v>
      </c>
      <c r="M87" s="48">
        <f>37.5/35*'35h'!M87</f>
        <v>140363.57142857142</v>
      </c>
      <c r="N87" s="48">
        <f t="shared" ref="N87:O89" si="16">M87</f>
        <v>140363.57142857142</v>
      </c>
      <c r="O87" s="48">
        <f t="shared" si="16"/>
        <v>140363.57142857142</v>
      </c>
    </row>
    <row r="88" spans="4:15" ht="15" customHeight="1" x14ac:dyDescent="0.25">
      <c r="D88" s="44">
        <v>19</v>
      </c>
      <c r="E88" s="44">
        <v>18</v>
      </c>
      <c r="F88" s="45">
        <f>F87</f>
        <v>116962.5</v>
      </c>
      <c r="G88" s="45">
        <f t="shared" ref="G88" si="17">G87</f>
        <v>119886.42857142857</v>
      </c>
      <c r="H88" s="45">
        <f t="shared" ref="H88" si="18">H87</f>
        <v>122883.21428571428</v>
      </c>
      <c r="I88" s="45">
        <f t="shared" ref="I88" si="19">I87</f>
        <v>125955</v>
      </c>
      <c r="J88" s="46">
        <f t="shared" ref="J88" si="20">J87</f>
        <v>131622.85714285713</v>
      </c>
      <c r="K88" s="47">
        <f t="shared" ref="K88" si="21">K87</f>
        <v>134913.21428571429</v>
      </c>
      <c r="L88" s="47">
        <f t="shared" ref="L88" si="22">L87</f>
        <v>137611.07142857142</v>
      </c>
      <c r="M88" s="48">
        <f t="shared" ref="M88" si="23">M87</f>
        <v>140363.57142857142</v>
      </c>
      <c r="N88" s="48">
        <f t="shared" si="16"/>
        <v>140363.57142857142</v>
      </c>
      <c r="O88" s="48">
        <f t="shared" si="16"/>
        <v>140363.57142857142</v>
      </c>
    </row>
    <row r="89" spans="4:15" ht="15" customHeight="1" x14ac:dyDescent="0.25">
      <c r="D89" s="55">
        <v>20</v>
      </c>
      <c r="E89" s="44" t="s">
        <v>51</v>
      </c>
      <c r="F89" s="45">
        <f>37.5/35*'35h'!F89</f>
        <v>134507.14285714284</v>
      </c>
      <c r="G89" s="45">
        <f>37.5/35*'35h'!G89</f>
        <v>137869.28571428571</v>
      </c>
      <c r="H89" s="45">
        <f>37.5/35*'35h'!H89</f>
        <v>141316.07142857142</v>
      </c>
      <c r="I89" s="45">
        <f>37.5/35*'35h'!I89</f>
        <v>144848.57142857142</v>
      </c>
      <c r="J89" s="46">
        <f>37.5/35*'35h'!J89</f>
        <v>151366.07142857142</v>
      </c>
      <c r="K89" s="47">
        <f>37.5/35*'35h'!K89</f>
        <v>155150.35714285713</v>
      </c>
      <c r="L89" s="47">
        <f>37.5/35*'35h'!L89</f>
        <v>158253.21428571429</v>
      </c>
      <c r="M89" s="48">
        <f>37.5/35*'35h'!M89</f>
        <v>161418.21428571429</v>
      </c>
      <c r="N89" s="48">
        <f t="shared" si="16"/>
        <v>161418.21428571429</v>
      </c>
      <c r="O89" s="48">
        <f t="shared" si="16"/>
        <v>161418.21428571429</v>
      </c>
    </row>
    <row r="90" spans="4:15" ht="15" customHeight="1" x14ac:dyDescent="0.25">
      <c r="D90" s="57"/>
      <c r="E90" s="57"/>
      <c r="J90" s="58"/>
      <c r="M90" s="59"/>
    </row>
    <row r="91" spans="4:15" ht="15" customHeight="1" x14ac:dyDescent="0.25">
      <c r="D91" s="57" t="s">
        <v>52</v>
      </c>
      <c r="E91" s="57" t="s">
        <v>52</v>
      </c>
      <c r="F91" s="60">
        <v>5.7000000000000002E-3</v>
      </c>
      <c r="G91" s="60">
        <v>2.5000000000000001E-2</v>
      </c>
      <c r="H91" s="60">
        <v>2.5000000000000001E-2</v>
      </c>
      <c r="I91" s="60">
        <v>2.5000000000000001E-2</v>
      </c>
      <c r="J91" s="61">
        <v>4.4999999999999998E-2</v>
      </c>
      <c r="K91" s="60">
        <v>2.5000000000000001E-2</v>
      </c>
      <c r="L91" s="60">
        <v>0.02</v>
      </c>
      <c r="M91" s="62">
        <v>0.02</v>
      </c>
    </row>
    <row r="92" spans="4:15" ht="15" customHeight="1" x14ac:dyDescent="0.25">
      <c r="D92" s="57"/>
      <c r="E92" s="57"/>
      <c r="J92" s="58"/>
      <c r="M92" s="59"/>
    </row>
    <row r="93" spans="4:15" ht="15" customHeight="1" thickBot="1" x14ac:dyDescent="0.3">
      <c r="D93" s="63" t="s">
        <v>53</v>
      </c>
      <c r="E93" s="63" t="s">
        <v>53</v>
      </c>
      <c r="F93" s="72">
        <v>5.7000000000000002E-3</v>
      </c>
      <c r="G93" s="65">
        <v>3.0842499999999884E-2</v>
      </c>
      <c r="H93" s="65">
        <v>5.6613562499999714E-2</v>
      </c>
      <c r="I93" s="65">
        <v>8.3028901562499646E-2</v>
      </c>
      <c r="J93" s="66">
        <v>0.13176520213281195</v>
      </c>
      <c r="K93" s="65">
        <v>0.16005933218613211</v>
      </c>
      <c r="L93" s="65">
        <v>0.18326051882985483</v>
      </c>
      <c r="M93" s="67">
        <v>0.20692572920645191</v>
      </c>
    </row>
    <row r="94" spans="4:15" ht="15" customHeight="1" x14ac:dyDescent="0.25"/>
    <row r="95" spans="4:15" ht="15" customHeight="1" x14ac:dyDescent="0.25"/>
    <row r="96" spans="4:15" ht="15" customHeight="1" x14ac:dyDescent="0.25">
      <c r="E96" s="33" t="s">
        <v>56</v>
      </c>
    </row>
    <row r="97" spans="1:15" ht="15" customHeight="1" thickBot="1" x14ac:dyDescent="0.3"/>
    <row r="98" spans="1:15" ht="15" customHeight="1" x14ac:dyDescent="0.25">
      <c r="D98" s="217" t="s">
        <v>23</v>
      </c>
      <c r="E98" s="85"/>
      <c r="F98" s="34">
        <v>42095</v>
      </c>
      <c r="G98" s="34">
        <v>42461</v>
      </c>
      <c r="H98" s="34">
        <v>42826</v>
      </c>
      <c r="I98" s="34">
        <v>43191</v>
      </c>
      <c r="J98" s="35">
        <v>43556</v>
      </c>
      <c r="K98" s="34">
        <v>43922</v>
      </c>
      <c r="L98" s="34">
        <v>44287</v>
      </c>
      <c r="M98" s="36">
        <v>44652</v>
      </c>
      <c r="N98" s="36">
        <f>DATE(YEAR(M98)+1,MONTH(M98),DAY(M98))</f>
        <v>45017</v>
      </c>
      <c r="O98" s="36">
        <f>DATE(YEAR(N98)+1,MONTH(N98),DAY(N98))</f>
        <v>45383</v>
      </c>
    </row>
    <row r="99" spans="1:15" ht="15" customHeight="1" thickBot="1" x14ac:dyDescent="0.3">
      <c r="D99" s="218"/>
      <c r="E99" s="86" t="str">
        <f>D98</f>
        <v>Échelon</v>
      </c>
      <c r="F99" s="37" t="s">
        <v>49</v>
      </c>
      <c r="G99" s="37" t="s">
        <v>49</v>
      </c>
      <c r="H99" s="37" t="s">
        <v>49</v>
      </c>
      <c r="I99" s="37" t="s">
        <v>50</v>
      </c>
      <c r="J99" s="38" t="s">
        <v>50</v>
      </c>
      <c r="K99" s="37" t="s">
        <v>50</v>
      </c>
      <c r="L99" s="37" t="s">
        <v>50</v>
      </c>
      <c r="M99" s="39" t="s">
        <v>50</v>
      </c>
      <c r="N99" s="39" t="str">
        <f>M99</f>
        <v xml:space="preserve">au </v>
      </c>
      <c r="O99" s="39" t="str">
        <f>N99</f>
        <v xml:space="preserve">au </v>
      </c>
    </row>
    <row r="100" spans="1:15" ht="15" customHeight="1" x14ac:dyDescent="0.25">
      <c r="D100" s="218"/>
      <c r="E100" s="86"/>
      <c r="F100" s="40">
        <v>42460</v>
      </c>
      <c r="G100" s="40">
        <v>42825</v>
      </c>
      <c r="H100" s="40">
        <v>43190</v>
      </c>
      <c r="I100" s="40">
        <v>43555</v>
      </c>
      <c r="J100" s="41">
        <v>43921</v>
      </c>
      <c r="K100" s="40">
        <v>44286</v>
      </c>
      <c r="L100" s="40">
        <v>44651</v>
      </c>
      <c r="M100" s="42">
        <v>45016</v>
      </c>
      <c r="N100" s="36">
        <f>DATE(YEAR(M100)+1,MONTH(M100),DAY(M100))</f>
        <v>45382</v>
      </c>
      <c r="O100" s="36">
        <f>DATE(YEAR(N100)+1,MONTH(N100),DAY(N100))</f>
        <v>45747</v>
      </c>
    </row>
    <row r="101" spans="1:15" ht="15" customHeight="1" x14ac:dyDescent="0.25">
      <c r="A101" s="43"/>
      <c r="D101" s="44">
        <v>1</v>
      </c>
      <c r="E101" s="44">
        <f>D101</f>
        <v>1</v>
      </c>
      <c r="F101" s="45">
        <f>37.5/35*'35h'!F101</f>
        <v>59178.214285714283</v>
      </c>
      <c r="G101" s="45">
        <f>37.5/35*'35h'!G101</f>
        <v>60657.857142857138</v>
      </c>
      <c r="H101" s="45">
        <f>37.5/35*'35h'!H101</f>
        <v>62175</v>
      </c>
      <c r="I101" s="45">
        <f>37.5/35*'35h'!I101</f>
        <v>63728.571428571428</v>
      </c>
      <c r="J101" s="73">
        <f>37.5/35*'35h'!J101</f>
        <v>66596.78571428571</v>
      </c>
      <c r="K101" s="45">
        <f>37.5/35*'35h'!K101</f>
        <v>68260.71428571429</v>
      </c>
      <c r="L101" s="45">
        <f>37.5/35*'35h'!L101</f>
        <v>69625.71428571429</v>
      </c>
      <c r="M101" s="74">
        <f>37.5/35*'35h'!M101</f>
        <v>71018.57142857142</v>
      </c>
      <c r="N101" s="48">
        <f>M101</f>
        <v>71018.57142857142</v>
      </c>
      <c r="O101" s="48">
        <f>N101</f>
        <v>71018.57142857142</v>
      </c>
    </row>
    <row r="102" spans="1:15" ht="15" customHeight="1" x14ac:dyDescent="0.25">
      <c r="D102" s="44">
        <v>2</v>
      </c>
      <c r="E102" s="44">
        <f t="shared" ref="E102:E118" si="24">D102</f>
        <v>2</v>
      </c>
      <c r="F102" s="45">
        <f>37.5/35*'35h'!F102</f>
        <v>61670.357142857138</v>
      </c>
      <c r="G102" s="45">
        <f>37.5/35*'35h'!G102</f>
        <v>63212.142857142855</v>
      </c>
      <c r="H102" s="45">
        <f>37.5/35*'35h'!H102</f>
        <v>64792.5</v>
      </c>
      <c r="I102" s="45">
        <f>37.5/35*'35h'!I102</f>
        <v>66411.428571428565</v>
      </c>
      <c r="J102" s="73">
        <f>37.5/35*'35h'!J102</f>
        <v>69400.71428571429</v>
      </c>
      <c r="K102" s="45">
        <f>37.5/35*'35h'!K102</f>
        <v>71136.428571428565</v>
      </c>
      <c r="L102" s="45">
        <f>37.5/35*'35h'!L102</f>
        <v>72559.28571428571</v>
      </c>
      <c r="M102" s="74">
        <f>37.5/35*'35h'!M102</f>
        <v>74010</v>
      </c>
      <c r="N102" s="48">
        <f t="shared" ref="N102:O117" si="25">M102</f>
        <v>74010</v>
      </c>
      <c r="O102" s="48">
        <f t="shared" si="25"/>
        <v>74010</v>
      </c>
    </row>
    <row r="103" spans="1:15" ht="15" customHeight="1" x14ac:dyDescent="0.25">
      <c r="D103" s="44">
        <v>3</v>
      </c>
      <c r="E103" s="44">
        <f t="shared" si="24"/>
        <v>3</v>
      </c>
      <c r="F103" s="45">
        <f>37.5/35*'35h'!F103</f>
        <v>64264.28571428571</v>
      </c>
      <c r="G103" s="45">
        <f>37.5/35*'35h'!G103</f>
        <v>65870.357142857145</v>
      </c>
      <c r="H103" s="45">
        <f>37.5/35*'35h'!H103</f>
        <v>67518.21428571429</v>
      </c>
      <c r="I103" s="45">
        <f>37.5/35*'35h'!I103</f>
        <v>69206.78571428571</v>
      </c>
      <c r="J103" s="73">
        <f>37.5/35*'35h'!J103</f>
        <v>72321.428571428565</v>
      </c>
      <c r="K103" s="45">
        <f>37.5/35*'35h'!K103</f>
        <v>74128.928571428565</v>
      </c>
      <c r="L103" s="45">
        <f>37.5/35*'35h'!L103</f>
        <v>75611.78571428571</v>
      </c>
      <c r="M103" s="74">
        <f>37.5/35*'35h'!M103</f>
        <v>77123.57142857142</v>
      </c>
      <c r="N103" s="48">
        <f t="shared" si="25"/>
        <v>77123.57142857142</v>
      </c>
      <c r="O103" s="48">
        <f t="shared" si="25"/>
        <v>77123.57142857142</v>
      </c>
    </row>
    <row r="104" spans="1:15" ht="15" customHeight="1" x14ac:dyDescent="0.25">
      <c r="D104" s="44">
        <v>4</v>
      </c>
      <c r="E104" s="44">
        <f t="shared" si="24"/>
        <v>4</v>
      </c>
      <c r="F104" s="45">
        <f>37.5/35*'35h'!F104</f>
        <v>66970.71428571429</v>
      </c>
      <c r="G104" s="45">
        <f>37.5/35*'35h'!G104</f>
        <v>68644.28571428571</v>
      </c>
      <c r="H104" s="45">
        <f>37.5/35*'35h'!H104</f>
        <v>70360.71428571429</v>
      </c>
      <c r="I104" s="45">
        <f>37.5/35*'35h'!I104</f>
        <v>72120</v>
      </c>
      <c r="J104" s="73">
        <f>37.5/35*'35h'!J104</f>
        <v>75365.357142857145</v>
      </c>
      <c r="K104" s="45">
        <f>37.5/35*'35h'!K104</f>
        <v>77250</v>
      </c>
      <c r="L104" s="45">
        <f>37.5/35*'35h'!L104</f>
        <v>78795</v>
      </c>
      <c r="M104" s="74">
        <f>37.5/35*'35h'!M104</f>
        <v>80371.07142857142</v>
      </c>
      <c r="N104" s="48">
        <f t="shared" si="25"/>
        <v>80371.07142857142</v>
      </c>
      <c r="O104" s="48">
        <f t="shared" si="25"/>
        <v>80371.07142857142</v>
      </c>
    </row>
    <row r="105" spans="1:15" ht="15" customHeight="1" x14ac:dyDescent="0.25">
      <c r="D105" s="44">
        <v>5</v>
      </c>
      <c r="E105" s="44">
        <f t="shared" si="24"/>
        <v>5</v>
      </c>
      <c r="F105" s="45">
        <f>37.5/35*'35h'!F105</f>
        <v>69791.78571428571</v>
      </c>
      <c r="G105" s="45">
        <f>37.5/35*'35h'!G105</f>
        <v>71537.142857142855</v>
      </c>
      <c r="H105" s="45">
        <f>37.5/35*'35h'!H105</f>
        <v>73325.357142857145</v>
      </c>
      <c r="I105" s="45">
        <f>37.5/35*'35h'!I105</f>
        <v>75157.5</v>
      </c>
      <c r="J105" s="73">
        <f>37.5/35*'35h'!J105</f>
        <v>78540</v>
      </c>
      <c r="K105" s="45">
        <f>37.5/35*'35h'!K105</f>
        <v>80503.928571428565</v>
      </c>
      <c r="L105" s="45">
        <f>37.5/35*'35h'!L105</f>
        <v>82114.28571428571</v>
      </c>
      <c r="M105" s="74">
        <f>37.5/35*'35h'!M105</f>
        <v>83756.78571428571</v>
      </c>
      <c r="N105" s="48">
        <f t="shared" si="25"/>
        <v>83756.78571428571</v>
      </c>
      <c r="O105" s="48">
        <f t="shared" si="25"/>
        <v>83756.78571428571</v>
      </c>
    </row>
    <row r="106" spans="1:15" ht="15" customHeight="1" x14ac:dyDescent="0.25">
      <c r="D106" s="44">
        <v>6</v>
      </c>
      <c r="E106" s="44">
        <f t="shared" si="24"/>
        <v>6</v>
      </c>
      <c r="F106" s="45">
        <f>37.5/35*'35h'!F106</f>
        <v>72730.71428571429</v>
      </c>
      <c r="G106" s="45">
        <f>37.5/35*'35h'!G106</f>
        <v>74548.928571428565</v>
      </c>
      <c r="H106" s="45">
        <f>37.5/35*'35h'!H106</f>
        <v>76412.142857142855</v>
      </c>
      <c r="I106" s="45">
        <f>37.5/35*'35h'!I106</f>
        <v>78322.5</v>
      </c>
      <c r="J106" s="73">
        <f>37.5/35*'35h'!J106</f>
        <v>81847.5</v>
      </c>
      <c r="K106" s="45">
        <f>37.5/35*'35h'!K106</f>
        <v>83892.857142857145</v>
      </c>
      <c r="L106" s="45">
        <f>37.5/35*'35h'!L106</f>
        <v>85570.71428571429</v>
      </c>
      <c r="M106" s="74">
        <f>37.5/35*'35h'!M106</f>
        <v>87281.78571428571</v>
      </c>
      <c r="N106" s="48">
        <f t="shared" si="25"/>
        <v>87281.78571428571</v>
      </c>
      <c r="O106" s="48">
        <f t="shared" si="25"/>
        <v>87281.78571428571</v>
      </c>
    </row>
    <row r="107" spans="1:15" ht="15" customHeight="1" x14ac:dyDescent="0.25">
      <c r="D107" s="44">
        <v>7</v>
      </c>
      <c r="E107" s="44">
        <f t="shared" si="24"/>
        <v>7</v>
      </c>
      <c r="F107" s="45">
        <f>37.5/35*'35h'!F107</f>
        <v>75791.78571428571</v>
      </c>
      <c r="G107" s="45">
        <f>37.5/35*'35h'!G107</f>
        <v>77687.142857142855</v>
      </c>
      <c r="H107" s="45">
        <f>37.5/35*'35h'!H107</f>
        <v>79628.57142857142</v>
      </c>
      <c r="I107" s="45">
        <f>37.5/35*'35h'!I107</f>
        <v>81620.357142857145</v>
      </c>
      <c r="J107" s="73">
        <f>37.5/35*'35h'!J107</f>
        <v>85293.21428571429</v>
      </c>
      <c r="K107" s="45">
        <f>37.5/35*'35h'!K107</f>
        <v>87425.357142857145</v>
      </c>
      <c r="L107" s="45">
        <f>37.5/35*'35h'!L107</f>
        <v>89173.928571428565</v>
      </c>
      <c r="M107" s="74">
        <f>37.5/35*'35h'!M107</f>
        <v>90957.857142857145</v>
      </c>
      <c r="N107" s="48">
        <f t="shared" si="25"/>
        <v>90957.857142857145</v>
      </c>
      <c r="O107" s="48">
        <f t="shared" si="25"/>
        <v>90957.857142857145</v>
      </c>
    </row>
    <row r="108" spans="1:15" ht="15" customHeight="1" thickBot="1" x14ac:dyDescent="0.3">
      <c r="D108" s="49">
        <v>8</v>
      </c>
      <c r="E108" s="49">
        <f t="shared" si="24"/>
        <v>8</v>
      </c>
      <c r="F108" s="50">
        <f>37.5/35*'35h'!F108</f>
        <v>78984.642857142855</v>
      </c>
      <c r="G108" s="50">
        <f>37.5/35*'35h'!G108</f>
        <v>80960.357142857145</v>
      </c>
      <c r="H108" s="50">
        <f>37.5/35*'35h'!H108</f>
        <v>82984.28571428571</v>
      </c>
      <c r="I108" s="50">
        <f>37.5/35*'35h'!I108</f>
        <v>85058.57142857142</v>
      </c>
      <c r="J108" s="75">
        <f>37.5/35*'35h'!J108</f>
        <v>88885.71428571429</v>
      </c>
      <c r="K108" s="50">
        <f>37.5/35*'35h'!K108</f>
        <v>91106.78571428571</v>
      </c>
      <c r="L108" s="50">
        <f>37.5/35*'35h'!L108</f>
        <v>92929.28571428571</v>
      </c>
      <c r="M108" s="76">
        <f>37.5/35*'35h'!M108</f>
        <v>94788.21428571429</v>
      </c>
      <c r="N108" s="48">
        <f t="shared" si="25"/>
        <v>94788.21428571429</v>
      </c>
      <c r="O108" s="48">
        <f t="shared" si="25"/>
        <v>94788.21428571429</v>
      </c>
    </row>
    <row r="109" spans="1:15" ht="15" customHeight="1" x14ac:dyDescent="0.25">
      <c r="D109" s="52">
        <v>9</v>
      </c>
      <c r="E109" s="44">
        <f t="shared" si="24"/>
        <v>9</v>
      </c>
      <c r="F109" s="53">
        <f>37.5/35*'35h'!F109</f>
        <v>82308.21428571429</v>
      </c>
      <c r="G109" s="53">
        <f>37.5/35*'35h'!G109</f>
        <v>84366.428571428565</v>
      </c>
      <c r="H109" s="53">
        <f>37.5/35*'35h'!H109</f>
        <v>86476.07142857142</v>
      </c>
      <c r="I109" s="53">
        <f>37.5/35*'35h'!I109</f>
        <v>88637.142857142855</v>
      </c>
      <c r="J109" s="77">
        <f>37.5/35*'35h'!J109</f>
        <v>92626.07142857142</v>
      </c>
      <c r="K109" s="53">
        <f>37.5/35*'35h'!K109</f>
        <v>94942.5</v>
      </c>
      <c r="L109" s="53">
        <f>37.5/35*'35h'!L109</f>
        <v>96841.07142857142</v>
      </c>
      <c r="M109" s="78">
        <f>37.5/35*'35h'!M109</f>
        <v>98778.21428571429</v>
      </c>
      <c r="N109" s="48">
        <f t="shared" si="25"/>
        <v>98778.21428571429</v>
      </c>
      <c r="O109" s="48">
        <f t="shared" si="25"/>
        <v>98778.21428571429</v>
      </c>
    </row>
    <row r="110" spans="1:15" ht="15" customHeight="1" x14ac:dyDescent="0.25">
      <c r="D110" s="44">
        <v>10</v>
      </c>
      <c r="E110" s="44">
        <f t="shared" si="24"/>
        <v>10</v>
      </c>
      <c r="F110" s="45">
        <f>37.5/35*'35h'!F110</f>
        <v>85775.357142857145</v>
      </c>
      <c r="G110" s="45">
        <f>37.5/35*'35h'!G110</f>
        <v>87919.28571428571</v>
      </c>
      <c r="H110" s="45">
        <f>37.5/35*'35h'!H110</f>
        <v>90116.78571428571</v>
      </c>
      <c r="I110" s="45">
        <f>37.5/35*'35h'!I110</f>
        <v>92370</v>
      </c>
      <c r="J110" s="73">
        <f>37.5/35*'35h'!J110</f>
        <v>96527.142857142855</v>
      </c>
      <c r="K110" s="45">
        <f>37.5/35*'35h'!K110</f>
        <v>98940</v>
      </c>
      <c r="L110" s="45">
        <f>37.5/35*'35h'!L110</f>
        <v>100918.92857142857</v>
      </c>
      <c r="M110" s="74">
        <f>37.5/35*'35h'!M110</f>
        <v>102937.5</v>
      </c>
      <c r="N110" s="48">
        <f t="shared" si="25"/>
        <v>102937.5</v>
      </c>
      <c r="O110" s="48">
        <f t="shared" si="25"/>
        <v>102937.5</v>
      </c>
    </row>
    <row r="111" spans="1:15" ht="15" customHeight="1" x14ac:dyDescent="0.25">
      <c r="D111" s="44">
        <v>11</v>
      </c>
      <c r="E111" s="44">
        <f t="shared" si="24"/>
        <v>11</v>
      </c>
      <c r="F111" s="45">
        <f>37.5/35*'35h'!F111</f>
        <v>89386.07142857142</v>
      </c>
      <c r="G111" s="45">
        <f>37.5/35*'35h'!G111</f>
        <v>91621.07142857142</v>
      </c>
      <c r="H111" s="45">
        <f>37.5/35*'35h'!H111</f>
        <v>93911.78571428571</v>
      </c>
      <c r="I111" s="45">
        <f>37.5/35*'35h'!I111</f>
        <v>96259.28571428571</v>
      </c>
      <c r="J111" s="73">
        <f>37.5/35*'35h'!J111</f>
        <v>100591.07142857142</v>
      </c>
      <c r="K111" s="45">
        <f>37.5/35*'35h'!K111</f>
        <v>103105.71428571429</v>
      </c>
      <c r="L111" s="45">
        <f>37.5/35*'35h'!L111</f>
        <v>105168.21428571429</v>
      </c>
      <c r="M111" s="74">
        <f>37.5/35*'35h'!M111</f>
        <v>107271.42857142857</v>
      </c>
      <c r="N111" s="48">
        <f t="shared" si="25"/>
        <v>107271.42857142857</v>
      </c>
      <c r="O111" s="48">
        <f t="shared" si="25"/>
        <v>107271.42857142857</v>
      </c>
    </row>
    <row r="112" spans="1:15" ht="15" customHeight="1" x14ac:dyDescent="0.25">
      <c r="D112" s="44">
        <v>12</v>
      </c>
      <c r="E112" s="44">
        <f t="shared" si="24"/>
        <v>12</v>
      </c>
      <c r="F112" s="45">
        <f>37.5/35*'35h'!F112</f>
        <v>93150</v>
      </c>
      <c r="G112" s="45">
        <f>37.5/35*'35h'!G112</f>
        <v>95478.21428571429</v>
      </c>
      <c r="H112" s="45">
        <f>37.5/35*'35h'!H112</f>
        <v>97865.357142857145</v>
      </c>
      <c r="I112" s="45">
        <f>37.5/35*'35h'!I112</f>
        <v>100312.5</v>
      </c>
      <c r="J112" s="73">
        <f>37.5/35*'35h'!J112</f>
        <v>104826.42857142857</v>
      </c>
      <c r="K112" s="45">
        <f>37.5/35*'35h'!K112</f>
        <v>107447.14285714286</v>
      </c>
      <c r="L112" s="45">
        <f>37.5/35*'35h'!L112</f>
        <v>109596.42857142857</v>
      </c>
      <c r="M112" s="74">
        <f>37.5/35*'35h'!M112</f>
        <v>111788.57142857142</v>
      </c>
      <c r="N112" s="48">
        <f t="shared" si="25"/>
        <v>111788.57142857142</v>
      </c>
      <c r="O112" s="48">
        <f t="shared" si="25"/>
        <v>111788.57142857142</v>
      </c>
    </row>
    <row r="113" spans="4:15" ht="15" customHeight="1" x14ac:dyDescent="0.25">
      <c r="D113" s="44">
        <v>13</v>
      </c>
      <c r="E113" s="44">
        <f t="shared" si="24"/>
        <v>13</v>
      </c>
      <c r="F113" s="45">
        <f>37.5/35*'35h'!F113</f>
        <v>97070.357142857145</v>
      </c>
      <c r="G113" s="45">
        <f>37.5/35*'35h'!G113</f>
        <v>99498.21428571429</v>
      </c>
      <c r="H113" s="45">
        <f>37.5/35*'35h'!H113</f>
        <v>101985</v>
      </c>
      <c r="I113" s="45">
        <f>37.5/35*'35h'!I113</f>
        <v>104535</v>
      </c>
      <c r="J113" s="73">
        <f>37.5/35*'35h'!J113</f>
        <v>109238.57142857142</v>
      </c>
      <c r="K113" s="45">
        <f>37.5/35*'35h'!K113</f>
        <v>111969.64285714286</v>
      </c>
      <c r="L113" s="45">
        <f>37.5/35*'35h'!L113</f>
        <v>114208.92857142857</v>
      </c>
      <c r="M113" s="74">
        <f>37.5/35*'35h'!M113</f>
        <v>116493.21428571428</v>
      </c>
      <c r="N113" s="48">
        <f t="shared" si="25"/>
        <v>116493.21428571428</v>
      </c>
      <c r="O113" s="48">
        <f t="shared" si="25"/>
        <v>116493.21428571428</v>
      </c>
    </row>
    <row r="114" spans="4:15" ht="15" customHeight="1" x14ac:dyDescent="0.25">
      <c r="D114" s="44">
        <v>14</v>
      </c>
      <c r="E114" s="44">
        <f t="shared" si="24"/>
        <v>14</v>
      </c>
      <c r="F114" s="45">
        <f>37.5/35*'35h'!F114</f>
        <v>101158.92857142857</v>
      </c>
      <c r="G114" s="45">
        <f>37.5/35*'35h'!G114</f>
        <v>103688.57142857142</v>
      </c>
      <c r="H114" s="45">
        <f>37.5/35*'35h'!H114</f>
        <v>106280.35714285714</v>
      </c>
      <c r="I114" s="45">
        <f>37.5/35*'35h'!I114</f>
        <v>108937.5</v>
      </c>
      <c r="J114" s="73">
        <f>37.5/35*'35h'!J114</f>
        <v>113839.28571428571</v>
      </c>
      <c r="K114" s="45">
        <f>37.5/35*'35h'!K114</f>
        <v>116685</v>
      </c>
      <c r="L114" s="45">
        <f>37.5/35*'35h'!L114</f>
        <v>119018.57142857142</v>
      </c>
      <c r="M114" s="74">
        <f>37.5/35*'35h'!M114</f>
        <v>121399.28571428571</v>
      </c>
      <c r="N114" s="48">
        <f t="shared" si="25"/>
        <v>121399.28571428571</v>
      </c>
      <c r="O114" s="48">
        <f t="shared" si="25"/>
        <v>121399.28571428571</v>
      </c>
    </row>
    <row r="115" spans="4:15" ht="15" customHeight="1" x14ac:dyDescent="0.25">
      <c r="D115" s="44">
        <v>15</v>
      </c>
      <c r="E115" s="44">
        <f t="shared" si="24"/>
        <v>15</v>
      </c>
      <c r="F115" s="45">
        <f>37.5/35*'35h'!F115</f>
        <v>105417.85714285714</v>
      </c>
      <c r="G115" s="45">
        <f>37.5/35*'35h'!G115</f>
        <v>108053.57142857142</v>
      </c>
      <c r="H115" s="45">
        <f>37.5/35*'35h'!H115</f>
        <v>110755.71428571428</v>
      </c>
      <c r="I115" s="45">
        <f>37.5/35*'35h'!I115</f>
        <v>113525.35714285714</v>
      </c>
      <c r="J115" s="73">
        <f>37.5/35*'35h'!J115</f>
        <v>118633.92857142857</v>
      </c>
      <c r="K115" s="45">
        <f>37.5/35*'35h'!K115</f>
        <v>121599.64285714286</v>
      </c>
      <c r="L115" s="45">
        <f>37.5/35*'35h'!L115</f>
        <v>124031.78571428571</v>
      </c>
      <c r="M115" s="74">
        <f>37.5/35*'35h'!M115</f>
        <v>126512.14285714286</v>
      </c>
      <c r="N115" s="48">
        <f t="shared" si="25"/>
        <v>126512.14285714286</v>
      </c>
      <c r="O115" s="48">
        <f t="shared" si="25"/>
        <v>126512.14285714286</v>
      </c>
    </row>
    <row r="116" spans="4:15" ht="15" customHeight="1" x14ac:dyDescent="0.25">
      <c r="D116" s="44">
        <v>16</v>
      </c>
      <c r="E116" s="44">
        <f t="shared" si="24"/>
        <v>16</v>
      </c>
      <c r="F116" s="45">
        <f>37.5/35*'35h'!F116</f>
        <v>109855.71428571428</v>
      </c>
      <c r="G116" s="45">
        <f>37.5/35*'35h'!G116</f>
        <v>112602.85714285714</v>
      </c>
      <c r="H116" s="45">
        <f>37.5/35*'35h'!H116</f>
        <v>115417.5</v>
      </c>
      <c r="I116" s="45">
        <f>37.5/35*'35h'!I116</f>
        <v>118302.85714285714</v>
      </c>
      <c r="J116" s="73">
        <f>37.5/35*'35h'!J116</f>
        <v>123625.71428571428</v>
      </c>
      <c r="K116" s="45">
        <f>37.5/35*'35h'!K116</f>
        <v>126716.78571428571</v>
      </c>
      <c r="L116" s="45">
        <f>37.5/35*'35h'!L116</f>
        <v>129250.71428571428</v>
      </c>
      <c r="M116" s="74">
        <f>37.5/35*'35h'!M116</f>
        <v>131836.07142857142</v>
      </c>
      <c r="N116" s="48">
        <f t="shared" si="25"/>
        <v>131836.07142857142</v>
      </c>
      <c r="O116" s="48">
        <f t="shared" si="25"/>
        <v>131836.07142857142</v>
      </c>
    </row>
    <row r="117" spans="4:15" ht="15" customHeight="1" x14ac:dyDescent="0.25">
      <c r="D117" s="44">
        <v>17</v>
      </c>
      <c r="E117" s="44">
        <f t="shared" si="24"/>
        <v>17</v>
      </c>
      <c r="F117" s="45">
        <f>37.5/35*'35h'!F117</f>
        <v>114480</v>
      </c>
      <c r="G117" s="45">
        <f>37.5/35*'35h'!G117</f>
        <v>117341.78571428571</v>
      </c>
      <c r="H117" s="45">
        <f>37.5/35*'35h'!H117</f>
        <v>120275.35714285714</v>
      </c>
      <c r="I117" s="45">
        <f>37.5/35*'35h'!I117</f>
        <v>123281.78571428571</v>
      </c>
      <c r="J117" s="73">
        <f>37.5/35*'35h'!J117</f>
        <v>128829.64285714286</v>
      </c>
      <c r="K117" s="45">
        <f>37.5/35*'35h'!K117</f>
        <v>132050.35714285713</v>
      </c>
      <c r="L117" s="45">
        <f>37.5/35*'35h'!L117</f>
        <v>134691.42857142858</v>
      </c>
      <c r="M117" s="74">
        <f>37.5/35*'35h'!M117</f>
        <v>137385</v>
      </c>
      <c r="N117" s="48">
        <f t="shared" si="25"/>
        <v>137385</v>
      </c>
      <c r="O117" s="48">
        <f t="shared" si="25"/>
        <v>137385</v>
      </c>
    </row>
    <row r="118" spans="4:15" ht="15" customHeight="1" x14ac:dyDescent="0.25">
      <c r="D118" s="44">
        <v>18</v>
      </c>
      <c r="E118" s="44">
        <f t="shared" si="24"/>
        <v>18</v>
      </c>
      <c r="F118" s="45">
        <f>37.5/35*'35h'!F118</f>
        <v>119301.42857142857</v>
      </c>
      <c r="G118" s="45">
        <f>37.5/35*'35h'!G118</f>
        <v>122284.28571428571</v>
      </c>
      <c r="H118" s="45">
        <f>37.5/35*'35h'!H118</f>
        <v>125341.07142857142</v>
      </c>
      <c r="I118" s="45">
        <f>37.5/35*'35h'!I118</f>
        <v>128473.92857142857</v>
      </c>
      <c r="J118" s="73">
        <f>37.5/35*'35h'!J118</f>
        <v>134255.35714285713</v>
      </c>
      <c r="K118" s="45">
        <f>37.5/35*'35h'!K118</f>
        <v>137611.07142857142</v>
      </c>
      <c r="L118" s="45">
        <f>37.5/35*'35h'!L118</f>
        <v>140363.57142857142</v>
      </c>
      <c r="M118" s="74">
        <f>37.5/35*'35h'!M118</f>
        <v>143170.71428571429</v>
      </c>
      <c r="N118" s="48">
        <f t="shared" ref="N118:O120" si="26">M118</f>
        <v>143170.71428571429</v>
      </c>
      <c r="O118" s="48">
        <f t="shared" si="26"/>
        <v>143170.71428571429</v>
      </c>
    </row>
    <row r="119" spans="4:15" ht="15" customHeight="1" x14ac:dyDescent="0.25">
      <c r="D119" s="44">
        <f>D118</f>
        <v>18</v>
      </c>
      <c r="E119" s="44">
        <v>18</v>
      </c>
      <c r="F119" s="45">
        <f t="shared" ref="F119" si="27">F118</f>
        <v>119301.42857142857</v>
      </c>
      <c r="G119" s="45">
        <f t="shared" ref="G119" si="28">G118</f>
        <v>122284.28571428571</v>
      </c>
      <c r="H119" s="45">
        <f t="shared" ref="H119" si="29">H118</f>
        <v>125341.07142857142</v>
      </c>
      <c r="I119" s="45">
        <f t="shared" ref="I119" si="30">I118</f>
        <v>128473.92857142857</v>
      </c>
      <c r="J119" s="46">
        <f t="shared" ref="J119" si="31">J118</f>
        <v>134255.35714285713</v>
      </c>
      <c r="K119" s="47">
        <f t="shared" ref="K119" si="32">K118</f>
        <v>137611.07142857142</v>
      </c>
      <c r="L119" s="47">
        <f t="shared" ref="L119" si="33">L118</f>
        <v>140363.57142857142</v>
      </c>
      <c r="M119" s="48">
        <f t="shared" ref="M119" si="34">M118</f>
        <v>143170.71428571429</v>
      </c>
      <c r="N119" s="48">
        <f t="shared" si="26"/>
        <v>143170.71428571429</v>
      </c>
      <c r="O119" s="48">
        <f t="shared" si="26"/>
        <v>143170.71428571429</v>
      </c>
    </row>
    <row r="120" spans="4:15" ht="15" customHeight="1" x14ac:dyDescent="0.25">
      <c r="D120" s="55" t="s">
        <v>51</v>
      </c>
      <c r="E120" s="44" t="s">
        <v>51</v>
      </c>
      <c r="F120" s="45">
        <f>37.5/35*'35h'!F120</f>
        <v>137197.5</v>
      </c>
      <c r="G120" s="45">
        <f>37.5/35*'35h'!G120</f>
        <v>140627.14285714284</v>
      </c>
      <c r="H120" s="45">
        <f>37.5/35*'35h'!H120</f>
        <v>144142.5</v>
      </c>
      <c r="I120" s="45">
        <f>37.5/35*'35h'!I120</f>
        <v>147745.71428571429</v>
      </c>
      <c r="J120" s="73">
        <f>37.5/35*'35h'!J120</f>
        <v>154393.92857142858</v>
      </c>
      <c r="K120" s="45">
        <f>37.5/35*'35h'!K120</f>
        <v>158253.21428571429</v>
      </c>
      <c r="L120" s="45">
        <f>37.5/35*'35h'!L120</f>
        <v>161418.21428571429</v>
      </c>
      <c r="M120" s="74">
        <f>37.5/35*'35h'!M120</f>
        <v>164646.42857142858</v>
      </c>
      <c r="N120" s="48">
        <f t="shared" si="26"/>
        <v>164646.42857142858</v>
      </c>
      <c r="O120" s="48">
        <f t="shared" si="26"/>
        <v>164646.42857142858</v>
      </c>
    </row>
    <row r="121" spans="4:15" ht="15" customHeight="1" x14ac:dyDescent="0.25">
      <c r="D121" s="57"/>
      <c r="E121" s="57"/>
      <c r="J121" s="58"/>
      <c r="M121" s="59"/>
    </row>
    <row r="122" spans="4:15" ht="15" customHeight="1" x14ac:dyDescent="0.25">
      <c r="D122" s="57" t="s">
        <v>52</v>
      </c>
      <c r="E122" s="57" t="s">
        <v>52</v>
      </c>
      <c r="F122" s="60">
        <v>5.7000000000000002E-3</v>
      </c>
      <c r="G122" s="60">
        <v>2.5000000000000001E-2</v>
      </c>
      <c r="H122" s="60">
        <v>2.5000000000000001E-2</v>
      </c>
      <c r="I122" s="60">
        <v>2.5000000000000001E-2</v>
      </c>
      <c r="J122" s="61">
        <v>4.4999999999999998E-2</v>
      </c>
      <c r="K122" s="60">
        <v>2.5000000000000001E-2</v>
      </c>
      <c r="L122" s="60">
        <v>0.02</v>
      </c>
      <c r="M122" s="62">
        <v>0.02</v>
      </c>
    </row>
    <row r="123" spans="4:15" ht="15" customHeight="1" x14ac:dyDescent="0.25">
      <c r="D123" s="57"/>
      <c r="E123" s="57"/>
      <c r="J123" s="58"/>
      <c r="M123" s="59"/>
    </row>
    <row r="124" spans="4:15" ht="15" customHeight="1" thickBot="1" x14ac:dyDescent="0.3">
      <c r="D124" s="63" t="s">
        <v>53</v>
      </c>
      <c r="E124" s="63" t="s">
        <v>53</v>
      </c>
      <c r="F124" s="72">
        <v>5.7000000000000002E-3</v>
      </c>
      <c r="G124" s="65">
        <v>3.0842499999999884E-2</v>
      </c>
      <c r="H124" s="65">
        <v>5.6613562499999714E-2</v>
      </c>
      <c r="I124" s="65">
        <v>8.3028901562499646E-2</v>
      </c>
      <c r="J124" s="66">
        <v>0.13176520213281195</v>
      </c>
      <c r="K124" s="65">
        <v>0.16005933218613211</v>
      </c>
      <c r="L124" s="65">
        <v>0.18326051882985483</v>
      </c>
      <c r="M124" s="67">
        <v>0.20692572920645191</v>
      </c>
    </row>
    <row r="125" spans="4:15" ht="15" customHeight="1" x14ac:dyDescent="0.25"/>
    <row r="126" spans="4:15" ht="15" customHeight="1" x14ac:dyDescent="0.25"/>
    <row r="127" spans="4:15" ht="15" customHeight="1" x14ac:dyDescent="0.25"/>
    <row r="128" spans="4:15" ht="15" customHeight="1" x14ac:dyDescent="0.25">
      <c r="E128" s="79" t="s">
        <v>57</v>
      </c>
    </row>
    <row r="129" spans="1:15" ht="15" customHeight="1" thickBot="1" x14ac:dyDescent="0.3">
      <c r="F129" s="80"/>
    </row>
    <row r="130" spans="1:15" ht="15" customHeight="1" x14ac:dyDescent="0.25">
      <c r="D130" s="217" t="s">
        <v>23</v>
      </c>
      <c r="E130" s="85"/>
      <c r="F130" s="34">
        <v>42095</v>
      </c>
      <c r="G130" s="34">
        <v>42461</v>
      </c>
      <c r="H130" s="34">
        <v>42826</v>
      </c>
      <c r="I130" s="34">
        <v>43191</v>
      </c>
      <c r="J130" s="35">
        <v>43556</v>
      </c>
      <c r="K130" s="34">
        <v>43922</v>
      </c>
      <c r="L130" s="34">
        <v>44287</v>
      </c>
      <c r="M130" s="36">
        <v>44652</v>
      </c>
      <c r="N130" s="36">
        <f>DATE(YEAR(M130)+1,MONTH(M130),DAY(M130))</f>
        <v>45017</v>
      </c>
      <c r="O130" s="36">
        <f>DATE(YEAR(N130)+1,MONTH(N130),DAY(N130))</f>
        <v>45383</v>
      </c>
    </row>
    <row r="131" spans="1:15" ht="15" customHeight="1" thickBot="1" x14ac:dyDescent="0.3">
      <c r="D131" s="218"/>
      <c r="E131" s="86" t="str">
        <f>D130</f>
        <v>Échelon</v>
      </c>
      <c r="F131" s="37" t="s">
        <v>49</v>
      </c>
      <c r="G131" s="37" t="s">
        <v>49</v>
      </c>
      <c r="H131" s="37" t="s">
        <v>49</v>
      </c>
      <c r="I131" s="37" t="s">
        <v>50</v>
      </c>
      <c r="J131" s="38" t="s">
        <v>50</v>
      </c>
      <c r="K131" s="37" t="s">
        <v>50</v>
      </c>
      <c r="L131" s="37" t="s">
        <v>50</v>
      </c>
      <c r="M131" s="39" t="s">
        <v>50</v>
      </c>
      <c r="N131" s="39" t="str">
        <f>M131</f>
        <v xml:space="preserve">au </v>
      </c>
      <c r="O131" s="39" t="str">
        <f>N131</f>
        <v xml:space="preserve">au </v>
      </c>
    </row>
    <row r="132" spans="1:15" ht="15" customHeight="1" thickBot="1" x14ac:dyDescent="0.3">
      <c r="D132" s="220"/>
      <c r="E132" s="86"/>
      <c r="F132" s="81">
        <v>42460</v>
      </c>
      <c r="G132" s="81">
        <v>42825</v>
      </c>
      <c r="H132" s="81">
        <v>43190</v>
      </c>
      <c r="I132" s="81">
        <v>43555</v>
      </c>
      <c r="J132" s="82">
        <v>43921</v>
      </c>
      <c r="K132" s="81">
        <v>44286</v>
      </c>
      <c r="L132" s="81">
        <v>44651</v>
      </c>
      <c r="M132" s="83">
        <v>45016</v>
      </c>
      <c r="N132" s="36">
        <f>DATE(YEAR(M132)+1,MONTH(M132),DAY(M132))</f>
        <v>45382</v>
      </c>
      <c r="O132" s="36">
        <f>DATE(YEAR(N132)+1,MONTH(N132),DAY(N132))</f>
        <v>45747</v>
      </c>
    </row>
    <row r="133" spans="1:15" ht="15" customHeight="1" x14ac:dyDescent="0.25">
      <c r="A133" s="43"/>
      <c r="D133" s="44">
        <v>1</v>
      </c>
      <c r="E133" s="44">
        <f>D133</f>
        <v>1</v>
      </c>
      <c r="F133" s="45">
        <f>37.5/35*'35h'!F133</f>
        <v>59131.151785714283</v>
      </c>
      <c r="G133" s="45">
        <f>37.5/35*'35h'!G133</f>
        <v>60609.430580357133</v>
      </c>
      <c r="H133" s="45">
        <f>37.5/35*'35h'!H133</f>
        <v>62124.666344866055</v>
      </c>
      <c r="I133" s="45">
        <f>37.5/35*'35h'!I133</f>
        <v>63678.214285714283</v>
      </c>
      <c r="J133" s="46">
        <f>37.5/35*'35h'!J133</f>
        <v>65906.951785714278</v>
      </c>
      <c r="K133" s="47">
        <f>37.5/35*'35h'!K133</f>
        <v>67554.625580357126</v>
      </c>
      <c r="L133" s="47">
        <f>37.5/35*'35h'!L133</f>
        <v>68905.718091964271</v>
      </c>
      <c r="M133" s="48">
        <f>37.5/35*'35h'!M133</f>
        <v>70283.832453803567</v>
      </c>
      <c r="N133" s="48">
        <f>M133</f>
        <v>70283.832453803567</v>
      </c>
      <c r="O133" s="48">
        <f>N133</f>
        <v>70283.832453803567</v>
      </c>
    </row>
    <row r="134" spans="1:15" ht="15" customHeight="1" x14ac:dyDescent="0.25">
      <c r="D134" s="44">
        <v>2</v>
      </c>
      <c r="E134" s="44">
        <f t="shared" ref="E134:E150" si="35">D134</f>
        <v>2</v>
      </c>
      <c r="F134" s="45">
        <f>37.5/35*'35h'!F134</f>
        <v>61620.803571428565</v>
      </c>
      <c r="G134" s="45">
        <f>37.5/35*'35h'!G134</f>
        <v>63161.323660714268</v>
      </c>
      <c r="H134" s="45">
        <f>37.5/35*'35h'!H134</f>
        <v>64741.071428571428</v>
      </c>
      <c r="I134" s="45">
        <f>37.5/35*'35h'!I134</f>
        <v>66360</v>
      </c>
      <c r="J134" s="46">
        <f>37.5/35*'35h'!J134</f>
        <v>68682.599999999991</v>
      </c>
      <c r="K134" s="47">
        <f>37.5/35*'35h'!K134</f>
        <v>70399.664999999994</v>
      </c>
      <c r="L134" s="47">
        <f>37.5/35*'35h'!L134</f>
        <v>71808.21428571429</v>
      </c>
      <c r="M134" s="48">
        <f>37.5/35*'35h'!M134</f>
        <v>73243.928571428565</v>
      </c>
      <c r="N134" s="48">
        <f t="shared" ref="N134:O149" si="36">M134</f>
        <v>73243.928571428565</v>
      </c>
      <c r="O134" s="48">
        <f t="shared" si="36"/>
        <v>73243.928571428565</v>
      </c>
    </row>
    <row r="135" spans="1:15" ht="15" customHeight="1" x14ac:dyDescent="0.25">
      <c r="D135" s="44">
        <v>3</v>
      </c>
      <c r="E135" s="44">
        <f t="shared" si="35"/>
        <v>3</v>
      </c>
      <c r="F135" s="45">
        <f>37.5/35*'35h'!F135</f>
        <v>64213.687499999993</v>
      </c>
      <c r="G135" s="45">
        <f>37.5/35*'35h'!G135</f>
        <v>65819.029687499977</v>
      </c>
      <c r="H135" s="45">
        <f>37.5/35*'35h'!H135</f>
        <v>67464.505429687473</v>
      </c>
      <c r="I135" s="45">
        <f>37.5/35*'35h'!I135</f>
        <v>69151.07142857142</v>
      </c>
      <c r="J135" s="46">
        <f>37.5/35*'35h'!J135</f>
        <v>71571.358928571426</v>
      </c>
      <c r="K135" s="47">
        <f>37.5/35*'35h'!K135</f>
        <v>73360.642901785701</v>
      </c>
      <c r="L135" s="47">
        <f>37.5/35*'35h'!L135</f>
        <v>74827.855759821425</v>
      </c>
      <c r="M135" s="48">
        <f>37.5/35*'35h'!M135</f>
        <v>76324.41287501785</v>
      </c>
      <c r="N135" s="48">
        <f t="shared" si="36"/>
        <v>76324.41287501785</v>
      </c>
      <c r="O135" s="48">
        <f t="shared" si="36"/>
        <v>76324.41287501785</v>
      </c>
    </row>
    <row r="136" spans="1:15" ht="15" customHeight="1" x14ac:dyDescent="0.25">
      <c r="D136" s="44">
        <v>4</v>
      </c>
      <c r="E136" s="44">
        <f t="shared" si="35"/>
        <v>4</v>
      </c>
      <c r="F136" s="45">
        <f>37.5/35*'35h'!F136</f>
        <v>66917.491071428565</v>
      </c>
      <c r="G136" s="45">
        <f>37.5/35*'35h'!G136</f>
        <v>68589.642857142855</v>
      </c>
      <c r="H136" s="45">
        <f>37.5/35*'35h'!H136</f>
        <v>70304.38392857142</v>
      </c>
      <c r="I136" s="45">
        <f>37.5/35*'35h'!I136</f>
        <v>72061.07142857142</v>
      </c>
      <c r="J136" s="46">
        <f>37.5/35*'35h'!J136</f>
        <v>74583.208928571417</v>
      </c>
      <c r="K136" s="47">
        <f>37.5/35*'35h'!K136</f>
        <v>76447.789151785692</v>
      </c>
      <c r="L136" s="47">
        <f>37.5/35*'35h'!L136</f>
        <v>77976.7449348214</v>
      </c>
      <c r="M136" s="48">
        <f>37.5/35*'35h'!M136</f>
        <v>79536.279833517823</v>
      </c>
      <c r="N136" s="48">
        <f t="shared" si="36"/>
        <v>79536.279833517823</v>
      </c>
      <c r="O136" s="48">
        <f t="shared" si="36"/>
        <v>79536.279833517823</v>
      </c>
    </row>
    <row r="137" spans="1:15" ht="15" customHeight="1" x14ac:dyDescent="0.25">
      <c r="D137" s="44">
        <v>5</v>
      </c>
      <c r="E137" s="44">
        <f t="shared" si="35"/>
        <v>5</v>
      </c>
      <c r="F137" s="45">
        <f>37.5/35*'35h'!F137</f>
        <v>69736.60714285713</v>
      </c>
      <c r="G137" s="45">
        <f>37.5/35*'35h'!G137</f>
        <v>71480.022321428551</v>
      </c>
      <c r="H137" s="45">
        <f>37.5/35*'35h'!H137</f>
        <v>73267.022879464261</v>
      </c>
      <c r="I137" s="45">
        <f>37.5/35*'35h'!I137</f>
        <v>75099.642857142855</v>
      </c>
      <c r="J137" s="46">
        <f>37.5/35*'35h'!J137</f>
        <v>77728.130357142843</v>
      </c>
      <c r="K137" s="47">
        <f>37.5/35*'35h'!K137</f>
        <v>79671.33361607141</v>
      </c>
      <c r="L137" s="47">
        <f>37.5/35*'35h'!L137</f>
        <v>81264.760288392834</v>
      </c>
      <c r="M137" s="48">
        <f>37.5/35*'35h'!M137</f>
        <v>82890.055494160697</v>
      </c>
      <c r="N137" s="48">
        <f t="shared" si="36"/>
        <v>82890.055494160697</v>
      </c>
      <c r="O137" s="48">
        <f t="shared" si="36"/>
        <v>82890.055494160697</v>
      </c>
    </row>
    <row r="138" spans="1:15" ht="15" customHeight="1" x14ac:dyDescent="0.25">
      <c r="D138" s="44">
        <v>6</v>
      </c>
      <c r="E138" s="44">
        <f t="shared" si="35"/>
        <v>6</v>
      </c>
      <c r="F138" s="45">
        <f>37.5/35*'35h'!F138</f>
        <v>72673.23214285713</v>
      </c>
      <c r="G138" s="45">
        <f>37.5/35*'35h'!G138</f>
        <v>74490.062946428545</v>
      </c>
      <c r="H138" s="45">
        <f>37.5/35*'35h'!H138</f>
        <v>76352.314520089261</v>
      </c>
      <c r="I138" s="45">
        <f>37.5/35*'35h'!I138</f>
        <v>78261.428571428565</v>
      </c>
      <c r="J138" s="46">
        <f>37.5/35*'35h'!J138</f>
        <v>81000.578571428559</v>
      </c>
      <c r="K138" s="47">
        <f>37.5/35*'35h'!K138</f>
        <v>83025.593035714264</v>
      </c>
      <c r="L138" s="47">
        <f>37.5/35*'35h'!L138</f>
        <v>84686.78571428571</v>
      </c>
      <c r="M138" s="48">
        <f>37.5/35*'35h'!M138</f>
        <v>86380.521428571432</v>
      </c>
      <c r="N138" s="48">
        <f t="shared" si="36"/>
        <v>86380.521428571432</v>
      </c>
      <c r="O138" s="48">
        <f t="shared" si="36"/>
        <v>86380.521428571432</v>
      </c>
    </row>
    <row r="139" spans="1:15" ht="15" customHeight="1" x14ac:dyDescent="0.25">
      <c r="D139" s="44">
        <v>7</v>
      </c>
      <c r="E139" s="44">
        <f t="shared" si="35"/>
        <v>7</v>
      </c>
      <c r="F139" s="45">
        <f>37.5/35*'35h'!F139</f>
        <v>75731.75892857142</v>
      </c>
      <c r="G139" s="45">
        <f>37.5/35*'35h'!G139</f>
        <v>77625.052901785704</v>
      </c>
      <c r="H139" s="45">
        <f>37.5/35*'35h'!H139</f>
        <v>79565.679224330335</v>
      </c>
      <c r="I139" s="45">
        <f>37.5/35*'35h'!I139</f>
        <v>81555</v>
      </c>
      <c r="J139" s="46">
        <f>37.5/35*'35h'!J139</f>
        <v>84409.424999999988</v>
      </c>
      <c r="K139" s="47">
        <f>37.5/35*'35h'!K139</f>
        <v>86519.66062499999</v>
      </c>
      <c r="L139" s="47">
        <f>37.5/35*'35h'!L139</f>
        <v>88250.053837499974</v>
      </c>
      <c r="M139" s="48">
        <f>37.5/35*'35h'!M139</f>
        <v>90015.05491424998</v>
      </c>
      <c r="N139" s="48">
        <f t="shared" si="36"/>
        <v>90015.05491424998</v>
      </c>
      <c r="O139" s="48">
        <f t="shared" si="36"/>
        <v>90015.05491424998</v>
      </c>
    </row>
    <row r="140" spans="1:15" ht="15" customHeight="1" thickBot="1" x14ac:dyDescent="0.3">
      <c r="D140" s="49">
        <v>8</v>
      </c>
      <c r="E140" s="49">
        <f t="shared" si="35"/>
        <v>8</v>
      </c>
      <c r="F140" s="50">
        <f>37.5/35*'35h'!F140</f>
        <v>78922.07142857142</v>
      </c>
      <c r="G140" s="50">
        <f>37.5/35*'35h'!G140</f>
        <v>80896.07142857142</v>
      </c>
      <c r="H140" s="50">
        <f>37.5/35*'35h'!H140</f>
        <v>82918.47321428571</v>
      </c>
      <c r="I140" s="50">
        <f>37.5/35*'35h'!I140</f>
        <v>84992.142857142855</v>
      </c>
      <c r="J140" s="51">
        <f>37.5/35*'35h'!J140</f>
        <v>87966.867857142846</v>
      </c>
      <c r="K140" s="47">
        <f>37.5/35*'35h'!K140</f>
        <v>90166.039553571405</v>
      </c>
      <c r="L140" s="47">
        <f>37.5/35*'35h'!L140</f>
        <v>91969.360344642831</v>
      </c>
      <c r="M140" s="48">
        <f>37.5/35*'35h'!M140</f>
        <v>93808.747551535693</v>
      </c>
      <c r="N140" s="48">
        <f t="shared" si="36"/>
        <v>93808.747551535693</v>
      </c>
      <c r="O140" s="48">
        <f t="shared" si="36"/>
        <v>93808.747551535693</v>
      </c>
    </row>
    <row r="141" spans="1:15" ht="15" customHeight="1" x14ac:dyDescent="0.25">
      <c r="D141" s="52">
        <v>9</v>
      </c>
      <c r="E141" s="44">
        <f t="shared" si="35"/>
        <v>9</v>
      </c>
      <c r="F141" s="53">
        <f>37.5/35*'35h'!F141</f>
        <v>82243.07142857142</v>
      </c>
      <c r="G141" s="53">
        <f>37.5/35*'35h'!G141</f>
        <v>84299.148214285698</v>
      </c>
      <c r="H141" s="53">
        <f>37.5/35*'35h'!H141</f>
        <v>86406.626919642833</v>
      </c>
      <c r="I141" s="53">
        <f>37.5/35*'35h'!I141</f>
        <v>88566.428571428565</v>
      </c>
      <c r="J141" s="54">
        <f>37.5/35*'35h'!J141</f>
        <v>91666.253571428562</v>
      </c>
      <c r="K141" s="47">
        <f>37.5/35*'35h'!K141</f>
        <v>93957.909910714283</v>
      </c>
      <c r="L141" s="47">
        <f>37.5/35*'35h'!L141</f>
        <v>95837.068108928564</v>
      </c>
      <c r="M141" s="48">
        <f>37.5/35*'35h'!M141</f>
        <v>97753.809471107132</v>
      </c>
      <c r="N141" s="48">
        <f t="shared" si="36"/>
        <v>97753.809471107132</v>
      </c>
      <c r="O141" s="48">
        <f t="shared" si="36"/>
        <v>97753.809471107132</v>
      </c>
    </row>
    <row r="142" spans="1:15" ht="15" customHeight="1" x14ac:dyDescent="0.25">
      <c r="D142" s="44">
        <v>10</v>
      </c>
      <c r="E142" s="44">
        <f t="shared" si="35"/>
        <v>10</v>
      </c>
      <c r="F142" s="45">
        <f>37.5/35*'35h'!F142</f>
        <v>85706.839285714275</v>
      </c>
      <c r="G142" s="45">
        <f>37.5/35*'35h'!G142</f>
        <v>87849.510267857127</v>
      </c>
      <c r="H142" s="45">
        <f>37.5/35*'35h'!H142</f>
        <v>90045.748024553555</v>
      </c>
      <c r="I142" s="45">
        <f>37.5/35*'35h'!I142</f>
        <v>92297.142857142855</v>
      </c>
      <c r="J142" s="46">
        <f>37.5/35*'35h'!J142</f>
        <v>95527.542857142849</v>
      </c>
      <c r="K142" s="47">
        <f>37.5/35*'35h'!K142</f>
        <v>97915.731428571409</v>
      </c>
      <c r="L142" s="47">
        <f>37.5/35*'35h'!L142</f>
        <v>99874.046057142841</v>
      </c>
      <c r="M142" s="48">
        <f>37.5/35*'35h'!M142</f>
        <v>101871.52697828569</v>
      </c>
      <c r="N142" s="48">
        <f t="shared" si="36"/>
        <v>101871.52697828569</v>
      </c>
      <c r="O142" s="48">
        <f t="shared" si="36"/>
        <v>101871.52697828569</v>
      </c>
    </row>
    <row r="143" spans="1:15" ht="15" customHeight="1" x14ac:dyDescent="0.25">
      <c r="D143" s="44">
        <v>11</v>
      </c>
      <c r="E143" s="44">
        <f t="shared" si="35"/>
        <v>11</v>
      </c>
      <c r="F143" s="45">
        <f>37.5/35*'35h'!F143</f>
        <v>89314.473214285696</v>
      </c>
      <c r="G143" s="45">
        <f>37.5/35*'35h'!G143</f>
        <v>91547.335044642838</v>
      </c>
      <c r="H143" s="45">
        <f>37.5/35*'35h'!H143</f>
        <v>93836.018420758905</v>
      </c>
      <c r="I143" s="45">
        <f>37.5/35*'35h'!I143</f>
        <v>96182.142857142855</v>
      </c>
      <c r="J143" s="46">
        <f>37.5/35*'35h'!J143</f>
        <v>99548.517857142855</v>
      </c>
      <c r="K143" s="47">
        <f>37.5/35*'35h'!K143</f>
        <v>102037.23080357141</v>
      </c>
      <c r="L143" s="47">
        <f>37.5/35*'35h'!L143</f>
        <v>104078.57142857142</v>
      </c>
      <c r="M143" s="48">
        <f>37.5/35*'35h'!M143</f>
        <v>106160.14285714286</v>
      </c>
      <c r="N143" s="48">
        <f t="shared" si="36"/>
        <v>106160.14285714286</v>
      </c>
      <c r="O143" s="48">
        <f t="shared" si="36"/>
        <v>106160.14285714286</v>
      </c>
    </row>
    <row r="144" spans="1:15" ht="15" customHeight="1" x14ac:dyDescent="0.25">
      <c r="D144" s="44">
        <v>12</v>
      </c>
      <c r="E144" s="44">
        <f t="shared" si="35"/>
        <v>12</v>
      </c>
      <c r="F144" s="45">
        <f>37.5/35*'35h'!F144</f>
        <v>93075.85714285713</v>
      </c>
      <c r="G144" s="45">
        <f>37.5/35*'35h'!G144</f>
        <v>95402.753571428548</v>
      </c>
      <c r="H144" s="45">
        <f>37.5/35*'35h'!H144</f>
        <v>97787.82241071426</v>
      </c>
      <c r="I144" s="45">
        <f>37.5/35*'35h'!I144</f>
        <v>100233.21428571429</v>
      </c>
      <c r="J144" s="46">
        <f>37.5/35*'35h'!J144</f>
        <v>103741.37678571427</v>
      </c>
      <c r="K144" s="47">
        <f>37.5/35*'35h'!K144</f>
        <v>106334.91120535712</v>
      </c>
      <c r="L144" s="47">
        <f>37.5/35*'35h'!L144</f>
        <v>108461.60942946427</v>
      </c>
      <c r="M144" s="48">
        <f>37.5/35*'35h'!M144</f>
        <v>110631.42857142857</v>
      </c>
      <c r="N144" s="48">
        <f t="shared" si="36"/>
        <v>110631.42857142857</v>
      </c>
      <c r="O144" s="48">
        <f t="shared" si="36"/>
        <v>110631.42857142857</v>
      </c>
    </row>
    <row r="145" spans="4:15" ht="15" customHeight="1" x14ac:dyDescent="0.25">
      <c r="D145" s="44">
        <v>13</v>
      </c>
      <c r="E145" s="44">
        <f t="shared" si="35"/>
        <v>13</v>
      </c>
      <c r="F145" s="45">
        <f>37.5/35*'35h'!F145</f>
        <v>96994.285714285696</v>
      </c>
      <c r="G145" s="45">
        <f>37.5/35*'35h'!G145</f>
        <v>99419.142857142841</v>
      </c>
      <c r="H145" s="45">
        <f>37.5/35*'35h'!H145</f>
        <v>101904.62142857139</v>
      </c>
      <c r="I145" s="45">
        <f>37.5/35*'35h'!I145</f>
        <v>104452.5</v>
      </c>
      <c r="J145" s="46">
        <f>37.5/35*'35h'!J145</f>
        <v>108108.33749999998</v>
      </c>
      <c r="K145" s="47">
        <f>37.5/35*'35h'!K145</f>
        <v>110811.04593749998</v>
      </c>
      <c r="L145" s="47">
        <f>37.5/35*'35h'!L145</f>
        <v>113027.26685624997</v>
      </c>
      <c r="M145" s="48">
        <f>37.5/35*'35h'!M145</f>
        <v>115287.81219337498</v>
      </c>
      <c r="N145" s="48">
        <f t="shared" si="36"/>
        <v>115287.81219337498</v>
      </c>
      <c r="O145" s="48">
        <f t="shared" si="36"/>
        <v>115287.81219337498</v>
      </c>
    </row>
    <row r="146" spans="4:15" ht="15" customHeight="1" x14ac:dyDescent="0.25">
      <c r="D146" s="44">
        <v>14</v>
      </c>
      <c r="E146" s="44">
        <f t="shared" si="35"/>
        <v>14</v>
      </c>
      <c r="F146" s="45">
        <f>37.5/35*'35h'!F146</f>
        <v>101078.54464285713</v>
      </c>
      <c r="G146" s="45">
        <f>37.5/35*'35h'!G146</f>
        <v>103606.07142857142</v>
      </c>
      <c r="H146" s="45">
        <f>37.5/35*'35h'!H146</f>
        <v>106196.2232142857</v>
      </c>
      <c r="I146" s="45">
        <f>37.5/35*'35h'!I146</f>
        <v>108850.71428571428</v>
      </c>
      <c r="J146" s="46">
        <f>37.5/35*'35h'!J146</f>
        <v>112660.48928571427</v>
      </c>
      <c r="K146" s="47">
        <f>37.5/35*'35h'!K146</f>
        <v>115477.00151785712</v>
      </c>
      <c r="L146" s="47">
        <f>37.5/35*'35h'!L146</f>
        <v>117787.5</v>
      </c>
      <c r="M146" s="48">
        <f>37.5/35*'35h'!M146</f>
        <v>120143.25</v>
      </c>
      <c r="N146" s="48">
        <f t="shared" si="36"/>
        <v>120143.25</v>
      </c>
      <c r="O146" s="48">
        <f t="shared" si="36"/>
        <v>120143.25</v>
      </c>
    </row>
    <row r="147" spans="4:15" ht="15" customHeight="1" x14ac:dyDescent="0.25">
      <c r="D147" s="44">
        <v>15</v>
      </c>
      <c r="E147" s="44">
        <f t="shared" si="35"/>
        <v>15</v>
      </c>
      <c r="F147" s="45">
        <f>37.5/35*'35h'!F147</f>
        <v>105334.12499999999</v>
      </c>
      <c r="G147" s="45">
        <f>37.5/35*'35h'!G147</f>
        <v>107967.47812499997</v>
      </c>
      <c r="H147" s="45">
        <f>37.5/35*'35h'!H147</f>
        <v>110666.66507812496</v>
      </c>
      <c r="I147" s="45">
        <f>37.5/35*'35h'!I147</f>
        <v>113433.21428571428</v>
      </c>
      <c r="J147" s="46">
        <f>37.5/35*'35h'!J147</f>
        <v>117403.37678571427</v>
      </c>
      <c r="K147" s="47">
        <f>37.5/35*'35h'!K147</f>
        <v>120337.5</v>
      </c>
      <c r="L147" s="47">
        <f>37.5/35*'35h'!L147</f>
        <v>122744.25</v>
      </c>
      <c r="M147" s="48">
        <f>37.5/35*'35h'!M147</f>
        <v>125198.57142857142</v>
      </c>
      <c r="N147" s="48">
        <f t="shared" si="36"/>
        <v>125198.57142857142</v>
      </c>
      <c r="O147" s="48">
        <f t="shared" si="36"/>
        <v>125198.57142857142</v>
      </c>
    </row>
    <row r="148" spans="4:15" ht="15" customHeight="1" x14ac:dyDescent="0.25">
      <c r="D148" s="44">
        <v>16</v>
      </c>
      <c r="E148" s="44">
        <f t="shared" si="35"/>
        <v>16</v>
      </c>
      <c r="F148" s="45">
        <f>37.5/35*'35h'!F148</f>
        <v>109768.71428571428</v>
      </c>
      <c r="G148" s="45">
        <f>37.5/35*'35h'!G148</f>
        <v>112512.93214285711</v>
      </c>
      <c r="H148" s="45">
        <f>37.5/35*'35h'!H148</f>
        <v>115325.75544642852</v>
      </c>
      <c r="I148" s="45">
        <f>37.5/35*'35h'!I148</f>
        <v>118208.57142857142</v>
      </c>
      <c r="J148" s="46">
        <f>37.5/35*'35h'!J148</f>
        <v>122345.87142857142</v>
      </c>
      <c r="K148" s="47">
        <f>37.5/35*'35h'!K148</f>
        <v>125404.51821428569</v>
      </c>
      <c r="L148" s="47">
        <f>37.5/35*'35h'!L148</f>
        <v>127912.60857857142</v>
      </c>
      <c r="M148" s="48">
        <f>37.5/35*'35h'!M148</f>
        <v>130470.86075014285</v>
      </c>
      <c r="N148" s="48">
        <f t="shared" si="36"/>
        <v>130470.86075014285</v>
      </c>
      <c r="O148" s="48">
        <f t="shared" si="36"/>
        <v>130470.86075014285</v>
      </c>
    </row>
    <row r="149" spans="4:15" ht="15" customHeight="1" x14ac:dyDescent="0.25">
      <c r="D149" s="44">
        <v>17</v>
      </c>
      <c r="E149" s="44">
        <f t="shared" si="35"/>
        <v>17</v>
      </c>
      <c r="F149" s="45">
        <f>37.5/35*'35h'!F149</f>
        <v>114388.90178571428</v>
      </c>
      <c r="G149" s="45">
        <f>37.5/35*'35h'!G149</f>
        <v>117248.62433035712</v>
      </c>
      <c r="H149" s="45">
        <f>37.5/35*'35h'!H149</f>
        <v>120179.83993861605</v>
      </c>
      <c r="I149" s="45">
        <f>37.5/35*'35h'!I149</f>
        <v>123184.28571428571</v>
      </c>
      <c r="J149" s="46">
        <f>37.5/35*'35h'!J149</f>
        <v>127495.73571428569</v>
      </c>
      <c r="K149" s="47">
        <f>37.5/35*'35h'!K149</f>
        <v>130683.12910714283</v>
      </c>
      <c r="L149" s="47">
        <f>37.5/35*'35h'!L149</f>
        <v>133296.79168928569</v>
      </c>
      <c r="M149" s="48">
        <f>37.5/35*'35h'!M149</f>
        <v>135962.14285714284</v>
      </c>
      <c r="N149" s="48">
        <f t="shared" si="36"/>
        <v>135962.14285714284</v>
      </c>
      <c r="O149" s="48">
        <f t="shared" si="36"/>
        <v>135962.14285714284</v>
      </c>
    </row>
    <row r="150" spans="4:15" ht="15" customHeight="1" x14ac:dyDescent="0.25">
      <c r="D150" s="44">
        <v>18</v>
      </c>
      <c r="E150" s="44">
        <f t="shared" si="35"/>
        <v>18</v>
      </c>
      <c r="F150" s="45">
        <f>37.5/35*'35h'!F150</f>
        <v>119206.76785714284</v>
      </c>
      <c r="G150" s="45">
        <f>37.5/35*'35h'!G150</f>
        <v>122187.85714285714</v>
      </c>
      <c r="H150" s="45">
        <f>37.5/35*'35h'!H150</f>
        <v>125242.55357142855</v>
      </c>
      <c r="I150" s="45">
        <f>37.5/35*'35h'!I150</f>
        <v>128373.21428571428</v>
      </c>
      <c r="J150" s="46">
        <f>37.5/35*'35h'!J150</f>
        <v>132866.27678571429</v>
      </c>
      <c r="K150" s="47">
        <f>37.5/35*'35h'!K150</f>
        <v>136187.93370535714</v>
      </c>
      <c r="L150" s="47">
        <f>37.5/35*'35h'!L150</f>
        <v>138911.69237946428</v>
      </c>
      <c r="M150" s="48">
        <f>37.5/35*'35h'!M150</f>
        <v>141689.92622705354</v>
      </c>
      <c r="N150" s="48">
        <f t="shared" ref="N150:O152" si="37">M150</f>
        <v>141689.92622705354</v>
      </c>
      <c r="O150" s="48">
        <f t="shared" si="37"/>
        <v>141689.92622705354</v>
      </c>
    </row>
    <row r="151" spans="4:15" ht="15" customHeight="1" x14ac:dyDescent="0.25">
      <c r="D151" s="44">
        <f>D150</f>
        <v>18</v>
      </c>
      <c r="E151" s="44">
        <v>18</v>
      </c>
      <c r="F151" s="45">
        <f t="shared" ref="F151:M151" si="38">F150</f>
        <v>119206.76785714284</v>
      </c>
      <c r="G151" s="45">
        <f t="shared" si="38"/>
        <v>122187.85714285714</v>
      </c>
      <c r="H151" s="45">
        <f t="shared" si="38"/>
        <v>125242.55357142855</v>
      </c>
      <c r="I151" s="45">
        <f t="shared" si="38"/>
        <v>128373.21428571428</v>
      </c>
      <c r="J151" s="46">
        <f t="shared" si="38"/>
        <v>132866.27678571429</v>
      </c>
      <c r="K151" s="47">
        <f t="shared" si="38"/>
        <v>136187.93370535714</v>
      </c>
      <c r="L151" s="47">
        <f t="shared" si="38"/>
        <v>138911.69237946428</v>
      </c>
      <c r="M151" s="48">
        <f t="shared" si="38"/>
        <v>141689.92622705354</v>
      </c>
      <c r="N151" s="48">
        <f t="shared" si="37"/>
        <v>141689.92622705354</v>
      </c>
      <c r="O151" s="48">
        <f t="shared" si="37"/>
        <v>141689.92622705354</v>
      </c>
    </row>
    <row r="152" spans="4:15" ht="15" customHeight="1" x14ac:dyDescent="0.25">
      <c r="D152" s="55" t="s">
        <v>51</v>
      </c>
      <c r="E152" s="44" t="s">
        <v>51</v>
      </c>
      <c r="F152" s="56">
        <f>37.5/35*'35h'!F152</f>
        <v>137087.78303571427</v>
      </c>
      <c r="G152" s="56">
        <f>37.5/35*'35h'!G152</f>
        <v>140515.71428571429</v>
      </c>
      <c r="H152" s="56">
        <f>37.5/35*'35h'!H152</f>
        <v>144028.60714285713</v>
      </c>
      <c r="I152" s="56">
        <f>37.5/35*'35h'!I152</f>
        <v>147629.19642857142</v>
      </c>
      <c r="J152" s="46">
        <f>37.5/35*'35h'!J152</f>
        <v>152796.21830357143</v>
      </c>
      <c r="K152" s="47">
        <f>37.5/35*'35h'!K152</f>
        <v>156616.12376116068</v>
      </c>
      <c r="L152" s="47">
        <f>37.5/35*'35h'!L152</f>
        <v>159748.44623638387</v>
      </c>
      <c r="M152" s="48">
        <f>37.5/35*'35h'!M152</f>
        <v>162943.41516111157</v>
      </c>
      <c r="N152" s="48">
        <f t="shared" si="37"/>
        <v>162943.41516111157</v>
      </c>
      <c r="O152" s="48">
        <f t="shared" si="37"/>
        <v>162943.41516111157</v>
      </c>
    </row>
    <row r="153" spans="4:15" ht="15" customHeight="1" x14ac:dyDescent="0.25">
      <c r="D153" s="57"/>
      <c r="E153" s="57"/>
      <c r="J153" s="58"/>
      <c r="M153" s="59"/>
    </row>
    <row r="154" spans="4:15" ht="15" customHeight="1" x14ac:dyDescent="0.25">
      <c r="D154" s="57" t="s">
        <v>52</v>
      </c>
      <c r="E154" s="57" t="s">
        <v>52</v>
      </c>
      <c r="F154" s="60">
        <v>2.5000000000000001E-2</v>
      </c>
      <c r="G154" s="60">
        <v>2.4999999999999876E-2</v>
      </c>
      <c r="H154" s="60">
        <v>2.4999999999999904E-2</v>
      </c>
      <c r="I154" s="60">
        <v>2.4999999999999963E-2</v>
      </c>
      <c r="J154" s="61">
        <v>3.4999999999999962E-2</v>
      </c>
      <c r="K154" s="60">
        <v>2.4999999999999942E-2</v>
      </c>
      <c r="L154" s="60">
        <v>1.9999999999999987E-2</v>
      </c>
      <c r="M154" s="62">
        <v>1.9999999999999959E-2</v>
      </c>
    </row>
    <row r="155" spans="4:15" ht="15" customHeight="1" x14ac:dyDescent="0.25">
      <c r="D155" s="57"/>
      <c r="E155" s="57"/>
      <c r="J155" s="58"/>
      <c r="M155" s="59"/>
    </row>
    <row r="156" spans="4:15" ht="15" customHeight="1" thickBot="1" x14ac:dyDescent="0.3">
      <c r="D156" s="63" t="s">
        <v>53</v>
      </c>
      <c r="E156" s="63" t="s">
        <v>53</v>
      </c>
      <c r="F156" s="64">
        <v>2.5000000000000001E-2</v>
      </c>
      <c r="G156" s="65">
        <v>5.0599999999999999E-2</v>
      </c>
      <c r="H156" s="65">
        <v>7.6899999999999996E-2</v>
      </c>
      <c r="I156" s="65">
        <v>0.1038</v>
      </c>
      <c r="J156" s="66">
        <v>0.1424</v>
      </c>
      <c r="K156" s="65">
        <v>0.17100000000000001</v>
      </c>
      <c r="L156" s="65">
        <v>0.19439999999999999</v>
      </c>
      <c r="M156" s="67">
        <v>0.21829999999999999</v>
      </c>
    </row>
  </sheetData>
  <mergeCells count="5">
    <mergeCell ref="D5:D7"/>
    <mergeCell ref="D36:D38"/>
    <mergeCell ref="D67:D69"/>
    <mergeCell ref="D98:D100"/>
    <mergeCell ref="D130:D13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EAD3B-1881-419B-B923-A07EDB3E3ABF}">
  <dimension ref="A1:O156"/>
  <sheetViews>
    <sheetView topLeftCell="A67" workbookViewId="0">
      <selection activeCell="C24" sqref="C24"/>
    </sheetView>
  </sheetViews>
  <sheetFormatPr baseColWidth="10" defaultColWidth="11.42578125" defaultRowHeight="15" x14ac:dyDescent="0.25"/>
  <cols>
    <col min="1" max="1" width="12.5703125" style="31" bestFit="1" customWidth="1"/>
    <col min="2" max="2" width="16.140625" style="84" bestFit="1" customWidth="1"/>
    <col min="3" max="3" width="11.42578125" style="31"/>
    <col min="4" max="4" width="14.5703125" style="31" hidden="1" customWidth="1"/>
    <col min="5" max="5" width="14.5703125" style="31" customWidth="1"/>
    <col min="6" max="9" width="14.42578125" style="31" bestFit="1" customWidth="1"/>
    <col min="10" max="13" width="14.85546875" style="31" bestFit="1" customWidth="1"/>
    <col min="14" max="16384" width="11.42578125" style="31"/>
  </cols>
  <sheetData>
    <row r="1" spans="1:15" ht="15" customHeight="1" x14ac:dyDescent="0.25">
      <c r="E1" s="32" t="s">
        <v>59</v>
      </c>
    </row>
    <row r="2" spans="1:15" ht="15" customHeight="1" x14ac:dyDescent="0.25"/>
    <row r="3" spans="1:15" ht="15" customHeight="1" x14ac:dyDescent="0.25">
      <c r="E3" s="33" t="s">
        <v>48</v>
      </c>
    </row>
    <row r="4" spans="1:15" ht="15" customHeight="1" thickBot="1" x14ac:dyDescent="0.3"/>
    <row r="5" spans="1:15" ht="15" customHeight="1" x14ac:dyDescent="0.25">
      <c r="D5" s="217" t="s">
        <v>23</v>
      </c>
      <c r="E5" s="85"/>
      <c r="F5" s="34">
        <v>42095</v>
      </c>
      <c r="G5" s="34">
        <v>42461</v>
      </c>
      <c r="H5" s="34">
        <v>42826</v>
      </c>
      <c r="I5" s="34">
        <v>43191</v>
      </c>
      <c r="J5" s="35">
        <v>43556</v>
      </c>
      <c r="K5" s="34">
        <v>43922</v>
      </c>
      <c r="L5" s="34">
        <v>44287</v>
      </c>
      <c r="M5" s="36">
        <v>44652</v>
      </c>
      <c r="N5" s="36">
        <f>DATE(YEAR(M5)+1,MONTH(M5),DAY(M5))</f>
        <v>45017</v>
      </c>
      <c r="O5" s="36">
        <f>DATE(YEAR(N5)+1,MONTH(N5),DAY(N5))</f>
        <v>45383</v>
      </c>
    </row>
    <row r="6" spans="1:15" ht="15" customHeight="1" thickBot="1" x14ac:dyDescent="0.3">
      <c r="D6" s="218"/>
      <c r="E6" s="86" t="str">
        <f>D5</f>
        <v>Échelon</v>
      </c>
      <c r="F6" s="37" t="s">
        <v>49</v>
      </c>
      <c r="G6" s="37" t="s">
        <v>49</v>
      </c>
      <c r="H6" s="37" t="s">
        <v>49</v>
      </c>
      <c r="I6" s="37" t="s">
        <v>50</v>
      </c>
      <c r="J6" s="38" t="s">
        <v>50</v>
      </c>
      <c r="K6" s="37" t="s">
        <v>50</v>
      </c>
      <c r="L6" s="37" t="s">
        <v>50</v>
      </c>
      <c r="M6" s="39" t="s">
        <v>50</v>
      </c>
      <c r="N6" s="39" t="str">
        <f>M6</f>
        <v xml:space="preserve">au </v>
      </c>
      <c r="O6" s="39" t="str">
        <f>N6</f>
        <v xml:space="preserve">au </v>
      </c>
    </row>
    <row r="7" spans="1:15" ht="15" customHeight="1" x14ac:dyDescent="0.25">
      <c r="D7" s="219"/>
      <c r="E7" s="86"/>
      <c r="F7" s="40">
        <v>42460</v>
      </c>
      <c r="G7" s="40">
        <v>42825</v>
      </c>
      <c r="H7" s="40">
        <v>43190</v>
      </c>
      <c r="I7" s="40">
        <v>43555</v>
      </c>
      <c r="J7" s="41">
        <v>43921</v>
      </c>
      <c r="K7" s="40">
        <v>44286</v>
      </c>
      <c r="L7" s="40">
        <v>44651</v>
      </c>
      <c r="M7" s="42">
        <v>45016</v>
      </c>
      <c r="N7" s="36">
        <f>DATE(YEAR(M7)+1,MONTH(M7),DAY(M7))</f>
        <v>45382</v>
      </c>
      <c r="O7" s="36">
        <f>DATE(YEAR(N7)+1,MONTH(N7),DAY(N7))</f>
        <v>45747</v>
      </c>
    </row>
    <row r="8" spans="1:15" ht="15" customHeight="1" x14ac:dyDescent="0.25">
      <c r="A8" s="43"/>
      <c r="D8" s="44">
        <v>1</v>
      </c>
      <c r="E8" s="44">
        <f>D8</f>
        <v>1</v>
      </c>
      <c r="F8" s="45">
        <f>'35h'!F8*40/35</f>
        <v>61534.857142857145</v>
      </c>
      <c r="G8" s="45">
        <f>'35h'!G8*40/35</f>
        <v>62458.285714285717</v>
      </c>
      <c r="H8" s="45">
        <f>'35h'!H8*40/35</f>
        <v>63550.857142857145</v>
      </c>
      <c r="I8" s="45">
        <f>'35h'!I8*40/35</f>
        <v>64821.714285714283</v>
      </c>
      <c r="J8" s="46">
        <f>'35h'!J8*40/35</f>
        <v>64821.714285714283</v>
      </c>
      <c r="K8" s="47">
        <f>'35h'!K8*40/35</f>
        <v>66117.71428571429</v>
      </c>
      <c r="L8" s="47">
        <f>'35h'!L8*40/35</f>
        <v>67440</v>
      </c>
      <c r="M8" s="48">
        <f>'35h'!M8*40/35</f>
        <v>68788.571428571435</v>
      </c>
      <c r="N8" s="48">
        <f>M8</f>
        <v>68788.571428571435</v>
      </c>
      <c r="O8" s="48">
        <f>N8</f>
        <v>68788.571428571435</v>
      </c>
    </row>
    <row r="9" spans="1:15" ht="15" customHeight="1" x14ac:dyDescent="0.25">
      <c r="D9" s="44">
        <v>2</v>
      </c>
      <c r="E9" s="44">
        <f t="shared" ref="E9:E25" si="0">D9</f>
        <v>2</v>
      </c>
      <c r="F9" s="45">
        <f>'35h'!F9*40/35</f>
        <v>64125.714285714283</v>
      </c>
      <c r="G9" s="45">
        <f>'35h'!G9*40/35</f>
        <v>65088</v>
      </c>
      <c r="H9" s="45">
        <f>'35h'!H9*40/35</f>
        <v>66227.428571428565</v>
      </c>
      <c r="I9" s="45">
        <f>'35h'!I9*40/35</f>
        <v>67552</v>
      </c>
      <c r="J9" s="46">
        <f>'35h'!J9*40/35</f>
        <v>67552</v>
      </c>
      <c r="K9" s="47">
        <f>'35h'!K9*40/35</f>
        <v>68902.857142857145</v>
      </c>
      <c r="L9" s="47">
        <f>'35h'!L9*40/35</f>
        <v>70281.142857142855</v>
      </c>
      <c r="M9" s="48">
        <f>'35h'!M9*40/35</f>
        <v>71686.857142857145</v>
      </c>
      <c r="N9" s="48">
        <f t="shared" ref="N9:O24" si="1">M9</f>
        <v>71686.857142857145</v>
      </c>
      <c r="O9" s="48">
        <f t="shared" si="1"/>
        <v>71686.857142857145</v>
      </c>
    </row>
    <row r="10" spans="1:15" ht="15" customHeight="1" x14ac:dyDescent="0.25">
      <c r="D10" s="44">
        <v>3</v>
      </c>
      <c r="E10" s="44">
        <f t="shared" si="0"/>
        <v>3</v>
      </c>
      <c r="F10" s="45">
        <f>'35h'!F10*40/35</f>
        <v>66824</v>
      </c>
      <c r="G10" s="45">
        <f>'35h'!G10*40/35</f>
        <v>67826.28571428571</v>
      </c>
      <c r="H10" s="45">
        <f>'35h'!H10*40/35</f>
        <v>69013.71428571429</v>
      </c>
      <c r="I10" s="45">
        <f>'35h'!I10*40/35</f>
        <v>70394.28571428571</v>
      </c>
      <c r="J10" s="46">
        <f>'35h'!J10*40/35</f>
        <v>70394.28571428571</v>
      </c>
      <c r="K10" s="47">
        <f>'35h'!K10*40/35</f>
        <v>71802.28571428571</v>
      </c>
      <c r="L10" s="47">
        <f>'35h'!L10*40/35</f>
        <v>73238.857142857145</v>
      </c>
      <c r="M10" s="48">
        <f>'35h'!M10*40/35</f>
        <v>74704</v>
      </c>
      <c r="N10" s="48">
        <f t="shared" si="1"/>
        <v>74704</v>
      </c>
      <c r="O10" s="48">
        <f t="shared" si="1"/>
        <v>74704</v>
      </c>
    </row>
    <row r="11" spans="1:15" ht="15" customHeight="1" x14ac:dyDescent="0.25">
      <c r="D11" s="44">
        <v>4</v>
      </c>
      <c r="E11" s="44">
        <f t="shared" si="0"/>
        <v>4</v>
      </c>
      <c r="F11" s="45">
        <f>'35h'!F11*40/35</f>
        <v>69637.71428571429</v>
      </c>
      <c r="G11" s="45">
        <f>'35h'!G11*40/35</f>
        <v>70682.28571428571</v>
      </c>
      <c r="H11" s="45">
        <f>'35h'!H11*40/35</f>
        <v>71918.857142857145</v>
      </c>
      <c r="I11" s="45">
        <f>'35h'!I11*40/35</f>
        <v>73357.71428571429</v>
      </c>
      <c r="J11" s="46">
        <f>'35h'!J11*40/35</f>
        <v>73357.71428571429</v>
      </c>
      <c r="K11" s="47">
        <f>'35h'!K11*40/35</f>
        <v>74825.142857142855</v>
      </c>
      <c r="L11" s="47">
        <f>'35h'!L11*40/35</f>
        <v>76321.142857142855</v>
      </c>
      <c r="M11" s="48">
        <f>'35h'!M11*40/35</f>
        <v>77848</v>
      </c>
      <c r="N11" s="48">
        <f t="shared" si="1"/>
        <v>77848</v>
      </c>
      <c r="O11" s="48">
        <f t="shared" si="1"/>
        <v>77848</v>
      </c>
    </row>
    <row r="12" spans="1:15" ht="15" customHeight="1" x14ac:dyDescent="0.25">
      <c r="D12" s="44">
        <v>5</v>
      </c>
      <c r="E12" s="44">
        <f t="shared" si="0"/>
        <v>5</v>
      </c>
      <c r="F12" s="45">
        <f>'35h'!F12*40/35</f>
        <v>72571.428571428565</v>
      </c>
      <c r="G12" s="45">
        <f>'35h'!G12*40/35</f>
        <v>73660.571428571435</v>
      </c>
      <c r="H12" s="45">
        <f>'35h'!H12*40/35</f>
        <v>74949.71428571429</v>
      </c>
      <c r="I12" s="45">
        <f>'35h'!I12*40/35</f>
        <v>76449.142857142855</v>
      </c>
      <c r="J12" s="46">
        <f>'35h'!J12*40/35</f>
        <v>76449.142857142855</v>
      </c>
      <c r="K12" s="47">
        <f>'35h'!K12*40/35</f>
        <v>77978.28571428571</v>
      </c>
      <c r="L12" s="47">
        <f>'35h'!L12*40/35</f>
        <v>79538.28571428571</v>
      </c>
      <c r="M12" s="48">
        <f>'35h'!M12*40/35</f>
        <v>81129.142857142855</v>
      </c>
      <c r="N12" s="48">
        <f t="shared" si="1"/>
        <v>81129.142857142855</v>
      </c>
      <c r="O12" s="48">
        <f t="shared" si="1"/>
        <v>81129.142857142855</v>
      </c>
    </row>
    <row r="13" spans="1:15" ht="15" customHeight="1" x14ac:dyDescent="0.25">
      <c r="D13" s="44">
        <v>6</v>
      </c>
      <c r="E13" s="44">
        <f t="shared" si="0"/>
        <v>6</v>
      </c>
      <c r="F13" s="45">
        <f>'35h'!F13*40/35</f>
        <v>75627.428571428565</v>
      </c>
      <c r="G13" s="45">
        <f>'35h'!G13*40/35</f>
        <v>76762.28571428571</v>
      </c>
      <c r="H13" s="45">
        <f>'35h'!H13*40/35</f>
        <v>78105.142857142855</v>
      </c>
      <c r="I13" s="45">
        <f>'35h'!I13*40/35</f>
        <v>79667.428571428565</v>
      </c>
      <c r="J13" s="46">
        <f>'35h'!J13*40/35</f>
        <v>79667.428571428565</v>
      </c>
      <c r="K13" s="47">
        <f>'35h'!K13*40/35</f>
        <v>81260.571428571435</v>
      </c>
      <c r="L13" s="47">
        <f>'35h'!L13*40/35</f>
        <v>82885.71428571429</v>
      </c>
      <c r="M13" s="48">
        <f>'35h'!M13*40/35</f>
        <v>84544</v>
      </c>
      <c r="N13" s="48">
        <f t="shared" si="1"/>
        <v>84544</v>
      </c>
      <c r="O13" s="48">
        <f t="shared" si="1"/>
        <v>84544</v>
      </c>
    </row>
    <row r="14" spans="1:15" ht="15" customHeight="1" x14ac:dyDescent="0.25">
      <c r="D14" s="44">
        <v>7</v>
      </c>
      <c r="E14" s="44">
        <f t="shared" si="0"/>
        <v>7</v>
      </c>
      <c r="F14" s="45">
        <f>'35h'!F14*40/35</f>
        <v>78810.28571428571</v>
      </c>
      <c r="G14" s="45">
        <f>'35h'!G14*40/35</f>
        <v>79992</v>
      </c>
      <c r="H14" s="45">
        <f>'35h'!H14*40/35</f>
        <v>81392</v>
      </c>
      <c r="I14" s="45">
        <f>'35h'!I14*40/35</f>
        <v>83019.428571428565</v>
      </c>
      <c r="J14" s="46">
        <f>'35h'!J14*40/35</f>
        <v>83019.428571428565</v>
      </c>
      <c r="K14" s="47">
        <f>'35h'!K14*40/35</f>
        <v>84680</v>
      </c>
      <c r="L14" s="47">
        <f>'35h'!L14*40/35</f>
        <v>86373.71428571429</v>
      </c>
      <c r="M14" s="48">
        <f>'35h'!M14*40/35</f>
        <v>88101.71428571429</v>
      </c>
      <c r="N14" s="48">
        <f t="shared" si="1"/>
        <v>88101.71428571429</v>
      </c>
      <c r="O14" s="48">
        <f t="shared" si="1"/>
        <v>88101.71428571429</v>
      </c>
    </row>
    <row r="15" spans="1:15" ht="15" customHeight="1" thickBot="1" x14ac:dyDescent="0.3">
      <c r="D15" s="49">
        <v>8</v>
      </c>
      <c r="E15" s="49">
        <f t="shared" si="0"/>
        <v>8</v>
      </c>
      <c r="F15" s="50">
        <f>'35h'!F15*40/35</f>
        <v>82130.28571428571</v>
      </c>
      <c r="G15" s="50">
        <f>'35h'!G15*40/35</f>
        <v>83362.28571428571</v>
      </c>
      <c r="H15" s="50">
        <f>'35h'!H15*40/35</f>
        <v>84820.571428571435</v>
      </c>
      <c r="I15" s="50">
        <f>'35h'!I15*40/35</f>
        <v>86516.571428571435</v>
      </c>
      <c r="J15" s="51">
        <f>'35h'!J15*40/35</f>
        <v>86516.571428571435</v>
      </c>
      <c r="K15" s="47">
        <f>'35h'!K15*40/35</f>
        <v>88246.857142857145</v>
      </c>
      <c r="L15" s="47">
        <f>'35h'!L15*40/35</f>
        <v>90011.428571428565</v>
      </c>
      <c r="M15" s="48">
        <f>'35h'!M15*40/35</f>
        <v>91811.428571428565</v>
      </c>
      <c r="N15" s="48">
        <f t="shared" si="1"/>
        <v>91811.428571428565</v>
      </c>
      <c r="O15" s="48">
        <f t="shared" si="1"/>
        <v>91811.428571428565</v>
      </c>
    </row>
    <row r="16" spans="1:15" ht="15" customHeight="1" x14ac:dyDescent="0.25">
      <c r="D16" s="52">
        <v>9</v>
      </c>
      <c r="E16" s="44">
        <f t="shared" si="0"/>
        <v>9</v>
      </c>
      <c r="F16" s="53">
        <f>'35h'!F16*40/35</f>
        <v>85586.28571428571</v>
      </c>
      <c r="G16" s="53">
        <f>'35h'!G16*40/35</f>
        <v>86869.71428571429</v>
      </c>
      <c r="H16" s="53">
        <f>'35h'!H16*40/35</f>
        <v>88389.71428571429</v>
      </c>
      <c r="I16" s="53">
        <f>'35h'!I16*40/35</f>
        <v>90157.71428571429</v>
      </c>
      <c r="J16" s="54">
        <f>'35h'!J16*40/35</f>
        <v>90157.71428571429</v>
      </c>
      <c r="K16" s="47">
        <f>'35h'!K16*40/35</f>
        <v>91961.142857142855</v>
      </c>
      <c r="L16" s="47">
        <f>'35h'!L16*40/35</f>
        <v>93800</v>
      </c>
      <c r="M16" s="48">
        <f>'35h'!M16*40/35</f>
        <v>95676.571428571435</v>
      </c>
      <c r="N16" s="48">
        <f t="shared" si="1"/>
        <v>95676.571428571435</v>
      </c>
      <c r="O16" s="48">
        <f t="shared" si="1"/>
        <v>95676.571428571435</v>
      </c>
    </row>
    <row r="17" spans="4:15" ht="15" customHeight="1" x14ac:dyDescent="0.25">
      <c r="D17" s="44">
        <v>10</v>
      </c>
      <c r="E17" s="44">
        <f t="shared" si="0"/>
        <v>10</v>
      </c>
      <c r="F17" s="45">
        <f>'35h'!F17*40/35</f>
        <v>89190.857142857145</v>
      </c>
      <c r="G17" s="45">
        <f>'35h'!G17*40/35</f>
        <v>90529.142857142855</v>
      </c>
      <c r="H17" s="45">
        <f>'35h'!H17*40/35</f>
        <v>92113.142857142855</v>
      </c>
      <c r="I17" s="45">
        <f>'35h'!I17*40/35</f>
        <v>93955.428571428565</v>
      </c>
      <c r="J17" s="46">
        <f>'35h'!J17*40/35</f>
        <v>93955.428571428565</v>
      </c>
      <c r="K17" s="47">
        <f>'35h'!K17*40/35</f>
        <v>95834.28571428571</v>
      </c>
      <c r="L17" s="47">
        <f>'35h'!L17*40/35</f>
        <v>97750.857142857145</v>
      </c>
      <c r="M17" s="48">
        <f>'35h'!M17*40/35</f>
        <v>99706.28571428571</v>
      </c>
      <c r="N17" s="48">
        <f t="shared" si="1"/>
        <v>99706.28571428571</v>
      </c>
      <c r="O17" s="48">
        <f t="shared" si="1"/>
        <v>99706.28571428571</v>
      </c>
    </row>
    <row r="18" spans="4:15" ht="15" customHeight="1" x14ac:dyDescent="0.25">
      <c r="D18" s="44">
        <v>11</v>
      </c>
      <c r="E18" s="44">
        <f t="shared" si="0"/>
        <v>11</v>
      </c>
      <c r="F18" s="45">
        <f>'35h'!F18*40/35</f>
        <v>92945.142857142855</v>
      </c>
      <c r="G18" s="45">
        <f>'35h'!G18*40/35</f>
        <v>94339.428571428565</v>
      </c>
      <c r="H18" s="45">
        <f>'35h'!H18*40/35</f>
        <v>95990.857142857145</v>
      </c>
      <c r="I18" s="45">
        <f>'35h'!I18*40/35</f>
        <v>97910.857142857145</v>
      </c>
      <c r="J18" s="46">
        <f>'35h'!J18*40/35</f>
        <v>97910.857142857145</v>
      </c>
      <c r="K18" s="47">
        <f>'35h'!K18*40/35</f>
        <v>99868.571428571435</v>
      </c>
      <c r="L18" s="47">
        <f>'35h'!L18*40/35</f>
        <v>101866.28571428571</v>
      </c>
      <c r="M18" s="48">
        <f>'35h'!M18*40/35</f>
        <v>103904</v>
      </c>
      <c r="N18" s="48">
        <f t="shared" si="1"/>
        <v>103904</v>
      </c>
      <c r="O18" s="48">
        <f t="shared" si="1"/>
        <v>103904</v>
      </c>
    </row>
    <row r="19" spans="4:15" ht="15" customHeight="1" x14ac:dyDescent="0.25">
      <c r="D19" s="44">
        <v>12</v>
      </c>
      <c r="E19" s="44">
        <f t="shared" si="0"/>
        <v>12</v>
      </c>
      <c r="F19" s="45">
        <f>'35h'!F19*40/35</f>
        <v>96859.428571428565</v>
      </c>
      <c r="G19" s="45">
        <f>'35h'!G19*40/35</f>
        <v>98312</v>
      </c>
      <c r="H19" s="45">
        <f>'35h'!H19*40/35</f>
        <v>100032</v>
      </c>
      <c r="I19" s="45">
        <f>'35h'!I19*40/35</f>
        <v>102033.14285714286</v>
      </c>
      <c r="J19" s="46">
        <f>'35h'!J19*40/35</f>
        <v>102033.14285714286</v>
      </c>
      <c r="K19" s="47">
        <f>'35h'!K19*40/35</f>
        <v>104074.28571428571</v>
      </c>
      <c r="L19" s="47">
        <f>'35h'!L19*40/35</f>
        <v>106155.42857142857</v>
      </c>
      <c r="M19" s="48">
        <f>'35h'!M19*40/35</f>
        <v>108278.85714285714</v>
      </c>
      <c r="N19" s="48">
        <f t="shared" si="1"/>
        <v>108278.85714285714</v>
      </c>
      <c r="O19" s="48">
        <f t="shared" si="1"/>
        <v>108278.85714285714</v>
      </c>
    </row>
    <row r="20" spans="4:15" ht="15" customHeight="1" x14ac:dyDescent="0.25">
      <c r="D20" s="44">
        <v>13</v>
      </c>
      <c r="E20" s="44">
        <f t="shared" si="0"/>
        <v>13</v>
      </c>
      <c r="F20" s="45">
        <f>'35h'!F20*40/35</f>
        <v>100937.14285714286</v>
      </c>
      <c r="G20" s="45">
        <f>'35h'!G20*40/35</f>
        <v>102451.42857142857</v>
      </c>
      <c r="H20" s="45">
        <f>'35h'!H20*40/35</f>
        <v>104244.57142857143</v>
      </c>
      <c r="I20" s="45">
        <f>'35h'!I20*40/35</f>
        <v>106329.14285714286</v>
      </c>
      <c r="J20" s="46">
        <f>'35h'!J20*40/35</f>
        <v>106329.14285714286</v>
      </c>
      <c r="K20" s="47">
        <f>'35h'!K20*40/35</f>
        <v>108456</v>
      </c>
      <c r="L20" s="47">
        <f>'35h'!L20*40/35</f>
        <v>110625.14285714286</v>
      </c>
      <c r="M20" s="48">
        <f>'35h'!M20*40/35</f>
        <v>112837.71428571429</v>
      </c>
      <c r="N20" s="48">
        <f t="shared" si="1"/>
        <v>112837.71428571429</v>
      </c>
      <c r="O20" s="48">
        <f t="shared" si="1"/>
        <v>112837.71428571429</v>
      </c>
    </row>
    <row r="21" spans="4:15" ht="15" customHeight="1" x14ac:dyDescent="0.25">
      <c r="D21" s="44">
        <v>14</v>
      </c>
      <c r="E21" s="44">
        <f t="shared" si="0"/>
        <v>14</v>
      </c>
      <c r="F21" s="45">
        <f>'35h'!F21*40/35</f>
        <v>105187.42857142857</v>
      </c>
      <c r="G21" s="45">
        <f>'35h'!G21*40/35</f>
        <v>106765.71428571429</v>
      </c>
      <c r="H21" s="45">
        <f>'35h'!H21*40/35</f>
        <v>108634.28571428571</v>
      </c>
      <c r="I21" s="45">
        <f>'35h'!I21*40/35</f>
        <v>110806.85714285714</v>
      </c>
      <c r="J21" s="46">
        <f>'35h'!J21*40/35</f>
        <v>110806.85714285714</v>
      </c>
      <c r="K21" s="47">
        <f>'35h'!K21*40/35</f>
        <v>113022.85714285714</v>
      </c>
      <c r="L21" s="47">
        <f>'35h'!L21*40/35</f>
        <v>115283.42857142857</v>
      </c>
      <c r="M21" s="48">
        <f>'35h'!M21*40/35</f>
        <v>117588.57142857143</v>
      </c>
      <c r="N21" s="48">
        <f t="shared" si="1"/>
        <v>117588.57142857143</v>
      </c>
      <c r="O21" s="48">
        <f t="shared" si="1"/>
        <v>117588.57142857143</v>
      </c>
    </row>
    <row r="22" spans="4:15" ht="15" customHeight="1" x14ac:dyDescent="0.25">
      <c r="D22" s="44">
        <v>15</v>
      </c>
      <c r="E22" s="44">
        <f t="shared" si="0"/>
        <v>15</v>
      </c>
      <c r="F22" s="45">
        <f>'35h'!F22*40/35</f>
        <v>109616</v>
      </c>
      <c r="G22" s="45">
        <f>'35h'!G22*40/35</f>
        <v>111260.57142857143</v>
      </c>
      <c r="H22" s="45">
        <f>'35h'!H22*40/35</f>
        <v>113208</v>
      </c>
      <c r="I22" s="45">
        <f>'35h'!I22*40/35</f>
        <v>115472</v>
      </c>
      <c r="J22" s="46">
        <f>'35h'!J22*40/35</f>
        <v>115472</v>
      </c>
      <c r="K22" s="47">
        <f>'35h'!K22*40/35</f>
        <v>117781.71428571429</v>
      </c>
      <c r="L22" s="47">
        <f>'35h'!L22*40/35</f>
        <v>120137.14285714286</v>
      </c>
      <c r="M22" s="48">
        <f>'35h'!M22*40/35</f>
        <v>122539.42857142857</v>
      </c>
      <c r="N22" s="48">
        <f t="shared" si="1"/>
        <v>122539.42857142857</v>
      </c>
      <c r="O22" s="48">
        <f t="shared" si="1"/>
        <v>122539.42857142857</v>
      </c>
    </row>
    <row r="23" spans="4:15" ht="15" customHeight="1" x14ac:dyDescent="0.25">
      <c r="D23" s="44">
        <v>16</v>
      </c>
      <c r="E23" s="44">
        <f t="shared" si="0"/>
        <v>16</v>
      </c>
      <c r="F23" s="45">
        <f>'35h'!F23*40/35</f>
        <v>114230.85714285714</v>
      </c>
      <c r="G23" s="45">
        <f>'35h'!G23*40/35</f>
        <v>115944</v>
      </c>
      <c r="H23" s="45">
        <f>'35h'!H23*40/35</f>
        <v>117972.57142857143</v>
      </c>
      <c r="I23" s="45">
        <f>'35h'!I23*40/35</f>
        <v>120332.57142857143</v>
      </c>
      <c r="J23" s="46">
        <f>'35h'!J23*40/35</f>
        <v>120332.57142857143</v>
      </c>
      <c r="K23" s="47">
        <f>'35h'!K23*40/35</f>
        <v>122739.42857142857</v>
      </c>
      <c r="L23" s="47">
        <f>'35h'!L23*40/35</f>
        <v>125194.28571428571</v>
      </c>
      <c r="M23" s="48">
        <f>'35h'!M23*40/35</f>
        <v>127698.28571428571</v>
      </c>
      <c r="N23" s="48">
        <f t="shared" si="1"/>
        <v>127698.28571428571</v>
      </c>
      <c r="O23" s="48">
        <f t="shared" si="1"/>
        <v>127698.28571428571</v>
      </c>
    </row>
    <row r="24" spans="4:15" ht="15" customHeight="1" x14ac:dyDescent="0.25">
      <c r="D24" s="44">
        <v>17</v>
      </c>
      <c r="E24" s="44">
        <f t="shared" si="0"/>
        <v>17</v>
      </c>
      <c r="F24" s="45">
        <f>'35h'!F24*40/35</f>
        <v>119038.85714285714</v>
      </c>
      <c r="G24" s="45">
        <f>'35h'!G24*40/35</f>
        <v>120824</v>
      </c>
      <c r="H24" s="45">
        <f>'35h'!H24*40/35</f>
        <v>122938.28571428571</v>
      </c>
      <c r="I24" s="45">
        <f>'35h'!I24*40/35</f>
        <v>125396.57142857143</v>
      </c>
      <c r="J24" s="46">
        <f>'35h'!J24*40/35</f>
        <v>125396.57142857143</v>
      </c>
      <c r="K24" s="47">
        <f>'35h'!K24*40/35</f>
        <v>127904</v>
      </c>
      <c r="L24" s="47">
        <f>'35h'!L24*40/35</f>
        <v>130461.71428571429</v>
      </c>
      <c r="M24" s="48">
        <f>'35h'!M24*40/35</f>
        <v>133070.85714285713</v>
      </c>
      <c r="N24" s="48">
        <f t="shared" si="1"/>
        <v>133070.85714285713</v>
      </c>
      <c r="O24" s="48">
        <f t="shared" si="1"/>
        <v>133070.85714285713</v>
      </c>
    </row>
    <row r="25" spans="4:15" ht="15" customHeight="1" x14ac:dyDescent="0.25">
      <c r="D25" s="44">
        <v>18</v>
      </c>
      <c r="E25" s="44">
        <f t="shared" si="0"/>
        <v>18</v>
      </c>
      <c r="F25" s="45">
        <f>'35h'!F25*40/35</f>
        <v>124052.57142857143</v>
      </c>
      <c r="G25" s="45">
        <f>'35h'!G25*40/35</f>
        <v>125913.14285714286</v>
      </c>
      <c r="H25" s="45">
        <f>'35h'!H25*40/35</f>
        <v>128116.57142857143</v>
      </c>
      <c r="I25" s="45">
        <f>'35h'!I25*40/35</f>
        <v>130678.85714285714</v>
      </c>
      <c r="J25" s="46">
        <f>'35h'!J25*40/35</f>
        <v>130678.85714285714</v>
      </c>
      <c r="K25" s="47">
        <f>'35h'!K25*40/35</f>
        <v>133292.57142857142</v>
      </c>
      <c r="L25" s="47">
        <f>'35h'!L25*40/35</f>
        <v>135958.85714285713</v>
      </c>
      <c r="M25" s="48">
        <f>'35h'!M25*40/35</f>
        <v>138677.71428571429</v>
      </c>
      <c r="N25" s="48">
        <f t="shared" ref="N25:O27" si="2">M25</f>
        <v>138677.71428571429</v>
      </c>
      <c r="O25" s="48">
        <f t="shared" si="2"/>
        <v>138677.71428571429</v>
      </c>
    </row>
    <row r="26" spans="4:15" ht="15" customHeight="1" x14ac:dyDescent="0.25">
      <c r="D26" s="44">
        <v>19</v>
      </c>
      <c r="E26" s="44">
        <v>18</v>
      </c>
      <c r="F26" s="45">
        <f>F25</f>
        <v>124052.57142857143</v>
      </c>
      <c r="G26" s="45">
        <f t="shared" ref="G26:M26" si="3">G25</f>
        <v>125913.14285714286</v>
      </c>
      <c r="H26" s="45">
        <f t="shared" si="3"/>
        <v>128116.57142857143</v>
      </c>
      <c r="I26" s="45">
        <f t="shared" si="3"/>
        <v>130678.85714285714</v>
      </c>
      <c r="J26" s="46">
        <f t="shared" si="3"/>
        <v>130678.85714285714</v>
      </c>
      <c r="K26" s="47">
        <f t="shared" si="3"/>
        <v>133292.57142857142</v>
      </c>
      <c r="L26" s="47">
        <f t="shared" si="3"/>
        <v>135958.85714285713</v>
      </c>
      <c r="M26" s="48">
        <f t="shared" si="3"/>
        <v>138677.71428571429</v>
      </c>
      <c r="N26" s="48">
        <f t="shared" si="2"/>
        <v>138677.71428571429</v>
      </c>
      <c r="O26" s="48">
        <f t="shared" si="2"/>
        <v>138677.71428571429</v>
      </c>
    </row>
    <row r="27" spans="4:15" ht="15" customHeight="1" x14ac:dyDescent="0.25">
      <c r="D27" s="55">
        <v>20</v>
      </c>
      <c r="E27" s="44" t="s">
        <v>51</v>
      </c>
      <c r="F27" s="56">
        <f>'35h'!F27*40/35</f>
        <v>142660.57142857142</v>
      </c>
      <c r="G27" s="56">
        <f>'35h'!G27*40/35</f>
        <v>144800</v>
      </c>
      <c r="H27" s="56">
        <f>'35h'!H27*40/35</f>
        <v>147333.71428571429</v>
      </c>
      <c r="I27" s="56">
        <f>'35h'!I27*40/35</f>
        <v>150281.14285714287</v>
      </c>
      <c r="J27" s="46">
        <f>'35h'!J27*40/35</f>
        <v>150281.14285714287</v>
      </c>
      <c r="K27" s="47">
        <f>'35h'!K27*40/35</f>
        <v>153286.85714285713</v>
      </c>
      <c r="L27" s="47">
        <f>'35h'!L27*40/35</f>
        <v>156353.14285714287</v>
      </c>
      <c r="M27" s="48">
        <f>'35h'!M27*40/35</f>
        <v>159478.85714285713</v>
      </c>
      <c r="N27" s="48">
        <f t="shared" si="2"/>
        <v>159478.85714285713</v>
      </c>
      <c r="O27" s="48">
        <f t="shared" si="2"/>
        <v>159478.85714285713</v>
      </c>
    </row>
    <row r="28" spans="4:15" ht="15" customHeight="1" x14ac:dyDescent="0.25">
      <c r="D28" s="57"/>
      <c r="E28" s="57"/>
      <c r="J28" s="58"/>
      <c r="M28" s="59"/>
      <c r="N28" s="59"/>
      <c r="O28" s="59"/>
    </row>
    <row r="29" spans="4:15" ht="15" customHeight="1" x14ac:dyDescent="0.25">
      <c r="D29" s="57" t="s">
        <v>52</v>
      </c>
      <c r="E29" s="57" t="s">
        <v>52</v>
      </c>
      <c r="F29" s="60">
        <v>0</v>
      </c>
      <c r="G29" s="60">
        <v>1.5006593243318538E-2</v>
      </c>
      <c r="H29" s="60">
        <v>1.7492818063713382E-2</v>
      </c>
      <c r="I29" s="60">
        <v>1.9997482331361161E-2</v>
      </c>
      <c r="J29" s="61">
        <v>0</v>
      </c>
      <c r="K29" s="60">
        <v>0.02</v>
      </c>
      <c r="L29" s="60">
        <v>0.02</v>
      </c>
      <c r="M29" s="62">
        <v>0.02</v>
      </c>
      <c r="N29" s="62"/>
      <c r="O29" s="62"/>
    </row>
    <row r="30" spans="4:15" ht="15" customHeight="1" x14ac:dyDescent="0.25">
      <c r="D30" s="57"/>
      <c r="E30" s="57"/>
      <c r="J30" s="58"/>
      <c r="M30" s="59"/>
      <c r="N30" s="59"/>
      <c r="O30" s="59"/>
    </row>
    <row r="31" spans="4:15" ht="15" customHeight="1" thickBot="1" x14ac:dyDescent="0.3">
      <c r="D31" s="63" t="s">
        <v>53</v>
      </c>
      <c r="E31" s="63" t="s">
        <v>53</v>
      </c>
      <c r="F31" s="64"/>
      <c r="G31" s="65">
        <v>1.4999999999999999E-2</v>
      </c>
      <c r="H31" s="65">
        <v>3.2800000000000003E-2</v>
      </c>
      <c r="I31" s="65">
        <v>5.3400000000000003E-2</v>
      </c>
      <c r="J31" s="66">
        <v>5.3400000000000003E-2</v>
      </c>
      <c r="K31" s="65">
        <v>7.4467999999999979E-2</v>
      </c>
      <c r="L31" s="65">
        <v>9.5957360000000103E-2</v>
      </c>
      <c r="M31" s="67">
        <v>0.11787650720000009</v>
      </c>
      <c r="N31" s="67"/>
      <c r="O31" s="67"/>
    </row>
    <row r="32" spans="4:15" ht="15" customHeight="1" x14ac:dyDescent="0.25"/>
    <row r="33" spans="1:15" ht="15" customHeight="1" x14ac:dyDescent="0.25"/>
    <row r="34" spans="1:15" ht="15" customHeight="1" x14ac:dyDescent="0.25">
      <c r="E34" s="33" t="s">
        <v>54</v>
      </c>
    </row>
    <row r="35" spans="1:15" ht="15" customHeight="1" thickBot="1" x14ac:dyDescent="0.3"/>
    <row r="36" spans="1:15" ht="15" customHeight="1" x14ac:dyDescent="0.25">
      <c r="D36" s="217" t="s">
        <v>23</v>
      </c>
      <c r="E36" s="85"/>
      <c r="F36" s="34">
        <v>42095</v>
      </c>
      <c r="G36" s="34">
        <v>42461</v>
      </c>
      <c r="H36" s="34">
        <v>42826</v>
      </c>
      <c r="I36" s="34">
        <v>43191</v>
      </c>
      <c r="J36" s="35">
        <v>43556</v>
      </c>
      <c r="K36" s="34">
        <v>43922</v>
      </c>
      <c r="L36" s="34">
        <v>44287</v>
      </c>
      <c r="M36" s="36">
        <v>44652</v>
      </c>
      <c r="N36" s="36">
        <f>DATE(YEAR(M36)+1,MONTH(M36),DAY(M36))</f>
        <v>45017</v>
      </c>
      <c r="O36" s="36">
        <f>DATE(YEAR(N36)+1,MONTH(N36),DAY(N36))</f>
        <v>45383</v>
      </c>
    </row>
    <row r="37" spans="1:15" ht="15" customHeight="1" thickBot="1" x14ac:dyDescent="0.3">
      <c r="D37" s="218"/>
      <c r="E37" s="86" t="str">
        <f>D36</f>
        <v>Échelon</v>
      </c>
      <c r="F37" s="37" t="s">
        <v>49</v>
      </c>
      <c r="G37" s="37" t="s">
        <v>49</v>
      </c>
      <c r="H37" s="37" t="s">
        <v>49</v>
      </c>
      <c r="I37" s="37" t="s">
        <v>50</v>
      </c>
      <c r="J37" s="38" t="s">
        <v>50</v>
      </c>
      <c r="K37" s="37" t="s">
        <v>50</v>
      </c>
      <c r="L37" s="37" t="s">
        <v>50</v>
      </c>
      <c r="M37" s="39" t="s">
        <v>50</v>
      </c>
      <c r="N37" s="39" t="str">
        <f>M37</f>
        <v xml:space="preserve">au </v>
      </c>
      <c r="O37" s="39" t="str">
        <f>N37</f>
        <v xml:space="preserve">au </v>
      </c>
    </row>
    <row r="38" spans="1:15" ht="15" customHeight="1" x14ac:dyDescent="0.25">
      <c r="D38" s="219"/>
      <c r="E38" s="86"/>
      <c r="F38" s="40">
        <v>42460</v>
      </c>
      <c r="G38" s="40">
        <v>42825</v>
      </c>
      <c r="H38" s="40">
        <v>43190</v>
      </c>
      <c r="I38" s="40">
        <v>43555</v>
      </c>
      <c r="J38" s="41">
        <v>43921</v>
      </c>
      <c r="K38" s="40">
        <v>44286</v>
      </c>
      <c r="L38" s="40">
        <v>44651</v>
      </c>
      <c r="M38" s="42">
        <v>45016</v>
      </c>
      <c r="N38" s="36">
        <f>DATE(YEAR(M38)+1,MONTH(M38),DAY(M38))</f>
        <v>45382</v>
      </c>
      <c r="O38" s="36">
        <f>DATE(YEAR(N38)+1,MONTH(N38),DAY(N38))</f>
        <v>45747</v>
      </c>
    </row>
    <row r="39" spans="1:15" ht="15" customHeight="1" x14ac:dyDescent="0.25">
      <c r="A39" s="43"/>
      <c r="D39" s="44">
        <v>1</v>
      </c>
      <c r="E39" s="44">
        <f>D39</f>
        <v>1</v>
      </c>
      <c r="F39" s="45">
        <f>'35h'!F39*40/35</f>
        <v>61534.857142857145</v>
      </c>
      <c r="G39" s="45">
        <f>'35h'!G39*40/35</f>
        <v>62458.285714285717</v>
      </c>
      <c r="H39" s="45">
        <f>'35h'!H39*40/35</f>
        <v>63550.857142857145</v>
      </c>
      <c r="I39" s="45">
        <f>'35h'!I39*40/35</f>
        <v>64821.714285714283</v>
      </c>
      <c r="J39" s="46">
        <f>'35h'!J39*40/35</f>
        <v>64821.714285714283</v>
      </c>
      <c r="K39" s="47">
        <f>'35h'!K39*40/35</f>
        <v>64821.714285714283</v>
      </c>
      <c r="L39" s="47">
        <f>'35h'!L39*40/35</f>
        <v>64821.714285714283</v>
      </c>
      <c r="M39" s="48">
        <f>'35h'!M39*40/35</f>
        <v>64821.714285714283</v>
      </c>
      <c r="N39" s="48">
        <f>M39</f>
        <v>64821.714285714283</v>
      </c>
      <c r="O39" s="48">
        <f>N39</f>
        <v>64821.714285714283</v>
      </c>
    </row>
    <row r="40" spans="1:15" ht="15" customHeight="1" x14ac:dyDescent="0.25">
      <c r="D40" s="44">
        <v>2</v>
      </c>
      <c r="E40" s="44">
        <f t="shared" ref="E40:E56" si="4">D40</f>
        <v>2</v>
      </c>
      <c r="F40" s="45">
        <f>'35h'!F40*40/35</f>
        <v>64125.714285714283</v>
      </c>
      <c r="G40" s="45">
        <f>'35h'!G40*40/35</f>
        <v>65088</v>
      </c>
      <c r="H40" s="45">
        <f>'35h'!H40*40/35</f>
        <v>66227.428571428565</v>
      </c>
      <c r="I40" s="45">
        <f>'35h'!I40*40/35</f>
        <v>67552</v>
      </c>
      <c r="J40" s="46">
        <f>'35h'!J40*40/35</f>
        <v>67552</v>
      </c>
      <c r="K40" s="47">
        <f>'35h'!K40*40/35</f>
        <v>67552</v>
      </c>
      <c r="L40" s="47">
        <f>'35h'!L40*40/35</f>
        <v>67552</v>
      </c>
      <c r="M40" s="48">
        <f>'35h'!M40*40/35</f>
        <v>67552</v>
      </c>
      <c r="N40" s="48">
        <f t="shared" ref="N40:O55" si="5">M40</f>
        <v>67552</v>
      </c>
      <c r="O40" s="48">
        <f t="shared" si="5"/>
        <v>67552</v>
      </c>
    </row>
    <row r="41" spans="1:15" ht="15" customHeight="1" x14ac:dyDescent="0.25">
      <c r="D41" s="44">
        <v>3</v>
      </c>
      <c r="E41" s="44">
        <f t="shared" si="4"/>
        <v>3</v>
      </c>
      <c r="F41" s="45">
        <f>'35h'!F41*40/35</f>
        <v>66824</v>
      </c>
      <c r="G41" s="45">
        <f>'35h'!G41*40/35</f>
        <v>67826.28571428571</v>
      </c>
      <c r="H41" s="45">
        <f>'35h'!H41*40/35</f>
        <v>69013.71428571429</v>
      </c>
      <c r="I41" s="45">
        <f>'35h'!I41*40/35</f>
        <v>70394.28571428571</v>
      </c>
      <c r="J41" s="46">
        <f>'35h'!J41*40/35</f>
        <v>70394.28571428571</v>
      </c>
      <c r="K41" s="47">
        <f>'35h'!K41*40/35</f>
        <v>70394.28571428571</v>
      </c>
      <c r="L41" s="47">
        <f>'35h'!L41*40/35</f>
        <v>70394.28571428571</v>
      </c>
      <c r="M41" s="48">
        <f>'35h'!M41*40/35</f>
        <v>70394.28571428571</v>
      </c>
      <c r="N41" s="48">
        <f t="shared" si="5"/>
        <v>70394.28571428571</v>
      </c>
      <c r="O41" s="48">
        <f t="shared" si="5"/>
        <v>70394.28571428571</v>
      </c>
    </row>
    <row r="42" spans="1:15" ht="15" customHeight="1" x14ac:dyDescent="0.25">
      <c r="D42" s="44">
        <v>4</v>
      </c>
      <c r="E42" s="44">
        <f t="shared" si="4"/>
        <v>4</v>
      </c>
      <c r="F42" s="45">
        <f>'35h'!F42*40/35</f>
        <v>69637.71428571429</v>
      </c>
      <c r="G42" s="45">
        <f>'35h'!G42*40/35</f>
        <v>70682.28571428571</v>
      </c>
      <c r="H42" s="45">
        <f>'35h'!H42*40/35</f>
        <v>71918.857142857145</v>
      </c>
      <c r="I42" s="45">
        <f>'35h'!I42*40/35</f>
        <v>73357.71428571429</v>
      </c>
      <c r="J42" s="46">
        <f>'35h'!J42*40/35</f>
        <v>73357.71428571429</v>
      </c>
      <c r="K42" s="47">
        <f>'35h'!K42*40/35</f>
        <v>73357.71428571429</v>
      </c>
      <c r="L42" s="47">
        <f>'35h'!L42*40/35</f>
        <v>73357.71428571429</v>
      </c>
      <c r="M42" s="48">
        <f>'35h'!M42*40/35</f>
        <v>73357.71428571429</v>
      </c>
      <c r="N42" s="48">
        <f t="shared" si="5"/>
        <v>73357.71428571429</v>
      </c>
      <c r="O42" s="48">
        <f t="shared" si="5"/>
        <v>73357.71428571429</v>
      </c>
    </row>
    <row r="43" spans="1:15" ht="15" customHeight="1" x14ac:dyDescent="0.25">
      <c r="D43" s="44">
        <v>5</v>
      </c>
      <c r="E43" s="44">
        <f t="shared" si="4"/>
        <v>5</v>
      </c>
      <c r="F43" s="45">
        <f>'35h'!F43*40/35</f>
        <v>72571.428571428565</v>
      </c>
      <c r="G43" s="45">
        <f>'35h'!G43*40/35</f>
        <v>73660.571428571435</v>
      </c>
      <c r="H43" s="45">
        <f>'35h'!H43*40/35</f>
        <v>74949.71428571429</v>
      </c>
      <c r="I43" s="45">
        <f>'35h'!I43*40/35</f>
        <v>76449.142857142855</v>
      </c>
      <c r="J43" s="46">
        <f>'35h'!J43*40/35</f>
        <v>76449.142857142855</v>
      </c>
      <c r="K43" s="47">
        <f>'35h'!K43*40/35</f>
        <v>76449.142857142855</v>
      </c>
      <c r="L43" s="47">
        <f>'35h'!L43*40/35</f>
        <v>76449.142857142855</v>
      </c>
      <c r="M43" s="48">
        <f>'35h'!M43*40/35</f>
        <v>76449.142857142855</v>
      </c>
      <c r="N43" s="48">
        <f t="shared" si="5"/>
        <v>76449.142857142855</v>
      </c>
      <c r="O43" s="48">
        <f t="shared" si="5"/>
        <v>76449.142857142855</v>
      </c>
    </row>
    <row r="44" spans="1:15" ht="15" customHeight="1" x14ac:dyDescent="0.25">
      <c r="D44" s="44">
        <v>6</v>
      </c>
      <c r="E44" s="44">
        <f t="shared" si="4"/>
        <v>6</v>
      </c>
      <c r="F44" s="45">
        <f>'35h'!F44*40/35</f>
        <v>75627.428571428565</v>
      </c>
      <c r="G44" s="45">
        <f>'35h'!G44*40/35</f>
        <v>76762.28571428571</v>
      </c>
      <c r="H44" s="45">
        <f>'35h'!H44*40/35</f>
        <v>78105.142857142855</v>
      </c>
      <c r="I44" s="45">
        <f>'35h'!I44*40/35</f>
        <v>79667.428571428565</v>
      </c>
      <c r="J44" s="46">
        <f>'35h'!J44*40/35</f>
        <v>79667.428571428565</v>
      </c>
      <c r="K44" s="47">
        <f>'35h'!K44*40/35</f>
        <v>79667.428571428565</v>
      </c>
      <c r="L44" s="47">
        <f>'35h'!L44*40/35</f>
        <v>79667.428571428565</v>
      </c>
      <c r="M44" s="48">
        <f>'35h'!M44*40/35</f>
        <v>79667.428571428565</v>
      </c>
      <c r="N44" s="48">
        <f t="shared" si="5"/>
        <v>79667.428571428565</v>
      </c>
      <c r="O44" s="48">
        <f t="shared" si="5"/>
        <v>79667.428571428565</v>
      </c>
    </row>
    <row r="45" spans="1:15" ht="15" customHeight="1" x14ac:dyDescent="0.25">
      <c r="D45" s="44">
        <v>7</v>
      </c>
      <c r="E45" s="44">
        <f t="shared" si="4"/>
        <v>7</v>
      </c>
      <c r="F45" s="45">
        <f>'35h'!F45*40/35</f>
        <v>78810.28571428571</v>
      </c>
      <c r="G45" s="45">
        <f>'35h'!G45*40/35</f>
        <v>79992</v>
      </c>
      <c r="H45" s="45">
        <f>'35h'!H45*40/35</f>
        <v>81392</v>
      </c>
      <c r="I45" s="45">
        <f>'35h'!I45*40/35</f>
        <v>83019.428571428565</v>
      </c>
      <c r="J45" s="46">
        <f>'35h'!J45*40/35</f>
        <v>83019.428571428565</v>
      </c>
      <c r="K45" s="47">
        <f>'35h'!K45*40/35</f>
        <v>83019.428571428565</v>
      </c>
      <c r="L45" s="47">
        <f>'35h'!L45*40/35</f>
        <v>83019.428571428565</v>
      </c>
      <c r="M45" s="48">
        <f>'35h'!M45*40/35</f>
        <v>83019.428571428565</v>
      </c>
      <c r="N45" s="48">
        <f t="shared" si="5"/>
        <v>83019.428571428565</v>
      </c>
      <c r="O45" s="48">
        <f t="shared" si="5"/>
        <v>83019.428571428565</v>
      </c>
    </row>
    <row r="46" spans="1:15" ht="15" customHeight="1" thickBot="1" x14ac:dyDescent="0.3">
      <c r="D46" s="49">
        <v>8</v>
      </c>
      <c r="E46" s="49">
        <f t="shared" si="4"/>
        <v>8</v>
      </c>
      <c r="F46" s="50">
        <f>'35h'!F46*40/35</f>
        <v>82130.28571428571</v>
      </c>
      <c r="G46" s="50">
        <f>'35h'!G46*40/35</f>
        <v>83362.28571428571</v>
      </c>
      <c r="H46" s="50">
        <f>'35h'!H46*40/35</f>
        <v>84820.571428571435</v>
      </c>
      <c r="I46" s="50">
        <f>'35h'!I46*40/35</f>
        <v>86516.571428571435</v>
      </c>
      <c r="J46" s="51">
        <f>'35h'!J46*40/35</f>
        <v>86516.571428571435</v>
      </c>
      <c r="K46" s="47">
        <f>'35h'!K46*40/35</f>
        <v>86516.571428571435</v>
      </c>
      <c r="L46" s="47">
        <f>'35h'!L46*40/35</f>
        <v>86516.571428571435</v>
      </c>
      <c r="M46" s="48">
        <f>'35h'!M46*40/35</f>
        <v>86516.571428571435</v>
      </c>
      <c r="N46" s="48">
        <f t="shared" si="5"/>
        <v>86516.571428571435</v>
      </c>
      <c r="O46" s="48">
        <f t="shared" si="5"/>
        <v>86516.571428571435</v>
      </c>
    </row>
    <row r="47" spans="1:15" ht="15" customHeight="1" x14ac:dyDescent="0.25">
      <c r="D47" s="52">
        <v>9</v>
      </c>
      <c r="E47" s="44">
        <f t="shared" si="4"/>
        <v>9</v>
      </c>
      <c r="F47" s="53">
        <f>'35h'!F47*40/35</f>
        <v>85586.28571428571</v>
      </c>
      <c r="G47" s="53">
        <f>'35h'!G47*40/35</f>
        <v>86869.71428571429</v>
      </c>
      <c r="H47" s="53">
        <f>'35h'!H47*40/35</f>
        <v>88389.71428571429</v>
      </c>
      <c r="I47" s="53">
        <f>'35h'!I47*40/35</f>
        <v>90157.71428571429</v>
      </c>
      <c r="J47" s="54">
        <f>'35h'!J47*40/35</f>
        <v>90157.71428571429</v>
      </c>
      <c r="K47" s="47">
        <f>'35h'!K47*40/35</f>
        <v>90157.71428571429</v>
      </c>
      <c r="L47" s="47">
        <f>'35h'!L47*40/35</f>
        <v>90157.71428571429</v>
      </c>
      <c r="M47" s="48">
        <f>'35h'!M47*40/35</f>
        <v>90157.71428571429</v>
      </c>
      <c r="N47" s="48">
        <f t="shared" si="5"/>
        <v>90157.71428571429</v>
      </c>
      <c r="O47" s="48">
        <f t="shared" si="5"/>
        <v>90157.71428571429</v>
      </c>
    </row>
    <row r="48" spans="1:15" ht="15" customHeight="1" x14ac:dyDescent="0.25">
      <c r="D48" s="44">
        <v>10</v>
      </c>
      <c r="E48" s="44">
        <f t="shared" si="4"/>
        <v>10</v>
      </c>
      <c r="F48" s="45">
        <f>'35h'!F48*40/35</f>
        <v>89190.857142857145</v>
      </c>
      <c r="G48" s="45">
        <f>'35h'!G48*40/35</f>
        <v>90529.142857142855</v>
      </c>
      <c r="H48" s="45">
        <f>'35h'!H48*40/35</f>
        <v>92113.142857142855</v>
      </c>
      <c r="I48" s="45">
        <f>'35h'!I48*40/35</f>
        <v>93955.428571428565</v>
      </c>
      <c r="J48" s="46">
        <f>'35h'!J48*40/35</f>
        <v>93955.428571428565</v>
      </c>
      <c r="K48" s="47">
        <f>'35h'!K48*40/35</f>
        <v>93955.428571428565</v>
      </c>
      <c r="L48" s="47">
        <f>'35h'!L48*40/35</f>
        <v>93955.428571428565</v>
      </c>
      <c r="M48" s="48">
        <f>'35h'!M48*40/35</f>
        <v>93955.428571428565</v>
      </c>
      <c r="N48" s="48">
        <f t="shared" si="5"/>
        <v>93955.428571428565</v>
      </c>
      <c r="O48" s="48">
        <f t="shared" si="5"/>
        <v>93955.428571428565</v>
      </c>
    </row>
    <row r="49" spans="4:15" ht="15" customHeight="1" x14ac:dyDescent="0.25">
      <c r="D49" s="44">
        <v>11</v>
      </c>
      <c r="E49" s="44">
        <f t="shared" si="4"/>
        <v>11</v>
      </c>
      <c r="F49" s="45">
        <f>'35h'!F49*40/35</f>
        <v>92945.142857142855</v>
      </c>
      <c r="G49" s="45">
        <f>'35h'!G49*40/35</f>
        <v>94339.428571428565</v>
      </c>
      <c r="H49" s="45">
        <f>'35h'!H49*40/35</f>
        <v>95990.857142857145</v>
      </c>
      <c r="I49" s="45">
        <f>'35h'!I49*40/35</f>
        <v>97910.857142857145</v>
      </c>
      <c r="J49" s="46">
        <f>'35h'!J49*40/35</f>
        <v>97910.857142857145</v>
      </c>
      <c r="K49" s="47">
        <f>'35h'!K49*40/35</f>
        <v>97910.857142857145</v>
      </c>
      <c r="L49" s="47">
        <f>'35h'!L49*40/35</f>
        <v>97910.857142857145</v>
      </c>
      <c r="M49" s="48">
        <f>'35h'!M49*40/35</f>
        <v>97910.857142857145</v>
      </c>
      <c r="N49" s="48">
        <f t="shared" si="5"/>
        <v>97910.857142857145</v>
      </c>
      <c r="O49" s="48">
        <f t="shared" si="5"/>
        <v>97910.857142857145</v>
      </c>
    </row>
    <row r="50" spans="4:15" ht="15" customHeight="1" x14ac:dyDescent="0.25">
      <c r="D50" s="44">
        <v>12</v>
      </c>
      <c r="E50" s="44">
        <f t="shared" si="4"/>
        <v>12</v>
      </c>
      <c r="F50" s="45">
        <f>'35h'!F50*40/35</f>
        <v>96859.428571428565</v>
      </c>
      <c r="G50" s="45">
        <f>'35h'!G50*40/35</f>
        <v>98312</v>
      </c>
      <c r="H50" s="45">
        <f>'35h'!H50*40/35</f>
        <v>100032</v>
      </c>
      <c r="I50" s="45">
        <f>'35h'!I50*40/35</f>
        <v>102033.14285714286</v>
      </c>
      <c r="J50" s="46">
        <f>'35h'!J50*40/35</f>
        <v>102033.14285714286</v>
      </c>
      <c r="K50" s="47">
        <f>'35h'!K50*40/35</f>
        <v>102033.14285714286</v>
      </c>
      <c r="L50" s="47">
        <f>'35h'!L50*40/35</f>
        <v>102033.14285714286</v>
      </c>
      <c r="M50" s="48">
        <f>'35h'!M50*40/35</f>
        <v>102033.14285714286</v>
      </c>
      <c r="N50" s="48">
        <f t="shared" si="5"/>
        <v>102033.14285714286</v>
      </c>
      <c r="O50" s="48">
        <f t="shared" si="5"/>
        <v>102033.14285714286</v>
      </c>
    </row>
    <row r="51" spans="4:15" ht="15" customHeight="1" x14ac:dyDescent="0.25">
      <c r="D51" s="44">
        <v>13</v>
      </c>
      <c r="E51" s="44">
        <f t="shared" si="4"/>
        <v>13</v>
      </c>
      <c r="F51" s="45">
        <f>'35h'!F51*40/35</f>
        <v>100937.14285714286</v>
      </c>
      <c r="G51" s="45">
        <f>'35h'!G51*40/35</f>
        <v>102451.42857142857</v>
      </c>
      <c r="H51" s="45">
        <f>'35h'!H51*40/35</f>
        <v>104244.57142857143</v>
      </c>
      <c r="I51" s="45">
        <f>'35h'!I51*40/35</f>
        <v>106329.14285714286</v>
      </c>
      <c r="J51" s="46">
        <f>'35h'!J51*40/35</f>
        <v>106329.14285714286</v>
      </c>
      <c r="K51" s="47">
        <f>'35h'!K51*40/35</f>
        <v>106329.14285714286</v>
      </c>
      <c r="L51" s="47">
        <f>'35h'!L51*40/35</f>
        <v>106329.14285714286</v>
      </c>
      <c r="M51" s="48">
        <f>'35h'!M51*40/35</f>
        <v>106329.14285714286</v>
      </c>
      <c r="N51" s="48">
        <f t="shared" si="5"/>
        <v>106329.14285714286</v>
      </c>
      <c r="O51" s="48">
        <f t="shared" si="5"/>
        <v>106329.14285714286</v>
      </c>
    </row>
    <row r="52" spans="4:15" ht="15" customHeight="1" x14ac:dyDescent="0.25">
      <c r="D52" s="44">
        <v>14</v>
      </c>
      <c r="E52" s="44">
        <f t="shared" si="4"/>
        <v>14</v>
      </c>
      <c r="F52" s="45">
        <f>'35h'!F52*40/35</f>
        <v>105187.42857142857</v>
      </c>
      <c r="G52" s="45">
        <f>'35h'!G52*40/35</f>
        <v>106765.71428571429</v>
      </c>
      <c r="H52" s="45">
        <f>'35h'!H52*40/35</f>
        <v>108634.28571428571</v>
      </c>
      <c r="I52" s="45">
        <f>'35h'!I52*40/35</f>
        <v>110806.85714285714</v>
      </c>
      <c r="J52" s="46">
        <f>'35h'!J52*40/35</f>
        <v>110806.85714285714</v>
      </c>
      <c r="K52" s="47">
        <f>'35h'!K52*40/35</f>
        <v>110806.85714285714</v>
      </c>
      <c r="L52" s="47">
        <f>'35h'!L52*40/35</f>
        <v>110806.85714285714</v>
      </c>
      <c r="M52" s="48">
        <f>'35h'!M52*40/35</f>
        <v>110806.85714285714</v>
      </c>
      <c r="N52" s="48">
        <f t="shared" si="5"/>
        <v>110806.85714285714</v>
      </c>
      <c r="O52" s="48">
        <f t="shared" si="5"/>
        <v>110806.85714285714</v>
      </c>
    </row>
    <row r="53" spans="4:15" ht="15" customHeight="1" x14ac:dyDescent="0.25">
      <c r="D53" s="44">
        <v>15</v>
      </c>
      <c r="E53" s="44">
        <f t="shared" si="4"/>
        <v>15</v>
      </c>
      <c r="F53" s="45">
        <f>'35h'!F53*40/35</f>
        <v>109616</v>
      </c>
      <c r="G53" s="45">
        <f>'35h'!G53*40/35</f>
        <v>111260.57142857143</v>
      </c>
      <c r="H53" s="45">
        <f>'35h'!H53*40/35</f>
        <v>113208</v>
      </c>
      <c r="I53" s="45">
        <f>'35h'!I53*40/35</f>
        <v>115472</v>
      </c>
      <c r="J53" s="46">
        <f>'35h'!J53*40/35</f>
        <v>115472</v>
      </c>
      <c r="K53" s="47">
        <f>'35h'!K53*40/35</f>
        <v>115472</v>
      </c>
      <c r="L53" s="47">
        <f>'35h'!L53*40/35</f>
        <v>115472</v>
      </c>
      <c r="M53" s="48">
        <f>'35h'!M53*40/35</f>
        <v>115472</v>
      </c>
      <c r="N53" s="48">
        <f t="shared" si="5"/>
        <v>115472</v>
      </c>
      <c r="O53" s="48">
        <f t="shared" si="5"/>
        <v>115472</v>
      </c>
    </row>
    <row r="54" spans="4:15" ht="15" customHeight="1" x14ac:dyDescent="0.25">
      <c r="D54" s="44">
        <v>16</v>
      </c>
      <c r="E54" s="44">
        <f t="shared" si="4"/>
        <v>16</v>
      </c>
      <c r="F54" s="45">
        <f>'35h'!F54*40/35</f>
        <v>114230.85714285714</v>
      </c>
      <c r="G54" s="45">
        <f>'35h'!G54*40/35</f>
        <v>115944</v>
      </c>
      <c r="H54" s="45">
        <f>'35h'!H54*40/35</f>
        <v>117972.57142857143</v>
      </c>
      <c r="I54" s="45">
        <f>'35h'!I54*40/35</f>
        <v>120332.57142857143</v>
      </c>
      <c r="J54" s="46">
        <f>'35h'!J54*40/35</f>
        <v>120332.57142857143</v>
      </c>
      <c r="K54" s="47">
        <f>'35h'!K54*40/35</f>
        <v>120332.57142857143</v>
      </c>
      <c r="L54" s="47">
        <f>'35h'!L54*40/35</f>
        <v>120332.57142857143</v>
      </c>
      <c r="M54" s="48">
        <f>'35h'!M54*40/35</f>
        <v>120332.57142857143</v>
      </c>
      <c r="N54" s="48">
        <f t="shared" si="5"/>
        <v>120332.57142857143</v>
      </c>
      <c r="O54" s="48">
        <f t="shared" si="5"/>
        <v>120332.57142857143</v>
      </c>
    </row>
    <row r="55" spans="4:15" ht="15" customHeight="1" x14ac:dyDescent="0.25">
      <c r="D55" s="44">
        <v>17</v>
      </c>
      <c r="E55" s="44">
        <f t="shared" si="4"/>
        <v>17</v>
      </c>
      <c r="F55" s="45">
        <f>'35h'!F55*40/35</f>
        <v>119038.85714285714</v>
      </c>
      <c r="G55" s="45">
        <f>'35h'!G55*40/35</f>
        <v>120824</v>
      </c>
      <c r="H55" s="45">
        <f>'35h'!H55*40/35</f>
        <v>122938.28571428571</v>
      </c>
      <c r="I55" s="45">
        <f>'35h'!I55*40/35</f>
        <v>125396.57142857143</v>
      </c>
      <c r="J55" s="46">
        <f>'35h'!J55*40/35</f>
        <v>125396.57142857143</v>
      </c>
      <c r="K55" s="47">
        <f>'35h'!K55*40/35</f>
        <v>125396.57142857143</v>
      </c>
      <c r="L55" s="47">
        <f>'35h'!L55*40/35</f>
        <v>125396.57142857143</v>
      </c>
      <c r="M55" s="48">
        <f>'35h'!M55*40/35</f>
        <v>125396.57142857143</v>
      </c>
      <c r="N55" s="48">
        <f t="shared" si="5"/>
        <v>125396.57142857143</v>
      </c>
      <c r="O55" s="48">
        <f t="shared" si="5"/>
        <v>125396.57142857143</v>
      </c>
    </row>
    <row r="56" spans="4:15" ht="15" customHeight="1" x14ac:dyDescent="0.25">
      <c r="D56" s="44">
        <v>18</v>
      </c>
      <c r="E56" s="44">
        <f t="shared" si="4"/>
        <v>18</v>
      </c>
      <c r="F56" s="45">
        <f>'35h'!F56*40/35</f>
        <v>124052.57142857143</v>
      </c>
      <c r="G56" s="45">
        <f>'35h'!G56*40/35</f>
        <v>125913.14285714286</v>
      </c>
      <c r="H56" s="45">
        <f>'35h'!H56*40/35</f>
        <v>128116.57142857143</v>
      </c>
      <c r="I56" s="45">
        <f>'35h'!I56*40/35</f>
        <v>130678.85714285714</v>
      </c>
      <c r="J56" s="46">
        <f>'35h'!J56*40/35</f>
        <v>130678.85714285714</v>
      </c>
      <c r="K56" s="47">
        <f>'35h'!K56*40/35</f>
        <v>130678.85714285714</v>
      </c>
      <c r="L56" s="47">
        <f>'35h'!L56*40/35</f>
        <v>130678.85714285714</v>
      </c>
      <c r="M56" s="48">
        <f>'35h'!M56*40/35</f>
        <v>130678.85714285714</v>
      </c>
      <c r="N56" s="48">
        <f t="shared" ref="N56:O58" si="6">M56</f>
        <v>130678.85714285714</v>
      </c>
      <c r="O56" s="48">
        <f t="shared" si="6"/>
        <v>130678.85714285714</v>
      </c>
    </row>
    <row r="57" spans="4:15" ht="15" customHeight="1" x14ac:dyDescent="0.25">
      <c r="D57" s="44">
        <v>19</v>
      </c>
      <c r="E57" s="44">
        <v>18</v>
      </c>
      <c r="F57" s="45">
        <f>F56</f>
        <v>124052.57142857143</v>
      </c>
      <c r="G57" s="45">
        <f t="shared" ref="G57" si="7">G56</f>
        <v>125913.14285714286</v>
      </c>
      <c r="H57" s="45">
        <f t="shared" ref="H57" si="8">H56</f>
        <v>128116.57142857143</v>
      </c>
      <c r="I57" s="45">
        <f t="shared" ref="I57" si="9">I56</f>
        <v>130678.85714285714</v>
      </c>
      <c r="J57" s="46">
        <f t="shared" ref="J57" si="10">J56</f>
        <v>130678.85714285714</v>
      </c>
      <c r="K57" s="47">
        <f t="shared" ref="K57" si="11">K56</f>
        <v>130678.85714285714</v>
      </c>
      <c r="L57" s="47">
        <f t="shared" ref="L57" si="12">L56</f>
        <v>130678.85714285714</v>
      </c>
      <c r="M57" s="48">
        <f t="shared" ref="M57" si="13">M56</f>
        <v>130678.85714285714</v>
      </c>
      <c r="N57" s="48">
        <f t="shared" si="6"/>
        <v>130678.85714285714</v>
      </c>
      <c r="O57" s="48">
        <f t="shared" si="6"/>
        <v>130678.85714285714</v>
      </c>
    </row>
    <row r="58" spans="4:15" ht="15" customHeight="1" x14ac:dyDescent="0.25">
      <c r="D58" s="55">
        <v>20</v>
      </c>
      <c r="E58" s="44" t="s">
        <v>51</v>
      </c>
      <c r="F58" s="56">
        <f>'35h'!F58*40/35</f>
        <v>142660.57142857142</v>
      </c>
      <c r="G58" s="56">
        <f>'35h'!G58*40/35</f>
        <v>144800</v>
      </c>
      <c r="H58" s="56">
        <f>'35h'!H58*40/35</f>
        <v>147333.71428571429</v>
      </c>
      <c r="I58" s="56">
        <f>'35h'!I58*40/35</f>
        <v>150281.14285714287</v>
      </c>
      <c r="J58" s="46">
        <f>'35h'!J58*40/35</f>
        <v>150281.14285714287</v>
      </c>
      <c r="K58" s="47">
        <f>'35h'!K58*40/35</f>
        <v>150281.14285714287</v>
      </c>
      <c r="L58" s="47">
        <f>'35h'!L58*40/35</f>
        <v>150281.14285714287</v>
      </c>
      <c r="M58" s="48">
        <f>'35h'!M58*40/35</f>
        <v>150281.14285714287</v>
      </c>
      <c r="N58" s="48">
        <f t="shared" si="6"/>
        <v>150281.14285714287</v>
      </c>
      <c r="O58" s="48">
        <f t="shared" si="6"/>
        <v>150281.14285714287</v>
      </c>
    </row>
    <row r="59" spans="4:15" ht="15" customHeight="1" x14ac:dyDescent="0.25">
      <c r="D59" s="57"/>
      <c r="E59" s="57"/>
      <c r="J59" s="58"/>
      <c r="M59" s="59"/>
    </row>
    <row r="60" spans="4:15" ht="15" customHeight="1" x14ac:dyDescent="0.25">
      <c r="D60" s="57" t="s">
        <v>52</v>
      </c>
      <c r="E60" s="57" t="s">
        <v>52</v>
      </c>
      <c r="F60" s="60">
        <v>0</v>
      </c>
      <c r="G60" s="60">
        <v>1.5006593243318538E-2</v>
      </c>
      <c r="H60" s="60">
        <v>1.7492818063713382E-2</v>
      </c>
      <c r="I60" s="60">
        <v>1.9997482331361161E-2</v>
      </c>
      <c r="J60" s="61">
        <v>0</v>
      </c>
      <c r="K60" s="60">
        <v>0</v>
      </c>
      <c r="L60" s="60">
        <v>0</v>
      </c>
      <c r="M60" s="62">
        <v>0</v>
      </c>
    </row>
    <row r="61" spans="4:15" ht="15" customHeight="1" x14ac:dyDescent="0.25">
      <c r="D61" s="57"/>
      <c r="E61" s="57"/>
      <c r="J61" s="58"/>
      <c r="M61" s="59"/>
    </row>
    <row r="62" spans="4:15" ht="15" customHeight="1" thickBot="1" x14ac:dyDescent="0.3">
      <c r="D62" s="63" t="s">
        <v>53</v>
      </c>
      <c r="E62" s="63" t="s">
        <v>53</v>
      </c>
      <c r="F62" s="64"/>
      <c r="G62" s="65">
        <v>1.4999999999999999E-2</v>
      </c>
      <c r="H62" s="65">
        <v>3.2800000000000003E-2</v>
      </c>
      <c r="I62" s="65">
        <v>5.3400000000000003E-2</v>
      </c>
      <c r="J62" s="66">
        <v>5.3400000000000003E-2</v>
      </c>
      <c r="K62" s="65">
        <v>5.3400000000000003E-2</v>
      </c>
      <c r="L62" s="65">
        <v>5.3400000000000003E-2</v>
      </c>
      <c r="M62" s="67">
        <v>5.3400000000000003E-2</v>
      </c>
    </row>
    <row r="63" spans="4:15" ht="15" customHeight="1" x14ac:dyDescent="0.25"/>
    <row r="64" spans="4:15" ht="15" customHeight="1" x14ac:dyDescent="0.25"/>
    <row r="65" spans="1:15" ht="15" customHeight="1" x14ac:dyDescent="0.25">
      <c r="E65" s="33" t="s">
        <v>55</v>
      </c>
    </row>
    <row r="66" spans="1:15" ht="15" customHeight="1" thickBot="1" x14ac:dyDescent="0.3"/>
    <row r="67" spans="1:15" ht="15" customHeight="1" x14ac:dyDescent="0.25">
      <c r="D67" s="217" t="s">
        <v>23</v>
      </c>
      <c r="E67" s="85"/>
      <c r="F67" s="34">
        <v>42095</v>
      </c>
      <c r="G67" s="34">
        <v>42461</v>
      </c>
      <c r="H67" s="34">
        <v>42826</v>
      </c>
      <c r="I67" s="34">
        <v>43191</v>
      </c>
      <c r="J67" s="35">
        <v>43556</v>
      </c>
      <c r="K67" s="34">
        <v>43922</v>
      </c>
      <c r="L67" s="34">
        <v>44287</v>
      </c>
      <c r="M67" s="36">
        <v>44652</v>
      </c>
      <c r="N67" s="36">
        <f>DATE(YEAR(M67)+1,MONTH(M67),DAY(M67))</f>
        <v>45017</v>
      </c>
      <c r="O67" s="36">
        <f>DATE(YEAR(N67)+1,MONTH(N67),DAY(N67))</f>
        <v>45383</v>
      </c>
    </row>
    <row r="68" spans="1:15" ht="15" customHeight="1" thickBot="1" x14ac:dyDescent="0.3">
      <c r="D68" s="218"/>
      <c r="E68" s="86" t="str">
        <f>D67</f>
        <v>Échelon</v>
      </c>
      <c r="F68" s="37" t="s">
        <v>49</v>
      </c>
      <c r="G68" s="37" t="s">
        <v>49</v>
      </c>
      <c r="H68" s="37" t="s">
        <v>49</v>
      </c>
      <c r="I68" s="37" t="s">
        <v>50</v>
      </c>
      <c r="J68" s="38" t="s">
        <v>50</v>
      </c>
      <c r="K68" s="37" t="s">
        <v>50</v>
      </c>
      <c r="L68" s="37" t="s">
        <v>50</v>
      </c>
      <c r="M68" s="39" t="s">
        <v>50</v>
      </c>
      <c r="N68" s="39" t="str">
        <f>M68</f>
        <v xml:space="preserve">au </v>
      </c>
      <c r="O68" s="39" t="str">
        <f>N68</f>
        <v xml:space="preserve">au </v>
      </c>
    </row>
    <row r="69" spans="1:15" ht="15" customHeight="1" x14ac:dyDescent="0.25">
      <c r="D69" s="218"/>
      <c r="E69" s="86"/>
      <c r="F69" s="40">
        <v>42460</v>
      </c>
      <c r="G69" s="40">
        <v>42825</v>
      </c>
      <c r="H69" s="40">
        <v>43190</v>
      </c>
      <c r="I69" s="40">
        <v>43555</v>
      </c>
      <c r="J69" s="41">
        <v>43921</v>
      </c>
      <c r="K69" s="40">
        <v>44286</v>
      </c>
      <c r="L69" s="40">
        <v>44651</v>
      </c>
      <c r="M69" s="42">
        <v>45016</v>
      </c>
      <c r="N69" s="36">
        <f>DATE(YEAR(M69)+1,MONTH(M69),DAY(M69))</f>
        <v>45382</v>
      </c>
      <c r="O69" s="36">
        <f>DATE(YEAR(N69)+1,MONTH(N69),DAY(N69))</f>
        <v>45747</v>
      </c>
    </row>
    <row r="70" spans="1:15" ht="15" customHeight="1" x14ac:dyDescent="0.25">
      <c r="A70" s="43"/>
      <c r="D70" s="44">
        <v>1</v>
      </c>
      <c r="E70" s="44">
        <f>D70</f>
        <v>1</v>
      </c>
      <c r="F70" s="45">
        <f>'35h'!F70*40/35</f>
        <v>61885.714285714283</v>
      </c>
      <c r="G70" s="45">
        <f>'35h'!G70*40/35</f>
        <v>63433.142857142855</v>
      </c>
      <c r="H70" s="45">
        <f>'35h'!H70*40/35</f>
        <v>65019.428571428572</v>
      </c>
      <c r="I70" s="45">
        <f>'35h'!I70*40/35</f>
        <v>66644.571428571435</v>
      </c>
      <c r="J70" s="46">
        <f>'35h'!J70*40/35</f>
        <v>69643.428571428565</v>
      </c>
      <c r="K70" s="47">
        <f>'35h'!K70*40/35</f>
        <v>71384</v>
      </c>
      <c r="L70" s="47">
        <f>'35h'!L70*40/35</f>
        <v>72811.428571428565</v>
      </c>
      <c r="M70" s="48">
        <f>'35h'!M70*40/35</f>
        <v>74267.428571428565</v>
      </c>
      <c r="N70" s="48">
        <f>M70</f>
        <v>74267.428571428565</v>
      </c>
      <c r="O70" s="48">
        <f>N70</f>
        <v>74267.428571428565</v>
      </c>
    </row>
    <row r="71" spans="1:15" ht="15" customHeight="1" x14ac:dyDescent="0.25">
      <c r="D71" s="44">
        <v>2</v>
      </c>
      <c r="E71" s="44">
        <f t="shared" ref="E71:E87" si="14">D71</f>
        <v>2</v>
      </c>
      <c r="F71" s="45">
        <f>'35h'!F71*40/35</f>
        <v>64491.428571428572</v>
      </c>
      <c r="G71" s="45">
        <f>'35h'!G71*40/35</f>
        <v>66104</v>
      </c>
      <c r="H71" s="45">
        <f>'35h'!H71*40/35</f>
        <v>67756.571428571435</v>
      </c>
      <c r="I71" s="45">
        <f>'35h'!I71*40/35</f>
        <v>69450.28571428571</v>
      </c>
      <c r="J71" s="46">
        <f>'35h'!J71*40/35</f>
        <v>72576</v>
      </c>
      <c r="K71" s="47">
        <f>'35h'!K71*40/35</f>
        <v>74390.857142857145</v>
      </c>
      <c r="L71" s="47">
        <f>'35h'!L71*40/35</f>
        <v>75878.857142857145</v>
      </c>
      <c r="M71" s="48">
        <f>'35h'!M71*40/35</f>
        <v>77396.571428571435</v>
      </c>
      <c r="N71" s="48">
        <f t="shared" ref="N71:O86" si="15">M71</f>
        <v>77396.571428571435</v>
      </c>
      <c r="O71" s="48">
        <f t="shared" si="15"/>
        <v>77396.571428571435</v>
      </c>
    </row>
    <row r="72" spans="1:15" ht="15" customHeight="1" x14ac:dyDescent="0.25">
      <c r="D72" s="44">
        <v>3</v>
      </c>
      <c r="E72" s="44">
        <f t="shared" si="14"/>
        <v>3</v>
      </c>
      <c r="F72" s="45">
        <f>'35h'!F72*40/35</f>
        <v>67204.571428571435</v>
      </c>
      <c r="G72" s="45">
        <f>'35h'!G72*40/35</f>
        <v>68884.571428571435</v>
      </c>
      <c r="H72" s="45">
        <f>'35h'!H72*40/35</f>
        <v>70606.857142857145</v>
      </c>
      <c r="I72" s="45">
        <f>'35h'!I72*40/35</f>
        <v>72372.571428571435</v>
      </c>
      <c r="J72" s="46">
        <f>'35h'!J72*40/35</f>
        <v>75629.71428571429</v>
      </c>
      <c r="K72" s="47">
        <f>'35h'!K72*40/35</f>
        <v>77520</v>
      </c>
      <c r="L72" s="47">
        <f>'35h'!L72*40/35</f>
        <v>79070.857142857145</v>
      </c>
      <c r="M72" s="48">
        <f>'35h'!M72*40/35</f>
        <v>80652.571428571435</v>
      </c>
      <c r="N72" s="48">
        <f t="shared" si="15"/>
        <v>80652.571428571435</v>
      </c>
      <c r="O72" s="48">
        <f t="shared" si="15"/>
        <v>80652.571428571435</v>
      </c>
    </row>
    <row r="73" spans="1:15" ht="15" customHeight="1" x14ac:dyDescent="0.25">
      <c r="D73" s="44">
        <v>4</v>
      </c>
      <c r="E73" s="44">
        <f t="shared" si="14"/>
        <v>4</v>
      </c>
      <c r="F73" s="45">
        <f>'35h'!F73*40/35</f>
        <v>70034.28571428571</v>
      </c>
      <c r="G73" s="45">
        <f>'35h'!G73*40/35</f>
        <v>71785.142857142855</v>
      </c>
      <c r="H73" s="45">
        <f>'35h'!H73*40/35</f>
        <v>73579.428571428565</v>
      </c>
      <c r="I73" s="45">
        <f>'35h'!I73*40/35</f>
        <v>75419.428571428565</v>
      </c>
      <c r="J73" s="46">
        <f>'35h'!J73*40/35</f>
        <v>78813.71428571429</v>
      </c>
      <c r="K73" s="47">
        <f>'35h'!K73*40/35</f>
        <v>80784</v>
      </c>
      <c r="L73" s="47">
        <f>'35h'!L73*40/35</f>
        <v>82400</v>
      </c>
      <c r="M73" s="48">
        <f>'35h'!M73*40/35</f>
        <v>84048</v>
      </c>
      <c r="N73" s="48">
        <f t="shared" si="15"/>
        <v>84048</v>
      </c>
      <c r="O73" s="48">
        <f t="shared" si="15"/>
        <v>84048</v>
      </c>
    </row>
    <row r="74" spans="1:15" ht="15" customHeight="1" x14ac:dyDescent="0.25">
      <c r="D74" s="44">
        <v>5</v>
      </c>
      <c r="E74" s="44">
        <f t="shared" si="14"/>
        <v>5</v>
      </c>
      <c r="F74" s="45">
        <f>'35h'!F74*40/35</f>
        <v>72985.142857142855</v>
      </c>
      <c r="G74" s="45">
        <f>'35h'!G74*40/35</f>
        <v>74810.28571428571</v>
      </c>
      <c r="H74" s="45">
        <f>'35h'!H74*40/35</f>
        <v>76680</v>
      </c>
      <c r="I74" s="45">
        <f>'35h'!I74*40/35</f>
        <v>78596.571428571435</v>
      </c>
      <c r="J74" s="46">
        <f>'35h'!J74*40/35</f>
        <v>82133.71428571429</v>
      </c>
      <c r="K74" s="47">
        <f>'35h'!K74*40/35</f>
        <v>84187.428571428565</v>
      </c>
      <c r="L74" s="47">
        <f>'35h'!L74*40/35</f>
        <v>85870.857142857145</v>
      </c>
      <c r="M74" s="48">
        <f>'35h'!M74*40/35</f>
        <v>87588.571428571435</v>
      </c>
      <c r="N74" s="48">
        <f t="shared" si="15"/>
        <v>87588.571428571435</v>
      </c>
      <c r="O74" s="48">
        <f t="shared" si="15"/>
        <v>87588.571428571435</v>
      </c>
    </row>
    <row r="75" spans="1:15" ht="15" customHeight="1" x14ac:dyDescent="0.25">
      <c r="D75" s="44">
        <v>6</v>
      </c>
      <c r="E75" s="44">
        <f t="shared" si="14"/>
        <v>6</v>
      </c>
      <c r="F75" s="45">
        <f>'35h'!F75*40/35</f>
        <v>76058.28571428571</v>
      </c>
      <c r="G75" s="45">
        <f>'35h'!G75*40/35</f>
        <v>77960</v>
      </c>
      <c r="H75" s="45">
        <f>'35h'!H75*40/35</f>
        <v>79908.571428571435</v>
      </c>
      <c r="I75" s="45">
        <f>'35h'!I75*40/35</f>
        <v>81906.28571428571</v>
      </c>
      <c r="J75" s="46">
        <f>'35h'!J75*40/35</f>
        <v>85592</v>
      </c>
      <c r="K75" s="47">
        <f>'35h'!K75*40/35</f>
        <v>87731.428571428565</v>
      </c>
      <c r="L75" s="47">
        <f>'35h'!L75*40/35</f>
        <v>89485.71428571429</v>
      </c>
      <c r="M75" s="48">
        <f>'35h'!M75*40/35</f>
        <v>91275.428571428565</v>
      </c>
      <c r="N75" s="48">
        <f t="shared" si="15"/>
        <v>91275.428571428565</v>
      </c>
      <c r="O75" s="48">
        <f t="shared" si="15"/>
        <v>91275.428571428565</v>
      </c>
    </row>
    <row r="76" spans="1:15" ht="15" customHeight="1" x14ac:dyDescent="0.25">
      <c r="D76" s="44">
        <v>7</v>
      </c>
      <c r="E76" s="44">
        <f t="shared" si="14"/>
        <v>7</v>
      </c>
      <c r="F76" s="45">
        <f>'35h'!F76*40/35</f>
        <v>79259.428571428565</v>
      </c>
      <c r="G76" s="45">
        <f>'35h'!G76*40/35</f>
        <v>81241.142857142855</v>
      </c>
      <c r="H76" s="45">
        <f>'35h'!H76*40/35</f>
        <v>83272</v>
      </c>
      <c r="I76" s="45">
        <f>'35h'!I76*40/35</f>
        <v>85354.28571428571</v>
      </c>
      <c r="J76" s="46">
        <f>'35h'!J76*40/35</f>
        <v>89195.428571428565</v>
      </c>
      <c r="K76" s="47">
        <f>'35h'!K76*40/35</f>
        <v>91425.142857142855</v>
      </c>
      <c r="L76" s="47">
        <f>'35h'!L76*40/35</f>
        <v>93253.71428571429</v>
      </c>
      <c r="M76" s="48">
        <f>'35h'!M76*40/35</f>
        <v>95118.857142857145</v>
      </c>
      <c r="N76" s="48">
        <f t="shared" si="15"/>
        <v>95118.857142857145</v>
      </c>
      <c r="O76" s="48">
        <f t="shared" si="15"/>
        <v>95118.857142857145</v>
      </c>
    </row>
    <row r="77" spans="1:15" ht="15" customHeight="1" thickBot="1" x14ac:dyDescent="0.3">
      <c r="D77" s="49">
        <v>8</v>
      </c>
      <c r="E77" s="49">
        <f t="shared" si="14"/>
        <v>8</v>
      </c>
      <c r="F77" s="50">
        <f>'35h'!F77*40/35</f>
        <v>82598.857142857145</v>
      </c>
      <c r="G77" s="50">
        <f>'35h'!G77*40/35</f>
        <v>84664</v>
      </c>
      <c r="H77" s="50">
        <f>'35h'!H77*40/35</f>
        <v>86780.571428571435</v>
      </c>
      <c r="I77" s="50">
        <f>'35h'!I77*40/35</f>
        <v>88949.71428571429</v>
      </c>
      <c r="J77" s="51">
        <f>'35h'!J77*40/35</f>
        <v>92952</v>
      </c>
      <c r="K77" s="68">
        <f>'35h'!K77*40/35</f>
        <v>95275.428571428565</v>
      </c>
      <c r="L77" s="68">
        <f>'35h'!L77*40/35</f>
        <v>97180.571428571435</v>
      </c>
      <c r="M77" s="69">
        <f>'35h'!M77*40/35</f>
        <v>99124.571428571435</v>
      </c>
      <c r="N77" s="48">
        <f t="shared" si="15"/>
        <v>99124.571428571435</v>
      </c>
      <c r="O77" s="48">
        <f t="shared" si="15"/>
        <v>99124.571428571435</v>
      </c>
    </row>
    <row r="78" spans="1:15" ht="15" customHeight="1" x14ac:dyDescent="0.25">
      <c r="D78" s="52">
        <v>9</v>
      </c>
      <c r="E78" s="44">
        <f t="shared" si="14"/>
        <v>9</v>
      </c>
      <c r="F78" s="53">
        <f>'35h'!F78*40/35</f>
        <v>86074.28571428571</v>
      </c>
      <c r="G78" s="53">
        <f>'35h'!G78*40/35</f>
        <v>88226.28571428571</v>
      </c>
      <c r="H78" s="53">
        <f>'35h'!H78*40/35</f>
        <v>90432</v>
      </c>
      <c r="I78" s="53">
        <f>'35h'!I78*40/35</f>
        <v>92692.571428571435</v>
      </c>
      <c r="J78" s="54">
        <f>'35h'!J78*40/35</f>
        <v>96864</v>
      </c>
      <c r="K78" s="70">
        <f>'35h'!K78*40/35</f>
        <v>99285.71428571429</v>
      </c>
      <c r="L78" s="70">
        <f>'35h'!L78*40/35</f>
        <v>101272</v>
      </c>
      <c r="M78" s="71">
        <f>'35h'!M78*40/35</f>
        <v>103297.14285714286</v>
      </c>
      <c r="N78" s="48">
        <f t="shared" si="15"/>
        <v>103297.14285714286</v>
      </c>
      <c r="O78" s="48">
        <f t="shared" si="15"/>
        <v>103297.14285714286</v>
      </c>
    </row>
    <row r="79" spans="1:15" ht="15" customHeight="1" x14ac:dyDescent="0.25">
      <c r="D79" s="44">
        <v>10</v>
      </c>
      <c r="E79" s="44">
        <f t="shared" si="14"/>
        <v>10</v>
      </c>
      <c r="F79" s="45">
        <f>'35h'!F79*40/35</f>
        <v>89699.428571428565</v>
      </c>
      <c r="G79" s="45">
        <f>'35h'!G79*40/35</f>
        <v>91941.71428571429</v>
      </c>
      <c r="H79" s="45">
        <f>'35h'!H79*40/35</f>
        <v>94240</v>
      </c>
      <c r="I79" s="45">
        <f>'35h'!I79*40/35</f>
        <v>96596.571428571435</v>
      </c>
      <c r="J79" s="46">
        <f>'35h'!J79*40/35</f>
        <v>100942.85714285714</v>
      </c>
      <c r="K79" s="47">
        <f>'35h'!K79*40/35</f>
        <v>103466.28571428571</v>
      </c>
      <c r="L79" s="47">
        <f>'35h'!L79*40/35</f>
        <v>105536</v>
      </c>
      <c r="M79" s="48">
        <f>'35h'!M79*40/35</f>
        <v>107646.85714285714</v>
      </c>
      <c r="N79" s="48">
        <f t="shared" si="15"/>
        <v>107646.85714285714</v>
      </c>
      <c r="O79" s="48">
        <f t="shared" si="15"/>
        <v>107646.85714285714</v>
      </c>
    </row>
    <row r="80" spans="1:15" ht="15" customHeight="1" x14ac:dyDescent="0.25">
      <c r="D80" s="44">
        <v>11</v>
      </c>
      <c r="E80" s="44">
        <f t="shared" si="14"/>
        <v>11</v>
      </c>
      <c r="F80" s="45">
        <f>'35h'!F80*40/35</f>
        <v>93475.428571428565</v>
      </c>
      <c r="G80" s="45">
        <f>'35h'!G80*40/35</f>
        <v>95812.571428571435</v>
      </c>
      <c r="H80" s="45">
        <f>'35h'!H80*40/35</f>
        <v>98208</v>
      </c>
      <c r="I80" s="45">
        <f>'35h'!I80*40/35</f>
        <v>100662.85714285714</v>
      </c>
      <c r="J80" s="46">
        <f>'35h'!J80*40/35</f>
        <v>105193.14285714286</v>
      </c>
      <c r="K80" s="47">
        <f>'35h'!K80*40/35</f>
        <v>107822.85714285714</v>
      </c>
      <c r="L80" s="47">
        <f>'35h'!L80*40/35</f>
        <v>109979.42857142857</v>
      </c>
      <c r="M80" s="48">
        <f>'35h'!M80*40/35</f>
        <v>112179.42857142857</v>
      </c>
      <c r="N80" s="48">
        <f t="shared" si="15"/>
        <v>112179.42857142857</v>
      </c>
      <c r="O80" s="48">
        <f t="shared" si="15"/>
        <v>112179.42857142857</v>
      </c>
    </row>
    <row r="81" spans="4:15" ht="15" customHeight="1" x14ac:dyDescent="0.25">
      <c r="D81" s="44">
        <v>12</v>
      </c>
      <c r="E81" s="44">
        <f t="shared" si="14"/>
        <v>12</v>
      </c>
      <c r="F81" s="45">
        <f>'35h'!F81*40/35</f>
        <v>97411.428571428565</v>
      </c>
      <c r="G81" s="45">
        <f>'35h'!G81*40/35</f>
        <v>99846.857142857145</v>
      </c>
      <c r="H81" s="45">
        <f>'35h'!H81*40/35</f>
        <v>102342.85714285714</v>
      </c>
      <c r="I81" s="45">
        <f>'35h'!I81*40/35</f>
        <v>104901.71428571429</v>
      </c>
      <c r="J81" s="46">
        <f>'35h'!J81*40/35</f>
        <v>109622.85714285714</v>
      </c>
      <c r="K81" s="47">
        <f>'35h'!K81*40/35</f>
        <v>112363.42857142857</v>
      </c>
      <c r="L81" s="47">
        <f>'35h'!L81*40/35</f>
        <v>114610.28571428571</v>
      </c>
      <c r="M81" s="48">
        <f>'35h'!M81*40/35</f>
        <v>116902.85714285714</v>
      </c>
      <c r="N81" s="48">
        <f t="shared" si="15"/>
        <v>116902.85714285714</v>
      </c>
      <c r="O81" s="48">
        <f t="shared" si="15"/>
        <v>116902.85714285714</v>
      </c>
    </row>
    <row r="82" spans="4:15" ht="15" customHeight="1" x14ac:dyDescent="0.25">
      <c r="D82" s="44">
        <v>13</v>
      </c>
      <c r="E82" s="44">
        <f t="shared" si="14"/>
        <v>13</v>
      </c>
      <c r="F82" s="45">
        <f>'35h'!F82*40/35</f>
        <v>101512</v>
      </c>
      <c r="G82" s="45">
        <f>'35h'!G82*40/35</f>
        <v>104050.28571428571</v>
      </c>
      <c r="H82" s="45">
        <f>'35h'!H82*40/35</f>
        <v>106651.42857142857</v>
      </c>
      <c r="I82" s="45">
        <f>'35h'!I82*40/35</f>
        <v>109317.71428571429</v>
      </c>
      <c r="J82" s="46">
        <f>'35h'!J82*40/35</f>
        <v>114236.57142857143</v>
      </c>
      <c r="K82" s="47">
        <f>'35h'!K82*40/35</f>
        <v>117092.57142857143</v>
      </c>
      <c r="L82" s="47">
        <f>'35h'!L82*40/35</f>
        <v>119434.28571428571</v>
      </c>
      <c r="M82" s="48">
        <f>'35h'!M82*40/35</f>
        <v>121822.85714285714</v>
      </c>
      <c r="N82" s="48">
        <f t="shared" si="15"/>
        <v>121822.85714285714</v>
      </c>
      <c r="O82" s="48">
        <f t="shared" si="15"/>
        <v>121822.85714285714</v>
      </c>
    </row>
    <row r="83" spans="4:15" ht="15" customHeight="1" x14ac:dyDescent="0.25">
      <c r="D83" s="44">
        <v>14</v>
      </c>
      <c r="E83" s="44">
        <f t="shared" si="14"/>
        <v>14</v>
      </c>
      <c r="F83" s="45">
        <f>'35h'!F83*40/35</f>
        <v>105787.42857142857</v>
      </c>
      <c r="G83" s="45">
        <f>'35h'!G83*40/35</f>
        <v>108432</v>
      </c>
      <c r="H83" s="45">
        <f>'35h'!H83*40/35</f>
        <v>111142.85714285714</v>
      </c>
      <c r="I83" s="45">
        <f>'35h'!I83*40/35</f>
        <v>113921.14285714286</v>
      </c>
      <c r="J83" s="46">
        <f>'35h'!J83*40/35</f>
        <v>119048</v>
      </c>
      <c r="K83" s="47">
        <f>'35h'!K83*40/35</f>
        <v>122024</v>
      </c>
      <c r="L83" s="47">
        <f>'35h'!L83*40/35</f>
        <v>124464</v>
      </c>
      <c r="M83" s="48">
        <f>'35h'!M83*40/35</f>
        <v>126953.14285714286</v>
      </c>
      <c r="N83" s="48">
        <f t="shared" si="15"/>
        <v>126953.14285714286</v>
      </c>
      <c r="O83" s="48">
        <f t="shared" si="15"/>
        <v>126953.14285714286</v>
      </c>
    </row>
    <row r="84" spans="4:15" ht="15" customHeight="1" x14ac:dyDescent="0.25">
      <c r="D84" s="44">
        <v>15</v>
      </c>
      <c r="E84" s="44">
        <f t="shared" si="14"/>
        <v>15</v>
      </c>
      <c r="F84" s="45">
        <f>'35h'!F84*40/35</f>
        <v>110241.14285714286</v>
      </c>
      <c r="G84" s="45">
        <f>'35h'!G84*40/35</f>
        <v>112997.71428571429</v>
      </c>
      <c r="H84" s="45">
        <f>'35h'!H84*40/35</f>
        <v>115822.85714285714</v>
      </c>
      <c r="I84" s="45">
        <f>'35h'!I84*40/35</f>
        <v>118718.85714285714</v>
      </c>
      <c r="J84" s="46">
        <f>'35h'!J84*40/35</f>
        <v>124061.71428571429</v>
      </c>
      <c r="K84" s="47">
        <f>'35h'!K84*40/35</f>
        <v>127163.42857142857</v>
      </c>
      <c r="L84" s="47">
        <f>'35h'!L84*40/35</f>
        <v>129706.28571428571</v>
      </c>
      <c r="M84" s="48">
        <f>'35h'!M84*40/35</f>
        <v>132300.57142857142</v>
      </c>
      <c r="N84" s="48">
        <f t="shared" si="15"/>
        <v>132300.57142857142</v>
      </c>
      <c r="O84" s="48">
        <f t="shared" si="15"/>
        <v>132300.57142857142</v>
      </c>
    </row>
    <row r="85" spans="4:15" ht="15" customHeight="1" x14ac:dyDescent="0.25">
      <c r="D85" s="44">
        <v>16</v>
      </c>
      <c r="E85" s="44">
        <f t="shared" si="14"/>
        <v>16</v>
      </c>
      <c r="F85" s="45">
        <f>'35h'!F85*40/35</f>
        <v>114882.28571428571</v>
      </c>
      <c r="G85" s="45">
        <f>'35h'!G85*40/35</f>
        <v>117754.28571428571</v>
      </c>
      <c r="H85" s="45">
        <f>'35h'!H85*40/35</f>
        <v>120698.28571428571</v>
      </c>
      <c r="I85" s="45">
        <f>'35h'!I85*40/35</f>
        <v>123715.42857142857</v>
      </c>
      <c r="J85" s="46">
        <f>'35h'!J85*40/35</f>
        <v>129282.28571428571</v>
      </c>
      <c r="K85" s="47">
        <f>'35h'!K85*40/35</f>
        <v>132514.28571428571</v>
      </c>
      <c r="L85" s="47">
        <f>'35h'!L85*40/35</f>
        <v>135164.57142857142</v>
      </c>
      <c r="M85" s="48">
        <f>'35h'!M85*40/35</f>
        <v>137867.42857142858</v>
      </c>
      <c r="N85" s="48">
        <f t="shared" si="15"/>
        <v>137867.42857142858</v>
      </c>
      <c r="O85" s="48">
        <f t="shared" si="15"/>
        <v>137867.42857142858</v>
      </c>
    </row>
    <row r="86" spans="4:15" ht="15" customHeight="1" x14ac:dyDescent="0.25">
      <c r="D86" s="44">
        <v>17</v>
      </c>
      <c r="E86" s="44">
        <f t="shared" si="14"/>
        <v>17</v>
      </c>
      <c r="F86" s="45">
        <f>'35h'!F86*40/35</f>
        <v>119717.71428571429</v>
      </c>
      <c r="G86" s="45">
        <f>'35h'!G86*40/35</f>
        <v>122710.85714285714</v>
      </c>
      <c r="H86" s="45">
        <f>'35h'!H86*40/35</f>
        <v>125778.28571428571</v>
      </c>
      <c r="I86" s="45">
        <f>'35h'!I86*40/35</f>
        <v>128922.28571428571</v>
      </c>
      <c r="J86" s="46">
        <f>'35h'!J86*40/35</f>
        <v>134723.42857142858</v>
      </c>
      <c r="K86" s="47">
        <f>'35h'!K86*40/35</f>
        <v>138091.42857142858</v>
      </c>
      <c r="L86" s="47">
        <f>'35h'!L86*40/35</f>
        <v>140853.71428571429</v>
      </c>
      <c r="M86" s="48">
        <f>'35h'!M86*40/35</f>
        <v>143670.85714285713</v>
      </c>
      <c r="N86" s="48">
        <f t="shared" si="15"/>
        <v>143670.85714285713</v>
      </c>
      <c r="O86" s="48">
        <f t="shared" si="15"/>
        <v>143670.85714285713</v>
      </c>
    </row>
    <row r="87" spans="4:15" ht="15" customHeight="1" x14ac:dyDescent="0.25">
      <c r="D87" s="44">
        <v>18</v>
      </c>
      <c r="E87" s="44">
        <f t="shared" si="14"/>
        <v>18</v>
      </c>
      <c r="F87" s="45">
        <f>'35h'!F87*40/35</f>
        <v>124760</v>
      </c>
      <c r="G87" s="45">
        <f>'35h'!G87*40/35</f>
        <v>127878.85714285714</v>
      </c>
      <c r="H87" s="45">
        <f>'35h'!H87*40/35</f>
        <v>131075.42857142858</v>
      </c>
      <c r="I87" s="45">
        <f>'35h'!I87*40/35</f>
        <v>134352</v>
      </c>
      <c r="J87" s="46">
        <f>'35h'!J87*40/35</f>
        <v>140397.71428571429</v>
      </c>
      <c r="K87" s="47">
        <f>'35h'!K87*40/35</f>
        <v>143907.42857142858</v>
      </c>
      <c r="L87" s="47">
        <f>'35h'!L87*40/35</f>
        <v>146785.14285714287</v>
      </c>
      <c r="M87" s="48">
        <f>'35h'!M87*40/35</f>
        <v>149721.14285714287</v>
      </c>
      <c r="N87" s="48">
        <f t="shared" ref="N87:O89" si="16">M87</f>
        <v>149721.14285714287</v>
      </c>
      <c r="O87" s="48">
        <f t="shared" si="16"/>
        <v>149721.14285714287</v>
      </c>
    </row>
    <row r="88" spans="4:15" ht="15" customHeight="1" x14ac:dyDescent="0.25">
      <c r="D88" s="44">
        <v>19</v>
      </c>
      <c r="E88" s="44">
        <v>18</v>
      </c>
      <c r="F88" s="45">
        <f>F87</f>
        <v>124760</v>
      </c>
      <c r="G88" s="45">
        <f t="shared" ref="G88" si="17">G87</f>
        <v>127878.85714285714</v>
      </c>
      <c r="H88" s="45">
        <f t="shared" ref="H88" si="18">H87</f>
        <v>131075.42857142858</v>
      </c>
      <c r="I88" s="45">
        <f t="shared" ref="I88" si="19">I87</f>
        <v>134352</v>
      </c>
      <c r="J88" s="46">
        <f t="shared" ref="J88" si="20">J87</f>
        <v>140397.71428571429</v>
      </c>
      <c r="K88" s="47">
        <f t="shared" ref="K88" si="21">K87</f>
        <v>143907.42857142858</v>
      </c>
      <c r="L88" s="47">
        <f t="shared" ref="L88" si="22">L87</f>
        <v>146785.14285714287</v>
      </c>
      <c r="M88" s="48">
        <f t="shared" ref="M88" si="23">M87</f>
        <v>149721.14285714287</v>
      </c>
      <c r="N88" s="48">
        <f t="shared" si="16"/>
        <v>149721.14285714287</v>
      </c>
      <c r="O88" s="48">
        <f t="shared" si="16"/>
        <v>149721.14285714287</v>
      </c>
    </row>
    <row r="89" spans="4:15" ht="15" customHeight="1" x14ac:dyDescent="0.25">
      <c r="D89" s="55">
        <v>20</v>
      </c>
      <c r="E89" s="44" t="s">
        <v>51</v>
      </c>
      <c r="F89" s="45">
        <f>'35h'!F89*40/35</f>
        <v>143474.28571428571</v>
      </c>
      <c r="G89" s="45">
        <f>'35h'!G89*40/35</f>
        <v>147060.57142857142</v>
      </c>
      <c r="H89" s="45">
        <f>'35h'!H89*40/35</f>
        <v>150737.14285714287</v>
      </c>
      <c r="I89" s="45">
        <f>'35h'!I89*40/35</f>
        <v>154505.14285714287</v>
      </c>
      <c r="J89" s="46">
        <f>'35h'!J89*40/35</f>
        <v>161457.14285714287</v>
      </c>
      <c r="K89" s="47">
        <f>'35h'!K89*40/35</f>
        <v>165493.71428571429</v>
      </c>
      <c r="L89" s="47">
        <f>'35h'!L89*40/35</f>
        <v>168803.42857142858</v>
      </c>
      <c r="M89" s="48">
        <f>'35h'!M89*40/35</f>
        <v>172179.42857142858</v>
      </c>
      <c r="N89" s="48">
        <f t="shared" si="16"/>
        <v>172179.42857142858</v>
      </c>
      <c r="O89" s="48">
        <f t="shared" si="16"/>
        <v>172179.42857142858</v>
      </c>
    </row>
    <row r="90" spans="4:15" ht="15" customHeight="1" x14ac:dyDescent="0.25">
      <c r="D90" s="57"/>
      <c r="E90" s="57"/>
      <c r="J90" s="58"/>
      <c r="M90" s="59"/>
    </row>
    <row r="91" spans="4:15" ht="15" customHeight="1" x14ac:dyDescent="0.25">
      <c r="D91" s="57" t="s">
        <v>52</v>
      </c>
      <c r="E91" s="57" t="s">
        <v>52</v>
      </c>
      <c r="F91" s="60">
        <v>5.7000000000000002E-3</v>
      </c>
      <c r="G91" s="60">
        <v>2.5000000000000001E-2</v>
      </c>
      <c r="H91" s="60">
        <v>2.5000000000000001E-2</v>
      </c>
      <c r="I91" s="60">
        <v>2.5000000000000001E-2</v>
      </c>
      <c r="J91" s="61">
        <v>4.4999999999999998E-2</v>
      </c>
      <c r="K91" s="60">
        <v>2.5000000000000001E-2</v>
      </c>
      <c r="L91" s="60">
        <v>0.02</v>
      </c>
      <c r="M91" s="62">
        <v>0.02</v>
      </c>
    </row>
    <row r="92" spans="4:15" ht="15" customHeight="1" x14ac:dyDescent="0.25">
      <c r="D92" s="57"/>
      <c r="E92" s="57"/>
      <c r="J92" s="58"/>
      <c r="M92" s="59"/>
    </row>
    <row r="93" spans="4:15" ht="15" customHeight="1" thickBot="1" x14ac:dyDescent="0.3">
      <c r="D93" s="63" t="s">
        <v>53</v>
      </c>
      <c r="E93" s="63" t="s">
        <v>53</v>
      </c>
      <c r="F93" s="72">
        <v>5.7000000000000002E-3</v>
      </c>
      <c r="G93" s="65">
        <v>3.0842499999999884E-2</v>
      </c>
      <c r="H93" s="65">
        <v>5.6613562499999714E-2</v>
      </c>
      <c r="I93" s="65">
        <v>8.3028901562499646E-2</v>
      </c>
      <c r="J93" s="66">
        <v>0.13176520213281195</v>
      </c>
      <c r="K93" s="65">
        <v>0.16005933218613211</v>
      </c>
      <c r="L93" s="65">
        <v>0.18326051882985483</v>
      </c>
      <c r="M93" s="67">
        <v>0.20692572920645191</v>
      </c>
    </row>
    <row r="94" spans="4:15" ht="15" customHeight="1" x14ac:dyDescent="0.25"/>
    <row r="95" spans="4:15" ht="15" customHeight="1" x14ac:dyDescent="0.25"/>
    <row r="96" spans="4:15" ht="15" customHeight="1" x14ac:dyDescent="0.25">
      <c r="E96" s="33" t="s">
        <v>56</v>
      </c>
    </row>
    <row r="97" spans="1:15" ht="15" customHeight="1" thickBot="1" x14ac:dyDescent="0.3"/>
    <row r="98" spans="1:15" ht="15" customHeight="1" x14ac:dyDescent="0.25">
      <c r="D98" s="217" t="s">
        <v>23</v>
      </c>
      <c r="E98" s="85"/>
      <c r="F98" s="34">
        <v>42095</v>
      </c>
      <c r="G98" s="34">
        <v>42461</v>
      </c>
      <c r="H98" s="34">
        <v>42826</v>
      </c>
      <c r="I98" s="34">
        <v>43191</v>
      </c>
      <c r="J98" s="35">
        <v>43556</v>
      </c>
      <c r="K98" s="34">
        <v>43922</v>
      </c>
      <c r="L98" s="34">
        <v>44287</v>
      </c>
      <c r="M98" s="36">
        <v>44652</v>
      </c>
      <c r="N98" s="36">
        <f>DATE(YEAR(M98)+1,MONTH(M98),DAY(M98))</f>
        <v>45017</v>
      </c>
      <c r="O98" s="36">
        <f>DATE(YEAR(N98)+1,MONTH(N98),DAY(N98))</f>
        <v>45383</v>
      </c>
    </row>
    <row r="99" spans="1:15" ht="15" customHeight="1" thickBot="1" x14ac:dyDescent="0.3">
      <c r="D99" s="218"/>
      <c r="E99" s="86" t="str">
        <f>D98</f>
        <v>Échelon</v>
      </c>
      <c r="F99" s="37" t="s">
        <v>49</v>
      </c>
      <c r="G99" s="37" t="s">
        <v>49</v>
      </c>
      <c r="H99" s="37" t="s">
        <v>49</v>
      </c>
      <c r="I99" s="37" t="s">
        <v>50</v>
      </c>
      <c r="J99" s="38" t="s">
        <v>50</v>
      </c>
      <c r="K99" s="37" t="s">
        <v>50</v>
      </c>
      <c r="L99" s="37" t="s">
        <v>50</v>
      </c>
      <c r="M99" s="39" t="s">
        <v>50</v>
      </c>
      <c r="N99" s="39" t="str">
        <f>M99</f>
        <v xml:space="preserve">au </v>
      </c>
      <c r="O99" s="39" t="str">
        <f>N99</f>
        <v xml:space="preserve">au </v>
      </c>
    </row>
    <row r="100" spans="1:15" ht="15" customHeight="1" x14ac:dyDescent="0.25">
      <c r="D100" s="218"/>
      <c r="E100" s="86"/>
      <c r="F100" s="40">
        <v>42460</v>
      </c>
      <c r="G100" s="40">
        <v>42825</v>
      </c>
      <c r="H100" s="40">
        <v>43190</v>
      </c>
      <c r="I100" s="40">
        <v>43555</v>
      </c>
      <c r="J100" s="41">
        <v>43921</v>
      </c>
      <c r="K100" s="40">
        <v>44286</v>
      </c>
      <c r="L100" s="40">
        <v>44651</v>
      </c>
      <c r="M100" s="42">
        <v>45016</v>
      </c>
      <c r="N100" s="36">
        <f>DATE(YEAR(M100)+1,MONTH(M100),DAY(M100))</f>
        <v>45382</v>
      </c>
      <c r="O100" s="36">
        <f>DATE(YEAR(N100)+1,MONTH(N100),DAY(N100))</f>
        <v>45747</v>
      </c>
    </row>
    <row r="101" spans="1:15" ht="15" customHeight="1" x14ac:dyDescent="0.25">
      <c r="A101" s="43"/>
      <c r="D101" s="44">
        <v>1</v>
      </c>
      <c r="E101" s="44">
        <f>D101</f>
        <v>1</v>
      </c>
      <c r="F101" s="45">
        <f>'35h'!F101*40/35</f>
        <v>63123.428571428572</v>
      </c>
      <c r="G101" s="45">
        <f>'35h'!G101*40/35</f>
        <v>64701.714285714283</v>
      </c>
      <c r="H101" s="45">
        <f>'35h'!H101*40/35</f>
        <v>66320</v>
      </c>
      <c r="I101" s="45">
        <f>'35h'!I101*40/35</f>
        <v>67977.142857142855</v>
      </c>
      <c r="J101" s="73">
        <f>'35h'!J101*40/35</f>
        <v>71036.571428571435</v>
      </c>
      <c r="K101" s="45">
        <f>'35h'!K101*40/35</f>
        <v>72811.428571428565</v>
      </c>
      <c r="L101" s="45">
        <f>'35h'!L101*40/35</f>
        <v>74267.428571428565</v>
      </c>
      <c r="M101" s="74">
        <f>'35h'!M101*40/35</f>
        <v>75753.142857142855</v>
      </c>
      <c r="N101" s="48">
        <f>M101</f>
        <v>75753.142857142855</v>
      </c>
      <c r="O101" s="48">
        <f>N101</f>
        <v>75753.142857142855</v>
      </c>
    </row>
    <row r="102" spans="1:15" ht="15" customHeight="1" x14ac:dyDescent="0.25">
      <c r="D102" s="44">
        <v>2</v>
      </c>
      <c r="E102" s="44">
        <f t="shared" ref="E102:E118" si="24">D102</f>
        <v>2</v>
      </c>
      <c r="F102" s="45">
        <f>'35h'!F102*40/35</f>
        <v>65781.71428571429</v>
      </c>
      <c r="G102" s="45">
        <f>'35h'!G102*40/35</f>
        <v>67426.28571428571</v>
      </c>
      <c r="H102" s="45">
        <f>'35h'!H102*40/35</f>
        <v>69112</v>
      </c>
      <c r="I102" s="45">
        <f>'35h'!I102*40/35</f>
        <v>70838.857142857145</v>
      </c>
      <c r="J102" s="73">
        <f>'35h'!J102*40/35</f>
        <v>74027.428571428565</v>
      </c>
      <c r="K102" s="45">
        <f>'35h'!K102*40/35</f>
        <v>75878.857142857145</v>
      </c>
      <c r="L102" s="45">
        <f>'35h'!L102*40/35</f>
        <v>77396.571428571435</v>
      </c>
      <c r="M102" s="74">
        <f>'35h'!M102*40/35</f>
        <v>78944</v>
      </c>
      <c r="N102" s="48">
        <f t="shared" ref="N102:O117" si="25">M102</f>
        <v>78944</v>
      </c>
      <c r="O102" s="48">
        <f t="shared" si="25"/>
        <v>78944</v>
      </c>
    </row>
    <row r="103" spans="1:15" ht="15" customHeight="1" x14ac:dyDescent="0.25">
      <c r="D103" s="44">
        <v>3</v>
      </c>
      <c r="E103" s="44">
        <f t="shared" si="24"/>
        <v>3</v>
      </c>
      <c r="F103" s="45">
        <f>'35h'!F103*40/35</f>
        <v>68548.571428571435</v>
      </c>
      <c r="G103" s="45">
        <f>'35h'!G103*40/35</f>
        <v>70261.71428571429</v>
      </c>
      <c r="H103" s="45">
        <f>'35h'!H103*40/35</f>
        <v>72019.428571428565</v>
      </c>
      <c r="I103" s="45">
        <f>'35h'!I103*40/35</f>
        <v>73820.571428571435</v>
      </c>
      <c r="J103" s="73">
        <f>'35h'!J103*40/35</f>
        <v>77142.857142857145</v>
      </c>
      <c r="K103" s="45">
        <f>'35h'!K103*40/35</f>
        <v>79070.857142857145</v>
      </c>
      <c r="L103" s="45">
        <f>'35h'!L103*40/35</f>
        <v>80652.571428571435</v>
      </c>
      <c r="M103" s="74">
        <f>'35h'!M103*40/35</f>
        <v>82265.142857142855</v>
      </c>
      <c r="N103" s="48">
        <f t="shared" si="25"/>
        <v>82265.142857142855</v>
      </c>
      <c r="O103" s="48">
        <f t="shared" si="25"/>
        <v>82265.142857142855</v>
      </c>
    </row>
    <row r="104" spans="1:15" ht="15" customHeight="1" x14ac:dyDescent="0.25">
      <c r="D104" s="44">
        <v>4</v>
      </c>
      <c r="E104" s="44">
        <f t="shared" si="24"/>
        <v>4</v>
      </c>
      <c r="F104" s="45">
        <f>'35h'!F104*40/35</f>
        <v>71435.428571428565</v>
      </c>
      <c r="G104" s="45">
        <f>'35h'!G104*40/35</f>
        <v>73220.571428571435</v>
      </c>
      <c r="H104" s="45">
        <f>'35h'!H104*40/35</f>
        <v>75051.428571428565</v>
      </c>
      <c r="I104" s="45">
        <f>'35h'!I104*40/35</f>
        <v>76928</v>
      </c>
      <c r="J104" s="73">
        <f>'35h'!J104*40/35</f>
        <v>80389.71428571429</v>
      </c>
      <c r="K104" s="45">
        <f>'35h'!K104*40/35</f>
        <v>82400</v>
      </c>
      <c r="L104" s="45">
        <f>'35h'!L104*40/35</f>
        <v>84048</v>
      </c>
      <c r="M104" s="74">
        <f>'35h'!M104*40/35</f>
        <v>85729.142857142855</v>
      </c>
      <c r="N104" s="48">
        <f t="shared" si="25"/>
        <v>85729.142857142855</v>
      </c>
      <c r="O104" s="48">
        <f t="shared" si="25"/>
        <v>85729.142857142855</v>
      </c>
    </row>
    <row r="105" spans="1:15" ht="15" customHeight="1" x14ac:dyDescent="0.25">
      <c r="D105" s="44">
        <v>5</v>
      </c>
      <c r="E105" s="44">
        <f t="shared" si="24"/>
        <v>5</v>
      </c>
      <c r="F105" s="45">
        <f>'35h'!F105*40/35</f>
        <v>74444.571428571435</v>
      </c>
      <c r="G105" s="45">
        <f>'35h'!G105*40/35</f>
        <v>76306.28571428571</v>
      </c>
      <c r="H105" s="45">
        <f>'35h'!H105*40/35</f>
        <v>78213.71428571429</v>
      </c>
      <c r="I105" s="45">
        <f>'35h'!I105*40/35</f>
        <v>80168</v>
      </c>
      <c r="J105" s="73">
        <f>'35h'!J105*40/35</f>
        <v>83776</v>
      </c>
      <c r="K105" s="45">
        <f>'35h'!K105*40/35</f>
        <v>85870.857142857145</v>
      </c>
      <c r="L105" s="45">
        <f>'35h'!L105*40/35</f>
        <v>87588.571428571435</v>
      </c>
      <c r="M105" s="74">
        <f>'35h'!M105*40/35</f>
        <v>89340.571428571435</v>
      </c>
      <c r="N105" s="48">
        <f t="shared" si="25"/>
        <v>89340.571428571435</v>
      </c>
      <c r="O105" s="48">
        <f t="shared" si="25"/>
        <v>89340.571428571435</v>
      </c>
    </row>
    <row r="106" spans="1:15" ht="15" customHeight="1" x14ac:dyDescent="0.25">
      <c r="D106" s="44">
        <v>6</v>
      </c>
      <c r="E106" s="44">
        <f t="shared" si="24"/>
        <v>6</v>
      </c>
      <c r="F106" s="45">
        <f>'35h'!F106*40/35</f>
        <v>77579.428571428565</v>
      </c>
      <c r="G106" s="45">
        <f>'35h'!G106*40/35</f>
        <v>79518.857142857145</v>
      </c>
      <c r="H106" s="45">
        <f>'35h'!H106*40/35</f>
        <v>81506.28571428571</v>
      </c>
      <c r="I106" s="45">
        <f>'35h'!I106*40/35</f>
        <v>83544</v>
      </c>
      <c r="J106" s="73">
        <f>'35h'!J106*40/35</f>
        <v>87304</v>
      </c>
      <c r="K106" s="45">
        <f>'35h'!K106*40/35</f>
        <v>89485.71428571429</v>
      </c>
      <c r="L106" s="45">
        <f>'35h'!L106*40/35</f>
        <v>91275.428571428565</v>
      </c>
      <c r="M106" s="74">
        <f>'35h'!M106*40/35</f>
        <v>93100.571428571435</v>
      </c>
      <c r="N106" s="48">
        <f t="shared" si="25"/>
        <v>93100.571428571435</v>
      </c>
      <c r="O106" s="48">
        <f t="shared" si="25"/>
        <v>93100.571428571435</v>
      </c>
    </row>
    <row r="107" spans="1:15" ht="15" customHeight="1" x14ac:dyDescent="0.25">
      <c r="D107" s="44">
        <v>7</v>
      </c>
      <c r="E107" s="44">
        <f t="shared" si="24"/>
        <v>7</v>
      </c>
      <c r="F107" s="45">
        <f>'35h'!F107*40/35</f>
        <v>80844.571428571435</v>
      </c>
      <c r="G107" s="45">
        <f>'35h'!G107*40/35</f>
        <v>82866.28571428571</v>
      </c>
      <c r="H107" s="45">
        <f>'35h'!H107*40/35</f>
        <v>84937.142857142855</v>
      </c>
      <c r="I107" s="45">
        <f>'35h'!I107*40/35</f>
        <v>87061.71428571429</v>
      </c>
      <c r="J107" s="73">
        <f>'35h'!J107*40/35</f>
        <v>90979.428571428565</v>
      </c>
      <c r="K107" s="45">
        <f>'35h'!K107*40/35</f>
        <v>93253.71428571429</v>
      </c>
      <c r="L107" s="45">
        <f>'35h'!L107*40/35</f>
        <v>95118.857142857145</v>
      </c>
      <c r="M107" s="74">
        <f>'35h'!M107*40/35</f>
        <v>97021.71428571429</v>
      </c>
      <c r="N107" s="48">
        <f t="shared" si="25"/>
        <v>97021.71428571429</v>
      </c>
      <c r="O107" s="48">
        <f t="shared" si="25"/>
        <v>97021.71428571429</v>
      </c>
    </row>
    <row r="108" spans="1:15" ht="15" customHeight="1" thickBot="1" x14ac:dyDescent="0.3">
      <c r="D108" s="49">
        <v>8</v>
      </c>
      <c r="E108" s="49">
        <f t="shared" si="24"/>
        <v>8</v>
      </c>
      <c r="F108" s="50">
        <f>'35h'!F108*40/35</f>
        <v>84250.28571428571</v>
      </c>
      <c r="G108" s="50">
        <f>'35h'!G108*40/35</f>
        <v>86357.71428571429</v>
      </c>
      <c r="H108" s="50">
        <f>'35h'!H108*40/35</f>
        <v>88516.571428571435</v>
      </c>
      <c r="I108" s="50">
        <f>'35h'!I108*40/35</f>
        <v>90729.142857142855</v>
      </c>
      <c r="J108" s="75">
        <f>'35h'!J108*40/35</f>
        <v>94811.428571428565</v>
      </c>
      <c r="K108" s="50">
        <f>'35h'!K108*40/35</f>
        <v>97180.571428571435</v>
      </c>
      <c r="L108" s="50">
        <f>'35h'!L108*40/35</f>
        <v>99124.571428571435</v>
      </c>
      <c r="M108" s="76">
        <f>'35h'!M108*40/35</f>
        <v>101107.42857142857</v>
      </c>
      <c r="N108" s="48">
        <f t="shared" si="25"/>
        <v>101107.42857142857</v>
      </c>
      <c r="O108" s="48">
        <f t="shared" si="25"/>
        <v>101107.42857142857</v>
      </c>
    </row>
    <row r="109" spans="1:15" ht="15" customHeight="1" x14ac:dyDescent="0.25">
      <c r="D109" s="52">
        <v>9</v>
      </c>
      <c r="E109" s="44">
        <f t="shared" si="24"/>
        <v>9</v>
      </c>
      <c r="F109" s="53">
        <f>'35h'!F109*40/35</f>
        <v>87795.428571428565</v>
      </c>
      <c r="G109" s="53">
        <f>'35h'!G109*40/35</f>
        <v>89990.857142857145</v>
      </c>
      <c r="H109" s="53">
        <f>'35h'!H109*40/35</f>
        <v>92241.142857142855</v>
      </c>
      <c r="I109" s="53">
        <f>'35h'!I109*40/35</f>
        <v>94546.28571428571</v>
      </c>
      <c r="J109" s="77">
        <f>'35h'!J109*40/35</f>
        <v>98801.142857142855</v>
      </c>
      <c r="K109" s="53">
        <f>'35h'!K109*40/35</f>
        <v>101272</v>
      </c>
      <c r="L109" s="53">
        <f>'35h'!L109*40/35</f>
        <v>103297.14285714286</v>
      </c>
      <c r="M109" s="78">
        <f>'35h'!M109*40/35</f>
        <v>105363.42857142857</v>
      </c>
      <c r="N109" s="48">
        <f t="shared" si="25"/>
        <v>105363.42857142857</v>
      </c>
      <c r="O109" s="48">
        <f t="shared" si="25"/>
        <v>105363.42857142857</v>
      </c>
    </row>
    <row r="110" spans="1:15" ht="15" customHeight="1" x14ac:dyDescent="0.25">
      <c r="D110" s="44">
        <v>10</v>
      </c>
      <c r="E110" s="44">
        <f t="shared" si="24"/>
        <v>10</v>
      </c>
      <c r="F110" s="45">
        <f>'35h'!F110*40/35</f>
        <v>91493.71428571429</v>
      </c>
      <c r="G110" s="45">
        <f>'35h'!G110*40/35</f>
        <v>93780.571428571435</v>
      </c>
      <c r="H110" s="45">
        <f>'35h'!H110*40/35</f>
        <v>96124.571428571435</v>
      </c>
      <c r="I110" s="45">
        <f>'35h'!I110*40/35</f>
        <v>98528</v>
      </c>
      <c r="J110" s="73">
        <f>'35h'!J110*40/35</f>
        <v>102962.28571428571</v>
      </c>
      <c r="K110" s="45">
        <f>'35h'!K110*40/35</f>
        <v>105536</v>
      </c>
      <c r="L110" s="45">
        <f>'35h'!L110*40/35</f>
        <v>107646.85714285714</v>
      </c>
      <c r="M110" s="74">
        <f>'35h'!M110*40/35</f>
        <v>109800</v>
      </c>
      <c r="N110" s="48">
        <f t="shared" si="25"/>
        <v>109800</v>
      </c>
      <c r="O110" s="48">
        <f t="shared" si="25"/>
        <v>109800</v>
      </c>
    </row>
    <row r="111" spans="1:15" ht="15" customHeight="1" x14ac:dyDescent="0.25">
      <c r="D111" s="44">
        <v>11</v>
      </c>
      <c r="E111" s="44">
        <f t="shared" si="24"/>
        <v>11</v>
      </c>
      <c r="F111" s="45">
        <f>'35h'!F111*40/35</f>
        <v>95345.142857142855</v>
      </c>
      <c r="G111" s="45">
        <f>'35h'!G111*40/35</f>
        <v>97729.142857142855</v>
      </c>
      <c r="H111" s="45">
        <f>'35h'!H111*40/35</f>
        <v>100172.57142857143</v>
      </c>
      <c r="I111" s="45">
        <f>'35h'!I111*40/35</f>
        <v>102676.57142857143</v>
      </c>
      <c r="J111" s="73">
        <f>'35h'!J111*40/35</f>
        <v>107297.14285714286</v>
      </c>
      <c r="K111" s="45">
        <f>'35h'!K111*40/35</f>
        <v>109979.42857142857</v>
      </c>
      <c r="L111" s="45">
        <f>'35h'!L111*40/35</f>
        <v>112179.42857142857</v>
      </c>
      <c r="M111" s="74">
        <f>'35h'!M111*40/35</f>
        <v>114422.85714285714</v>
      </c>
      <c r="N111" s="48">
        <f t="shared" si="25"/>
        <v>114422.85714285714</v>
      </c>
      <c r="O111" s="48">
        <f t="shared" si="25"/>
        <v>114422.85714285714</v>
      </c>
    </row>
    <row r="112" spans="1:15" ht="15" customHeight="1" x14ac:dyDescent="0.25">
      <c r="D112" s="44">
        <v>12</v>
      </c>
      <c r="E112" s="44">
        <f t="shared" si="24"/>
        <v>12</v>
      </c>
      <c r="F112" s="45">
        <f>'35h'!F112*40/35</f>
        <v>99360</v>
      </c>
      <c r="G112" s="45">
        <f>'35h'!G112*40/35</f>
        <v>101843.42857142857</v>
      </c>
      <c r="H112" s="45">
        <f>'35h'!H112*40/35</f>
        <v>104389.71428571429</v>
      </c>
      <c r="I112" s="45">
        <f>'35h'!I112*40/35</f>
        <v>107000</v>
      </c>
      <c r="J112" s="73">
        <f>'35h'!J112*40/35</f>
        <v>111814.85714285714</v>
      </c>
      <c r="K112" s="45">
        <f>'35h'!K112*40/35</f>
        <v>114610.28571428571</v>
      </c>
      <c r="L112" s="45">
        <f>'35h'!L112*40/35</f>
        <v>116902.85714285714</v>
      </c>
      <c r="M112" s="74">
        <f>'35h'!M112*40/35</f>
        <v>119241.14285714286</v>
      </c>
      <c r="N112" s="48">
        <f t="shared" si="25"/>
        <v>119241.14285714286</v>
      </c>
      <c r="O112" s="48">
        <f t="shared" si="25"/>
        <v>119241.14285714286</v>
      </c>
    </row>
    <row r="113" spans="4:15" ht="15" customHeight="1" x14ac:dyDescent="0.25">
      <c r="D113" s="44">
        <v>13</v>
      </c>
      <c r="E113" s="44">
        <f t="shared" si="24"/>
        <v>13</v>
      </c>
      <c r="F113" s="45">
        <f>'35h'!F113*40/35</f>
        <v>103541.71428571429</v>
      </c>
      <c r="G113" s="45">
        <f>'35h'!G113*40/35</f>
        <v>106131.42857142857</v>
      </c>
      <c r="H113" s="45">
        <f>'35h'!H113*40/35</f>
        <v>108784</v>
      </c>
      <c r="I113" s="45">
        <f>'35h'!I113*40/35</f>
        <v>111504</v>
      </c>
      <c r="J113" s="73">
        <f>'35h'!J113*40/35</f>
        <v>116521.14285714286</v>
      </c>
      <c r="K113" s="45">
        <f>'35h'!K113*40/35</f>
        <v>119434.28571428571</v>
      </c>
      <c r="L113" s="45">
        <f>'35h'!L113*40/35</f>
        <v>121822.85714285714</v>
      </c>
      <c r="M113" s="74">
        <f>'35h'!M113*40/35</f>
        <v>124259.42857142857</v>
      </c>
      <c r="N113" s="48">
        <f t="shared" si="25"/>
        <v>124259.42857142857</v>
      </c>
      <c r="O113" s="48">
        <f t="shared" si="25"/>
        <v>124259.42857142857</v>
      </c>
    </row>
    <row r="114" spans="4:15" ht="15" customHeight="1" x14ac:dyDescent="0.25">
      <c r="D114" s="44">
        <v>14</v>
      </c>
      <c r="E114" s="44">
        <f t="shared" si="24"/>
        <v>14</v>
      </c>
      <c r="F114" s="45">
        <f>'35h'!F114*40/35</f>
        <v>107902.85714285714</v>
      </c>
      <c r="G114" s="45">
        <f>'35h'!G114*40/35</f>
        <v>110601.14285714286</v>
      </c>
      <c r="H114" s="45">
        <f>'35h'!H114*40/35</f>
        <v>113365.71428571429</v>
      </c>
      <c r="I114" s="45">
        <f>'35h'!I114*40/35</f>
        <v>116200</v>
      </c>
      <c r="J114" s="73">
        <f>'35h'!J114*40/35</f>
        <v>121428.57142857143</v>
      </c>
      <c r="K114" s="45">
        <f>'35h'!K114*40/35</f>
        <v>124464</v>
      </c>
      <c r="L114" s="45">
        <f>'35h'!L114*40/35</f>
        <v>126953.14285714286</v>
      </c>
      <c r="M114" s="74">
        <f>'35h'!M114*40/35</f>
        <v>129492.57142857143</v>
      </c>
      <c r="N114" s="48">
        <f t="shared" si="25"/>
        <v>129492.57142857143</v>
      </c>
      <c r="O114" s="48">
        <f t="shared" si="25"/>
        <v>129492.57142857143</v>
      </c>
    </row>
    <row r="115" spans="4:15" ht="15" customHeight="1" x14ac:dyDescent="0.25">
      <c r="D115" s="44">
        <v>15</v>
      </c>
      <c r="E115" s="44">
        <f t="shared" si="24"/>
        <v>15</v>
      </c>
      <c r="F115" s="45">
        <f>'35h'!F115*40/35</f>
        <v>112445.71428571429</v>
      </c>
      <c r="G115" s="45">
        <f>'35h'!G115*40/35</f>
        <v>115257.14285714286</v>
      </c>
      <c r="H115" s="45">
        <f>'35h'!H115*40/35</f>
        <v>118139.42857142857</v>
      </c>
      <c r="I115" s="45">
        <f>'35h'!I115*40/35</f>
        <v>121093.71428571429</v>
      </c>
      <c r="J115" s="73">
        <f>'35h'!J115*40/35</f>
        <v>126542.85714285714</v>
      </c>
      <c r="K115" s="45">
        <f>'35h'!K115*40/35</f>
        <v>129706.28571428571</v>
      </c>
      <c r="L115" s="45">
        <f>'35h'!L115*40/35</f>
        <v>132300.57142857142</v>
      </c>
      <c r="M115" s="74">
        <f>'35h'!M115*40/35</f>
        <v>134946.28571428571</v>
      </c>
      <c r="N115" s="48">
        <f t="shared" si="25"/>
        <v>134946.28571428571</v>
      </c>
      <c r="O115" s="48">
        <f t="shared" si="25"/>
        <v>134946.28571428571</v>
      </c>
    </row>
    <row r="116" spans="4:15" ht="15" customHeight="1" x14ac:dyDescent="0.25">
      <c r="D116" s="44">
        <v>16</v>
      </c>
      <c r="E116" s="44">
        <f t="shared" si="24"/>
        <v>16</v>
      </c>
      <c r="F116" s="45">
        <f>'35h'!F116*40/35</f>
        <v>117179.42857142857</v>
      </c>
      <c r="G116" s="45">
        <f>'35h'!G116*40/35</f>
        <v>120109.71428571429</v>
      </c>
      <c r="H116" s="45">
        <f>'35h'!H116*40/35</f>
        <v>123112</v>
      </c>
      <c r="I116" s="45">
        <f>'35h'!I116*40/35</f>
        <v>126189.71428571429</v>
      </c>
      <c r="J116" s="73">
        <f>'35h'!J116*40/35</f>
        <v>131867.42857142858</v>
      </c>
      <c r="K116" s="45">
        <f>'35h'!K116*40/35</f>
        <v>135164.57142857142</v>
      </c>
      <c r="L116" s="45">
        <f>'35h'!L116*40/35</f>
        <v>137867.42857142858</v>
      </c>
      <c r="M116" s="74">
        <f>'35h'!M116*40/35</f>
        <v>140625.14285714287</v>
      </c>
      <c r="N116" s="48">
        <f t="shared" si="25"/>
        <v>140625.14285714287</v>
      </c>
      <c r="O116" s="48">
        <f t="shared" si="25"/>
        <v>140625.14285714287</v>
      </c>
    </row>
    <row r="117" spans="4:15" ht="15" customHeight="1" x14ac:dyDescent="0.25">
      <c r="D117" s="44">
        <v>17</v>
      </c>
      <c r="E117" s="44">
        <f t="shared" si="24"/>
        <v>17</v>
      </c>
      <c r="F117" s="45">
        <f>'35h'!F117*40/35</f>
        <v>122112</v>
      </c>
      <c r="G117" s="45">
        <f>'35h'!G117*40/35</f>
        <v>125164.57142857143</v>
      </c>
      <c r="H117" s="45">
        <f>'35h'!H117*40/35</f>
        <v>128293.71428571429</v>
      </c>
      <c r="I117" s="45">
        <f>'35h'!I117*40/35</f>
        <v>131500.57142857142</v>
      </c>
      <c r="J117" s="73">
        <f>'35h'!J117*40/35</f>
        <v>137418.28571428571</v>
      </c>
      <c r="K117" s="45">
        <f>'35h'!K117*40/35</f>
        <v>140853.71428571429</v>
      </c>
      <c r="L117" s="45">
        <f>'35h'!L117*40/35</f>
        <v>143670.85714285713</v>
      </c>
      <c r="M117" s="74">
        <f>'35h'!M117*40/35</f>
        <v>146544</v>
      </c>
      <c r="N117" s="48">
        <f t="shared" si="25"/>
        <v>146544</v>
      </c>
      <c r="O117" s="48">
        <f t="shared" si="25"/>
        <v>146544</v>
      </c>
    </row>
    <row r="118" spans="4:15" ht="15" customHeight="1" x14ac:dyDescent="0.25">
      <c r="D118" s="44">
        <v>18</v>
      </c>
      <c r="E118" s="44">
        <f t="shared" si="24"/>
        <v>18</v>
      </c>
      <c r="F118" s="45">
        <f>'35h'!F118*40/35</f>
        <v>127254.85714285714</v>
      </c>
      <c r="G118" s="45">
        <f>'35h'!G118*40/35</f>
        <v>130436.57142857143</v>
      </c>
      <c r="H118" s="45">
        <f>'35h'!H118*40/35</f>
        <v>133697.14285714287</v>
      </c>
      <c r="I118" s="45">
        <f>'35h'!I118*40/35</f>
        <v>137038.85714285713</v>
      </c>
      <c r="J118" s="73">
        <f>'35h'!J118*40/35</f>
        <v>143205.71428571429</v>
      </c>
      <c r="K118" s="45">
        <f>'35h'!K118*40/35</f>
        <v>146785.14285714287</v>
      </c>
      <c r="L118" s="45">
        <f>'35h'!L118*40/35</f>
        <v>149721.14285714287</v>
      </c>
      <c r="M118" s="74">
        <f>'35h'!M118*40/35</f>
        <v>152715.42857142858</v>
      </c>
      <c r="N118" s="48">
        <f t="shared" ref="N118:O120" si="26">M118</f>
        <v>152715.42857142858</v>
      </c>
      <c r="O118" s="48">
        <f t="shared" si="26"/>
        <v>152715.42857142858</v>
      </c>
    </row>
    <row r="119" spans="4:15" ht="15" customHeight="1" x14ac:dyDescent="0.25">
      <c r="D119" s="44"/>
      <c r="E119" s="44">
        <v>18</v>
      </c>
      <c r="F119" s="45">
        <f>'35h'!F119*40/35</f>
        <v>127254.85714285714</v>
      </c>
      <c r="G119" s="45">
        <f>'35h'!G119*40/35</f>
        <v>130436.57142857143</v>
      </c>
      <c r="H119" s="45">
        <f>'35h'!H119*40/35</f>
        <v>133697.14285714287</v>
      </c>
      <c r="I119" s="45">
        <f>'35h'!I119*40/35</f>
        <v>137038.85714285713</v>
      </c>
      <c r="J119" s="73">
        <f>'35h'!J119*40/35</f>
        <v>143205.71428571429</v>
      </c>
      <c r="K119" s="45">
        <f>'35h'!K119*40/35</f>
        <v>146785.14285714287</v>
      </c>
      <c r="L119" s="45">
        <f>'35h'!L119*40/35</f>
        <v>149721.14285714287</v>
      </c>
      <c r="M119" s="74">
        <f>'35h'!M119*40/35</f>
        <v>152715.42857142858</v>
      </c>
      <c r="N119" s="48">
        <f t="shared" ref="N119" si="27">M119</f>
        <v>152715.42857142858</v>
      </c>
      <c r="O119" s="48">
        <f t="shared" ref="O119" si="28">N119</f>
        <v>152715.42857142858</v>
      </c>
    </row>
    <row r="120" spans="4:15" ht="15" customHeight="1" x14ac:dyDescent="0.25">
      <c r="D120" s="55" t="s">
        <v>51</v>
      </c>
      <c r="E120" s="44" t="s">
        <v>51</v>
      </c>
      <c r="F120" s="45">
        <f>'35h'!F120*40/35</f>
        <v>146344</v>
      </c>
      <c r="G120" s="45">
        <f>'35h'!G120*40/35</f>
        <v>150002.28571428571</v>
      </c>
      <c r="H120" s="45">
        <f>'35h'!H120*40/35</f>
        <v>153752</v>
      </c>
      <c r="I120" s="45">
        <f>'35h'!I120*40/35</f>
        <v>157595.42857142858</v>
      </c>
      <c r="J120" s="73">
        <f>'35h'!J120*40/35</f>
        <v>164686.85714285713</v>
      </c>
      <c r="K120" s="45">
        <f>'35h'!K120*40/35</f>
        <v>168803.42857142858</v>
      </c>
      <c r="L120" s="45">
        <f>'35h'!L120*40/35</f>
        <v>172179.42857142858</v>
      </c>
      <c r="M120" s="74">
        <f>'35h'!M120*40/35</f>
        <v>175622.85714285713</v>
      </c>
      <c r="N120" s="48">
        <f t="shared" si="26"/>
        <v>175622.85714285713</v>
      </c>
      <c r="O120" s="48">
        <f t="shared" si="26"/>
        <v>175622.85714285713</v>
      </c>
    </row>
    <row r="121" spans="4:15" ht="15" customHeight="1" x14ac:dyDescent="0.25">
      <c r="D121" s="57"/>
      <c r="E121" s="57"/>
      <c r="J121" s="58"/>
      <c r="M121" s="59"/>
    </row>
    <row r="122" spans="4:15" ht="15" customHeight="1" x14ac:dyDescent="0.25">
      <c r="D122" s="57" t="s">
        <v>52</v>
      </c>
      <c r="E122" s="57" t="s">
        <v>52</v>
      </c>
      <c r="F122" s="60">
        <v>5.7000000000000002E-3</v>
      </c>
      <c r="G122" s="60">
        <v>2.5000000000000001E-2</v>
      </c>
      <c r="H122" s="60">
        <v>2.5000000000000001E-2</v>
      </c>
      <c r="I122" s="60">
        <v>2.5000000000000001E-2</v>
      </c>
      <c r="J122" s="61">
        <v>4.4999999999999998E-2</v>
      </c>
      <c r="K122" s="60">
        <v>2.5000000000000001E-2</v>
      </c>
      <c r="L122" s="60">
        <v>0.02</v>
      </c>
      <c r="M122" s="62">
        <v>0.02</v>
      </c>
    </row>
    <row r="123" spans="4:15" ht="15" customHeight="1" x14ac:dyDescent="0.25">
      <c r="D123" s="57"/>
      <c r="E123" s="57"/>
      <c r="J123" s="58"/>
      <c r="M123" s="59"/>
    </row>
    <row r="124" spans="4:15" ht="15" customHeight="1" thickBot="1" x14ac:dyDescent="0.3">
      <c r="D124" s="63" t="s">
        <v>53</v>
      </c>
      <c r="E124" s="63" t="s">
        <v>53</v>
      </c>
      <c r="F124" s="72">
        <v>5.7000000000000002E-3</v>
      </c>
      <c r="G124" s="65">
        <v>3.0842499999999884E-2</v>
      </c>
      <c r="H124" s="65">
        <v>5.6613562499999714E-2</v>
      </c>
      <c r="I124" s="65">
        <v>8.3028901562499646E-2</v>
      </c>
      <c r="J124" s="66">
        <v>0.13176520213281195</v>
      </c>
      <c r="K124" s="65">
        <v>0.16005933218613211</v>
      </c>
      <c r="L124" s="65">
        <v>0.18326051882985483</v>
      </c>
      <c r="M124" s="67">
        <v>0.20692572920645191</v>
      </c>
    </row>
    <row r="125" spans="4:15" ht="15" customHeight="1" x14ac:dyDescent="0.25"/>
    <row r="126" spans="4:15" ht="15" customHeight="1" x14ac:dyDescent="0.25"/>
    <row r="127" spans="4:15" ht="15" customHeight="1" x14ac:dyDescent="0.25"/>
    <row r="128" spans="4:15" ht="15" customHeight="1" x14ac:dyDescent="0.25">
      <c r="E128" s="79" t="s">
        <v>57</v>
      </c>
    </row>
    <row r="129" spans="1:15" ht="15" customHeight="1" thickBot="1" x14ac:dyDescent="0.3">
      <c r="F129" s="80"/>
    </row>
    <row r="130" spans="1:15" ht="15" customHeight="1" x14ac:dyDescent="0.25">
      <c r="D130" s="217" t="s">
        <v>23</v>
      </c>
      <c r="E130" s="85"/>
      <c r="F130" s="34">
        <v>42095</v>
      </c>
      <c r="G130" s="34">
        <v>42461</v>
      </c>
      <c r="H130" s="34">
        <v>42826</v>
      </c>
      <c r="I130" s="34">
        <v>43191</v>
      </c>
      <c r="J130" s="35">
        <v>43556</v>
      </c>
      <c r="K130" s="34">
        <v>43922</v>
      </c>
      <c r="L130" s="34">
        <v>44287</v>
      </c>
      <c r="M130" s="36">
        <v>44652</v>
      </c>
      <c r="N130" s="36">
        <f>DATE(YEAR(M130)+1,MONTH(M130),DAY(M130))</f>
        <v>45017</v>
      </c>
      <c r="O130" s="36">
        <f>DATE(YEAR(N130)+1,MONTH(N130),DAY(N130))</f>
        <v>45383</v>
      </c>
    </row>
    <row r="131" spans="1:15" ht="15" customHeight="1" thickBot="1" x14ac:dyDescent="0.3">
      <c r="D131" s="218"/>
      <c r="E131" s="86" t="str">
        <f>D130</f>
        <v>Échelon</v>
      </c>
      <c r="F131" s="37" t="s">
        <v>49</v>
      </c>
      <c r="G131" s="37" t="s">
        <v>49</v>
      </c>
      <c r="H131" s="37" t="s">
        <v>49</v>
      </c>
      <c r="I131" s="37" t="s">
        <v>50</v>
      </c>
      <c r="J131" s="38" t="s">
        <v>50</v>
      </c>
      <c r="K131" s="37" t="s">
        <v>50</v>
      </c>
      <c r="L131" s="37" t="s">
        <v>50</v>
      </c>
      <c r="M131" s="39" t="s">
        <v>50</v>
      </c>
      <c r="N131" s="39" t="str">
        <f>M131</f>
        <v xml:space="preserve">au </v>
      </c>
      <c r="O131" s="39" t="str">
        <f>N131</f>
        <v xml:space="preserve">au </v>
      </c>
    </row>
    <row r="132" spans="1:15" ht="15" customHeight="1" thickBot="1" x14ac:dyDescent="0.3">
      <c r="D132" s="220"/>
      <c r="E132" s="86"/>
      <c r="F132" s="81">
        <v>42460</v>
      </c>
      <c r="G132" s="81">
        <v>42825</v>
      </c>
      <c r="H132" s="81">
        <v>43190</v>
      </c>
      <c r="I132" s="81">
        <v>43555</v>
      </c>
      <c r="J132" s="82">
        <v>43921</v>
      </c>
      <c r="K132" s="81">
        <v>44286</v>
      </c>
      <c r="L132" s="81">
        <v>44651</v>
      </c>
      <c r="M132" s="83">
        <v>45016</v>
      </c>
      <c r="N132" s="36">
        <f>DATE(YEAR(M132)+1,MONTH(M132),DAY(M132))</f>
        <v>45382</v>
      </c>
      <c r="O132" s="36">
        <f>DATE(YEAR(N132)+1,MONTH(N132),DAY(N132))</f>
        <v>45747</v>
      </c>
    </row>
    <row r="133" spans="1:15" ht="15" customHeight="1" x14ac:dyDescent="0.25">
      <c r="A133" s="43"/>
      <c r="D133" s="44">
        <v>1</v>
      </c>
      <c r="E133" s="44">
        <f>D133</f>
        <v>1</v>
      </c>
      <c r="F133" s="45">
        <f>'35h'!F133*40/35</f>
        <v>63073.228571428568</v>
      </c>
      <c r="G133" s="45">
        <f>'35h'!G133*40/35</f>
        <v>64650.059285714276</v>
      </c>
      <c r="H133" s="45">
        <f>'35h'!H133*40/35</f>
        <v>66266.310767857125</v>
      </c>
      <c r="I133" s="45">
        <f>'35h'!I133*40/35</f>
        <v>67923.428571428565</v>
      </c>
      <c r="J133" s="46">
        <f>'35h'!J133*40/35</f>
        <v>70300.748571428572</v>
      </c>
      <c r="K133" s="47">
        <f>'35h'!K133*40/35</f>
        <v>72058.267285714275</v>
      </c>
      <c r="L133" s="47">
        <f>'35h'!L133*40/35</f>
        <v>73499.432631428572</v>
      </c>
      <c r="M133" s="48">
        <f>'35h'!M133*40/35</f>
        <v>74969.421284057127</v>
      </c>
      <c r="N133" s="48">
        <f>M133</f>
        <v>74969.421284057127</v>
      </c>
      <c r="O133" s="48">
        <f>N133</f>
        <v>74969.421284057127</v>
      </c>
    </row>
    <row r="134" spans="1:15" ht="15" customHeight="1" x14ac:dyDescent="0.25">
      <c r="D134" s="44">
        <v>2</v>
      </c>
      <c r="E134" s="44">
        <f t="shared" ref="E134:E150" si="29">D134</f>
        <v>2</v>
      </c>
      <c r="F134" s="45">
        <f>'35h'!F134*40/35</f>
        <v>65728.85714285713</v>
      </c>
      <c r="G134" s="45">
        <f>'35h'!G134*40/35</f>
        <v>67372.078571428559</v>
      </c>
      <c r="H134" s="45">
        <f>'35h'!H134*40/35</f>
        <v>69057.142857142855</v>
      </c>
      <c r="I134" s="45">
        <f>'35h'!I134*40/35</f>
        <v>70784</v>
      </c>
      <c r="J134" s="46">
        <f>'35h'!J134*40/35</f>
        <v>73261.440000000002</v>
      </c>
      <c r="K134" s="47">
        <f>'35h'!K134*40/35</f>
        <v>75092.975999999995</v>
      </c>
      <c r="L134" s="47">
        <f>'35h'!L134*40/35</f>
        <v>76595.428571428565</v>
      </c>
      <c r="M134" s="48">
        <f>'35h'!M134*40/35</f>
        <v>78126.857142857145</v>
      </c>
      <c r="N134" s="48">
        <f t="shared" ref="N134:O149" si="30">M134</f>
        <v>78126.857142857145</v>
      </c>
      <c r="O134" s="48">
        <f t="shared" si="30"/>
        <v>78126.857142857145</v>
      </c>
    </row>
    <row r="135" spans="1:15" ht="15" customHeight="1" x14ac:dyDescent="0.25">
      <c r="D135" s="44">
        <v>3</v>
      </c>
      <c r="E135" s="44">
        <f t="shared" si="29"/>
        <v>3</v>
      </c>
      <c r="F135" s="45">
        <f>'35h'!F135*40/35</f>
        <v>68494.600000000006</v>
      </c>
      <c r="G135" s="45">
        <f>'35h'!G135*40/35</f>
        <v>70206.964999999982</v>
      </c>
      <c r="H135" s="45">
        <f>'35h'!H135*40/35</f>
        <v>71962.139124999987</v>
      </c>
      <c r="I135" s="45">
        <f>'35h'!I135*40/35</f>
        <v>73761.142857142855</v>
      </c>
      <c r="J135" s="46">
        <f>'35h'!J135*40/35</f>
        <v>76342.782857142854</v>
      </c>
      <c r="K135" s="47">
        <f>'35h'!K135*40/35</f>
        <v>78251.352428571423</v>
      </c>
      <c r="L135" s="47">
        <f>'35h'!L135*40/35</f>
        <v>79816.379477142866</v>
      </c>
      <c r="M135" s="48">
        <f>'35h'!M135*40/35</f>
        <v>81412.707066685703</v>
      </c>
      <c r="N135" s="48">
        <f t="shared" si="30"/>
        <v>81412.707066685703</v>
      </c>
      <c r="O135" s="48">
        <f t="shared" si="30"/>
        <v>81412.707066685703</v>
      </c>
    </row>
    <row r="136" spans="1:15" ht="15" customHeight="1" x14ac:dyDescent="0.25">
      <c r="D136" s="44">
        <v>4</v>
      </c>
      <c r="E136" s="44">
        <f t="shared" si="29"/>
        <v>4</v>
      </c>
      <c r="F136" s="45">
        <f>'35h'!F136*40/35</f>
        <v>71378.657142857148</v>
      </c>
      <c r="G136" s="45">
        <f>'35h'!G136*40/35</f>
        <v>73162.28571428571</v>
      </c>
      <c r="H136" s="45">
        <f>'35h'!H136*40/35</f>
        <v>74991.342857142838</v>
      </c>
      <c r="I136" s="45">
        <f>'35h'!I136*40/35</f>
        <v>76865.142857142855</v>
      </c>
      <c r="J136" s="46">
        <f>'35h'!J136*40/35</f>
        <v>79555.422857142854</v>
      </c>
      <c r="K136" s="47">
        <f>'35h'!K136*40/35</f>
        <v>81544.308428571414</v>
      </c>
      <c r="L136" s="47">
        <f>'35h'!L136*40/35</f>
        <v>83175.194597142821</v>
      </c>
      <c r="M136" s="48">
        <f>'35h'!M136*40/35</f>
        <v>84838.698489085698</v>
      </c>
      <c r="N136" s="48">
        <f t="shared" si="30"/>
        <v>84838.698489085698</v>
      </c>
      <c r="O136" s="48">
        <f t="shared" si="30"/>
        <v>84838.698489085698</v>
      </c>
    </row>
    <row r="137" spans="1:15" ht="15" customHeight="1" x14ac:dyDescent="0.25">
      <c r="D137" s="44">
        <v>5</v>
      </c>
      <c r="E137" s="44">
        <f t="shared" si="29"/>
        <v>5</v>
      </c>
      <c r="F137" s="45">
        <f>'35h'!F137*40/35</f>
        <v>74385.714285714275</v>
      </c>
      <c r="G137" s="45">
        <f>'35h'!G137*40/35</f>
        <v>76245.35714285713</v>
      </c>
      <c r="H137" s="45">
        <f>'35h'!H137*40/35</f>
        <v>78151.491071428565</v>
      </c>
      <c r="I137" s="45">
        <f>'35h'!I137*40/35</f>
        <v>80106.28571428571</v>
      </c>
      <c r="J137" s="46">
        <f>'35h'!J137*40/35</f>
        <v>82910.005714285711</v>
      </c>
      <c r="K137" s="47">
        <f>'35h'!K137*40/35</f>
        <v>84982.755857142838</v>
      </c>
      <c r="L137" s="47">
        <f>'35h'!L137*40/35</f>
        <v>86682.410974285696</v>
      </c>
      <c r="M137" s="48">
        <f>'35h'!M137*40/35</f>
        <v>88416.059193771405</v>
      </c>
      <c r="N137" s="48">
        <f t="shared" si="30"/>
        <v>88416.059193771405</v>
      </c>
      <c r="O137" s="48">
        <f t="shared" si="30"/>
        <v>88416.059193771405</v>
      </c>
    </row>
    <row r="138" spans="1:15" ht="15" customHeight="1" x14ac:dyDescent="0.25">
      <c r="D138" s="44">
        <v>6</v>
      </c>
      <c r="E138" s="44">
        <f t="shared" si="29"/>
        <v>6</v>
      </c>
      <c r="F138" s="45">
        <f>'35h'!F138*40/35</f>
        <v>77518.114285714269</v>
      </c>
      <c r="G138" s="45">
        <f>'35h'!G138*40/35</f>
        <v>79456.067142857122</v>
      </c>
      <c r="H138" s="45">
        <f>'35h'!H138*40/35</f>
        <v>81442.468821428556</v>
      </c>
      <c r="I138" s="45">
        <f>'35h'!I138*40/35</f>
        <v>83478.857142857145</v>
      </c>
      <c r="J138" s="46">
        <f>'35h'!J138*40/35</f>
        <v>86400.617142857125</v>
      </c>
      <c r="K138" s="47">
        <f>'35h'!K138*40/35</f>
        <v>88560.632571428549</v>
      </c>
      <c r="L138" s="47">
        <f>'35h'!L138*40/35</f>
        <v>90332.571428571435</v>
      </c>
      <c r="M138" s="48">
        <f>'35h'!M138*40/35</f>
        <v>92139.222857142871</v>
      </c>
      <c r="N138" s="48">
        <f t="shared" si="30"/>
        <v>92139.222857142871</v>
      </c>
      <c r="O138" s="48">
        <f t="shared" si="30"/>
        <v>92139.222857142871</v>
      </c>
    </row>
    <row r="139" spans="1:15" ht="15" customHeight="1" x14ac:dyDescent="0.25">
      <c r="D139" s="44">
        <v>7</v>
      </c>
      <c r="E139" s="44">
        <f t="shared" si="29"/>
        <v>7</v>
      </c>
      <c r="F139" s="45">
        <f>'35h'!F139*40/35</f>
        <v>80780.542857142849</v>
      </c>
      <c r="G139" s="45">
        <f>'35h'!G139*40/35</f>
        <v>82800.056428571421</v>
      </c>
      <c r="H139" s="45">
        <f>'35h'!H139*40/35</f>
        <v>84870.057839285699</v>
      </c>
      <c r="I139" s="45">
        <f>'35h'!I139*40/35</f>
        <v>86992</v>
      </c>
      <c r="J139" s="46">
        <f>'35h'!J139*40/35</f>
        <v>90036.719999999987</v>
      </c>
      <c r="K139" s="47">
        <f>'35h'!K139*40/35</f>
        <v>92287.637999999992</v>
      </c>
      <c r="L139" s="47">
        <f>'35h'!L139*40/35</f>
        <v>94133.39075999998</v>
      </c>
      <c r="M139" s="48">
        <f>'35h'!M139*40/35</f>
        <v>96016.05857519999</v>
      </c>
      <c r="N139" s="48">
        <f t="shared" si="30"/>
        <v>96016.05857519999</v>
      </c>
      <c r="O139" s="48">
        <f t="shared" si="30"/>
        <v>96016.05857519999</v>
      </c>
    </row>
    <row r="140" spans="1:15" ht="15" customHeight="1" thickBot="1" x14ac:dyDescent="0.3">
      <c r="D140" s="49">
        <v>8</v>
      </c>
      <c r="E140" s="49">
        <f t="shared" si="29"/>
        <v>8</v>
      </c>
      <c r="F140" s="50">
        <f>'35h'!F140*40/35</f>
        <v>84183.542857142849</v>
      </c>
      <c r="G140" s="50">
        <f>'35h'!G140*40/35</f>
        <v>86289.142857142855</v>
      </c>
      <c r="H140" s="50">
        <f>'35h'!H140*40/35</f>
        <v>88446.371428571423</v>
      </c>
      <c r="I140" s="50">
        <f>'35h'!I140*40/35</f>
        <v>90658.28571428571</v>
      </c>
      <c r="J140" s="51">
        <f>'35h'!J140*40/35</f>
        <v>93831.325714285704</v>
      </c>
      <c r="K140" s="47">
        <f>'35h'!K140*40/35</f>
        <v>96177.108857142841</v>
      </c>
      <c r="L140" s="47">
        <f>'35h'!L140*40/35</f>
        <v>98100.651034285707</v>
      </c>
      <c r="M140" s="48">
        <f>'35h'!M140*40/35</f>
        <v>100062.66405497141</v>
      </c>
      <c r="N140" s="48">
        <f t="shared" si="30"/>
        <v>100062.66405497141</v>
      </c>
      <c r="O140" s="48">
        <f t="shared" si="30"/>
        <v>100062.66405497141</v>
      </c>
    </row>
    <row r="141" spans="1:15" ht="15" customHeight="1" x14ac:dyDescent="0.25">
      <c r="D141" s="52">
        <v>9</v>
      </c>
      <c r="E141" s="44">
        <f t="shared" si="29"/>
        <v>9</v>
      </c>
      <c r="F141" s="53">
        <f>'35h'!F141*40/35</f>
        <v>87725.942857142858</v>
      </c>
      <c r="G141" s="53">
        <f>'35h'!G141*40/35</f>
        <v>89919.09142857141</v>
      </c>
      <c r="H141" s="53">
        <f>'35h'!H141*40/35</f>
        <v>92167.068714285677</v>
      </c>
      <c r="I141" s="53">
        <f>'35h'!I141*40/35</f>
        <v>94470.857142857145</v>
      </c>
      <c r="J141" s="54">
        <f>'35h'!J141*40/35</f>
        <v>97777.337142857141</v>
      </c>
      <c r="K141" s="47">
        <f>'35h'!K141*40/35</f>
        <v>100221.77057142857</v>
      </c>
      <c r="L141" s="47">
        <f>'35h'!L141*40/35</f>
        <v>102226.20598285714</v>
      </c>
      <c r="M141" s="48">
        <f>'35h'!M141*40/35</f>
        <v>104270.7301025143</v>
      </c>
      <c r="N141" s="48">
        <f t="shared" si="30"/>
        <v>104270.7301025143</v>
      </c>
      <c r="O141" s="48">
        <f t="shared" si="30"/>
        <v>104270.7301025143</v>
      </c>
    </row>
    <row r="142" spans="1:15" ht="15" customHeight="1" x14ac:dyDescent="0.25">
      <c r="D142" s="44">
        <v>10</v>
      </c>
      <c r="E142" s="44">
        <f t="shared" si="29"/>
        <v>10</v>
      </c>
      <c r="F142" s="45">
        <f>'35h'!F142*40/35</f>
        <v>91420.628571428562</v>
      </c>
      <c r="G142" s="45">
        <f>'35h'!G142*40/35</f>
        <v>93706.144285714268</v>
      </c>
      <c r="H142" s="45">
        <f>'35h'!H142*40/35</f>
        <v>96048.797892857125</v>
      </c>
      <c r="I142" s="45">
        <f>'35h'!I142*40/35</f>
        <v>98450.28571428571</v>
      </c>
      <c r="J142" s="46">
        <f>'35h'!J142*40/35</f>
        <v>101896.0457142857</v>
      </c>
      <c r="K142" s="47">
        <f>'35h'!K142*40/35</f>
        <v>104443.44685714284</v>
      </c>
      <c r="L142" s="47">
        <f>'35h'!L142*40/35</f>
        <v>106532.31579428571</v>
      </c>
      <c r="M142" s="48">
        <f>'35h'!M142*40/35</f>
        <v>108662.96211017141</v>
      </c>
      <c r="N142" s="48">
        <f t="shared" si="30"/>
        <v>108662.96211017141</v>
      </c>
      <c r="O142" s="48">
        <f t="shared" si="30"/>
        <v>108662.96211017141</v>
      </c>
    </row>
    <row r="143" spans="1:15" ht="15" customHeight="1" x14ac:dyDescent="0.25">
      <c r="D143" s="44">
        <v>11</v>
      </c>
      <c r="E143" s="44">
        <f t="shared" si="29"/>
        <v>11</v>
      </c>
      <c r="F143" s="45">
        <f>'35h'!F143*40/35</f>
        <v>95268.771428571417</v>
      </c>
      <c r="G143" s="45">
        <f>'35h'!G143*40/35</f>
        <v>97650.490714285683</v>
      </c>
      <c r="H143" s="45">
        <f>'35h'!H143*40/35</f>
        <v>100091.75298214283</v>
      </c>
      <c r="I143" s="45">
        <f>'35h'!I143*40/35</f>
        <v>102594.28571428571</v>
      </c>
      <c r="J143" s="46">
        <f>'35h'!J143*40/35</f>
        <v>106185.08571428571</v>
      </c>
      <c r="K143" s="47">
        <f>'35h'!K143*40/35</f>
        <v>108839.71285714283</v>
      </c>
      <c r="L143" s="47">
        <f>'35h'!L143*40/35</f>
        <v>111017.14285714286</v>
      </c>
      <c r="M143" s="48">
        <f>'35h'!M143*40/35</f>
        <v>113237.48571428571</v>
      </c>
      <c r="N143" s="48">
        <f t="shared" si="30"/>
        <v>113237.48571428571</v>
      </c>
      <c r="O143" s="48">
        <f t="shared" si="30"/>
        <v>113237.48571428571</v>
      </c>
    </row>
    <row r="144" spans="1:15" ht="15" customHeight="1" x14ac:dyDescent="0.25">
      <c r="D144" s="44">
        <v>12</v>
      </c>
      <c r="E144" s="44">
        <f t="shared" si="29"/>
        <v>12</v>
      </c>
      <c r="F144" s="45">
        <f>'35h'!F144*40/35</f>
        <v>99280.914285714272</v>
      </c>
      <c r="G144" s="45">
        <f>'35h'!G144*40/35</f>
        <v>101762.93714285712</v>
      </c>
      <c r="H144" s="45">
        <f>'35h'!H144*40/35</f>
        <v>104307.01057142855</v>
      </c>
      <c r="I144" s="45">
        <f>'35h'!I144*40/35</f>
        <v>106915.42857142857</v>
      </c>
      <c r="J144" s="46">
        <f>'35h'!J144*40/35</f>
        <v>110657.46857142856</v>
      </c>
      <c r="K144" s="47">
        <f>'35h'!K144*40/35</f>
        <v>113423.90528571427</v>
      </c>
      <c r="L144" s="47">
        <f>'35h'!L144*40/35</f>
        <v>115692.38339142855</v>
      </c>
      <c r="M144" s="48">
        <f>'35h'!M144*40/35</f>
        <v>118006.85714285714</v>
      </c>
      <c r="N144" s="48">
        <f t="shared" si="30"/>
        <v>118006.85714285714</v>
      </c>
      <c r="O144" s="48">
        <f t="shared" si="30"/>
        <v>118006.85714285714</v>
      </c>
    </row>
    <row r="145" spans="4:15" ht="15" customHeight="1" x14ac:dyDescent="0.25">
      <c r="D145" s="44">
        <v>13</v>
      </c>
      <c r="E145" s="44">
        <f t="shared" si="29"/>
        <v>13</v>
      </c>
      <c r="F145" s="45">
        <f>'35h'!F145*40/35</f>
        <v>103460.57142857142</v>
      </c>
      <c r="G145" s="45">
        <f>'35h'!G145*40/35</f>
        <v>106047.08571428568</v>
      </c>
      <c r="H145" s="45">
        <f>'35h'!H145*40/35</f>
        <v>108698.26285714282</v>
      </c>
      <c r="I145" s="45">
        <f>'35h'!I145*40/35</f>
        <v>111416</v>
      </c>
      <c r="J145" s="46">
        <f>'35h'!J145*40/35</f>
        <v>115315.55999999998</v>
      </c>
      <c r="K145" s="47">
        <f>'35h'!K145*40/35</f>
        <v>118198.44899999996</v>
      </c>
      <c r="L145" s="47">
        <f>'35h'!L145*40/35</f>
        <v>120562.41797999998</v>
      </c>
      <c r="M145" s="48">
        <f>'35h'!M145*40/35</f>
        <v>122973.66633959998</v>
      </c>
      <c r="N145" s="48">
        <f t="shared" si="30"/>
        <v>122973.66633959998</v>
      </c>
      <c r="O145" s="48">
        <f t="shared" si="30"/>
        <v>122973.66633959998</v>
      </c>
    </row>
    <row r="146" spans="4:15" ht="15" customHeight="1" x14ac:dyDescent="0.25">
      <c r="D146" s="44">
        <v>14</v>
      </c>
      <c r="E146" s="44">
        <f t="shared" si="29"/>
        <v>14</v>
      </c>
      <c r="F146" s="45">
        <f>'35h'!F146*40/35</f>
        <v>107817.11428571427</v>
      </c>
      <c r="G146" s="45">
        <f>'35h'!G146*40/35</f>
        <v>110513.14285714286</v>
      </c>
      <c r="H146" s="45">
        <f>'35h'!H146*40/35</f>
        <v>113275.97142857141</v>
      </c>
      <c r="I146" s="45">
        <f>'35h'!I146*40/35</f>
        <v>116107.42857142857</v>
      </c>
      <c r="J146" s="46">
        <f>'35h'!J146*40/35</f>
        <v>120171.18857142856</v>
      </c>
      <c r="K146" s="47">
        <f>'35h'!K146*40/35</f>
        <v>123175.46828571425</v>
      </c>
      <c r="L146" s="47">
        <f>'35h'!L146*40/35</f>
        <v>125640</v>
      </c>
      <c r="M146" s="48">
        <f>'35h'!M146*40/35</f>
        <v>128152.8</v>
      </c>
      <c r="N146" s="48">
        <f t="shared" si="30"/>
        <v>128152.8</v>
      </c>
      <c r="O146" s="48">
        <f t="shared" si="30"/>
        <v>128152.8</v>
      </c>
    </row>
    <row r="147" spans="4:15" ht="15" customHeight="1" x14ac:dyDescent="0.25">
      <c r="D147" s="44">
        <v>15</v>
      </c>
      <c r="E147" s="44">
        <f t="shared" si="29"/>
        <v>15</v>
      </c>
      <c r="F147" s="45">
        <f>'35h'!F147*40/35</f>
        <v>112356.39999999998</v>
      </c>
      <c r="G147" s="45">
        <f>'35h'!G147*40/35</f>
        <v>115165.30999999998</v>
      </c>
      <c r="H147" s="45">
        <f>'35h'!H147*40/35</f>
        <v>118044.44274999997</v>
      </c>
      <c r="I147" s="45">
        <f>'35h'!I147*40/35</f>
        <v>120995.42857142857</v>
      </c>
      <c r="J147" s="46">
        <f>'35h'!J147*40/35</f>
        <v>125230.26857142856</v>
      </c>
      <c r="K147" s="47">
        <f>'35h'!K147*40/35</f>
        <v>128360</v>
      </c>
      <c r="L147" s="47">
        <f>'35h'!L147*40/35</f>
        <v>130927.2</v>
      </c>
      <c r="M147" s="48">
        <f>'35h'!M147*40/35</f>
        <v>133545.14285714287</v>
      </c>
      <c r="N147" s="48">
        <f t="shared" si="30"/>
        <v>133545.14285714287</v>
      </c>
      <c r="O147" s="48">
        <f t="shared" si="30"/>
        <v>133545.14285714287</v>
      </c>
    </row>
    <row r="148" spans="4:15" ht="15" customHeight="1" x14ac:dyDescent="0.25">
      <c r="D148" s="44">
        <v>16</v>
      </c>
      <c r="E148" s="44">
        <f t="shared" si="29"/>
        <v>16</v>
      </c>
      <c r="F148" s="45">
        <f>'35h'!F148*40/35</f>
        <v>117086.62857142856</v>
      </c>
      <c r="G148" s="45">
        <f>'35h'!G148*40/35</f>
        <v>120013.79428571425</v>
      </c>
      <c r="H148" s="45">
        <f>'35h'!H148*40/35</f>
        <v>123014.13914285709</v>
      </c>
      <c r="I148" s="45">
        <f>'35h'!I148*40/35</f>
        <v>126089.14285714286</v>
      </c>
      <c r="J148" s="46">
        <f>'35h'!J148*40/35</f>
        <v>130502.26285714286</v>
      </c>
      <c r="K148" s="47">
        <f>'35h'!K148*40/35</f>
        <v>133764.81942857141</v>
      </c>
      <c r="L148" s="47">
        <f>'35h'!L148*40/35</f>
        <v>136440.11581714285</v>
      </c>
      <c r="M148" s="48">
        <f>'35h'!M148*40/35</f>
        <v>139168.91813348571</v>
      </c>
      <c r="N148" s="48">
        <f t="shared" si="30"/>
        <v>139168.91813348571</v>
      </c>
      <c r="O148" s="48">
        <f t="shared" si="30"/>
        <v>139168.91813348571</v>
      </c>
    </row>
    <row r="149" spans="4:15" ht="15" customHeight="1" x14ac:dyDescent="0.25">
      <c r="D149" s="44">
        <v>17</v>
      </c>
      <c r="E149" s="44">
        <f t="shared" si="29"/>
        <v>17</v>
      </c>
      <c r="F149" s="45">
        <f>'35h'!F149*40/35</f>
        <v>122014.82857142857</v>
      </c>
      <c r="G149" s="45">
        <f>'35h'!G149*40/35</f>
        <v>125065.19928571428</v>
      </c>
      <c r="H149" s="45">
        <f>'35h'!H149*40/35</f>
        <v>128191.82926785712</v>
      </c>
      <c r="I149" s="45">
        <f>'35h'!I149*40/35</f>
        <v>131396.57142857142</v>
      </c>
      <c r="J149" s="46">
        <f>'35h'!J149*40/35</f>
        <v>135995.45142857142</v>
      </c>
      <c r="K149" s="47">
        <f>'35h'!K149*40/35</f>
        <v>139395.33771428571</v>
      </c>
      <c r="L149" s="47">
        <f>'35h'!L149*40/35</f>
        <v>142183.24446857141</v>
      </c>
      <c r="M149" s="48">
        <f>'35h'!M149*40/35</f>
        <v>145026.28571428571</v>
      </c>
      <c r="N149" s="48">
        <f t="shared" si="30"/>
        <v>145026.28571428571</v>
      </c>
      <c r="O149" s="48">
        <f t="shared" si="30"/>
        <v>145026.28571428571</v>
      </c>
    </row>
    <row r="150" spans="4:15" ht="15" customHeight="1" x14ac:dyDescent="0.25">
      <c r="D150" s="44">
        <v>18</v>
      </c>
      <c r="E150" s="44">
        <f t="shared" si="29"/>
        <v>18</v>
      </c>
      <c r="F150" s="45">
        <f>'35h'!F150*40/35</f>
        <v>127153.88571428572</v>
      </c>
      <c r="G150" s="45">
        <f>'35h'!G150*40/35</f>
        <v>130333.71428571429</v>
      </c>
      <c r="H150" s="45">
        <f>'35h'!H150*40/35</f>
        <v>133592.05714285714</v>
      </c>
      <c r="I150" s="45">
        <f>'35h'!I150*40/35</f>
        <v>136931.42857142858</v>
      </c>
      <c r="J150" s="46">
        <f>'35h'!J150*40/35</f>
        <v>141724.02857142859</v>
      </c>
      <c r="K150" s="47">
        <f>'35h'!K150*40/35</f>
        <v>145267.12928571427</v>
      </c>
      <c r="L150" s="47">
        <f>'35h'!L150*40/35</f>
        <v>148172.47187142857</v>
      </c>
      <c r="M150" s="48">
        <f>'35h'!M150*40/35</f>
        <v>151135.92130885713</v>
      </c>
      <c r="N150" s="48">
        <f t="shared" ref="N150:O152" si="31">M150</f>
        <v>151135.92130885713</v>
      </c>
      <c r="O150" s="48">
        <f t="shared" si="31"/>
        <v>151135.92130885713</v>
      </c>
    </row>
    <row r="151" spans="4:15" ht="15" customHeight="1" x14ac:dyDescent="0.25">
      <c r="D151" s="44"/>
      <c r="E151" s="44">
        <v>18</v>
      </c>
      <c r="F151" s="45"/>
      <c r="G151" s="45"/>
      <c r="H151" s="45"/>
      <c r="I151" s="45"/>
      <c r="J151" s="46"/>
      <c r="K151" s="47"/>
      <c r="L151" s="47"/>
      <c r="M151" s="48"/>
      <c r="N151" s="48">
        <f t="shared" si="31"/>
        <v>0</v>
      </c>
      <c r="O151" s="48">
        <f t="shared" si="31"/>
        <v>0</v>
      </c>
    </row>
    <row r="152" spans="4:15" ht="15" customHeight="1" x14ac:dyDescent="0.25">
      <c r="D152" s="55" t="s">
        <v>51</v>
      </c>
      <c r="E152" s="44" t="s">
        <v>51</v>
      </c>
      <c r="F152" s="56">
        <f>'35h'!F152*40/35</f>
        <v>146226.96857142856</v>
      </c>
      <c r="G152" s="56">
        <f>'35h'!G152*40/35</f>
        <v>149883.42857142858</v>
      </c>
      <c r="H152" s="56">
        <f>'35h'!H152*40/35</f>
        <v>153630.51428571425</v>
      </c>
      <c r="I152" s="56">
        <f>'35h'!I152*40/35</f>
        <v>157471.14285714287</v>
      </c>
      <c r="J152" s="46">
        <f>'35h'!J152*40/35</f>
        <v>162982.63285714283</v>
      </c>
      <c r="K152" s="47">
        <f>'35h'!K152*40/35</f>
        <v>167057.19867857141</v>
      </c>
      <c r="L152" s="47">
        <f>'35h'!L152*40/35</f>
        <v>170398.34265214283</v>
      </c>
      <c r="M152" s="48">
        <f>'35h'!M152*40/35</f>
        <v>173806.30950518567</v>
      </c>
      <c r="N152" s="48">
        <f t="shared" si="31"/>
        <v>173806.30950518567</v>
      </c>
      <c r="O152" s="48">
        <f t="shared" si="31"/>
        <v>173806.30950518567</v>
      </c>
    </row>
    <row r="153" spans="4:15" ht="15" customHeight="1" x14ac:dyDescent="0.25">
      <c r="D153" s="57"/>
      <c r="E153" s="57"/>
      <c r="J153" s="58"/>
      <c r="M153" s="59"/>
    </row>
    <row r="154" spans="4:15" ht="15" customHeight="1" x14ac:dyDescent="0.25">
      <c r="D154" s="57" t="s">
        <v>52</v>
      </c>
      <c r="E154" s="57" t="s">
        <v>52</v>
      </c>
      <c r="F154" s="60">
        <v>2.5000000000000001E-2</v>
      </c>
      <c r="G154" s="60">
        <v>2.4999999999999876E-2</v>
      </c>
      <c r="H154" s="60">
        <v>2.4999999999999904E-2</v>
      </c>
      <c r="I154" s="60">
        <v>2.4999999999999963E-2</v>
      </c>
      <c r="J154" s="61">
        <v>3.4999999999999962E-2</v>
      </c>
      <c r="K154" s="60">
        <v>2.4999999999999942E-2</v>
      </c>
      <c r="L154" s="60">
        <v>1.9999999999999987E-2</v>
      </c>
      <c r="M154" s="62">
        <v>1.9999999999999959E-2</v>
      </c>
    </row>
    <row r="155" spans="4:15" ht="15" customHeight="1" x14ac:dyDescent="0.25">
      <c r="D155" s="57"/>
      <c r="E155" s="57"/>
      <c r="J155" s="58"/>
      <c r="M155" s="59"/>
    </row>
    <row r="156" spans="4:15" ht="15" customHeight="1" thickBot="1" x14ac:dyDescent="0.3">
      <c r="D156" s="63" t="s">
        <v>53</v>
      </c>
      <c r="E156" s="63" t="s">
        <v>53</v>
      </c>
      <c r="F156" s="64">
        <v>2.5000000000000001E-2</v>
      </c>
      <c r="G156" s="65">
        <v>5.0599999999999999E-2</v>
      </c>
      <c r="H156" s="65">
        <v>7.6899999999999996E-2</v>
      </c>
      <c r="I156" s="65">
        <v>0.1038</v>
      </c>
      <c r="J156" s="66">
        <v>0.1424</v>
      </c>
      <c r="K156" s="65">
        <v>0.17100000000000001</v>
      </c>
      <c r="L156" s="65">
        <v>0.19439999999999999</v>
      </c>
      <c r="M156" s="67">
        <v>0.21829999999999999</v>
      </c>
    </row>
  </sheetData>
  <mergeCells count="5">
    <mergeCell ref="D5:D7"/>
    <mergeCell ref="D36:D38"/>
    <mergeCell ref="D67:D69"/>
    <mergeCell ref="D98:D100"/>
    <mergeCell ref="D130:D13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F2CA4-6393-4F63-BD84-34A621DA2CA7}">
  <sheetPr codeName="Feuil1"/>
  <dimension ref="B2:O36"/>
  <sheetViews>
    <sheetView showGridLines="0" zoomScale="115" zoomScaleNormal="115" workbookViewId="0">
      <selection activeCell="I14" sqref="I7:I25"/>
    </sheetView>
  </sheetViews>
  <sheetFormatPr baseColWidth="10" defaultColWidth="11.42578125" defaultRowHeight="15" outlineLevelCol="1" x14ac:dyDescent="0.25"/>
  <cols>
    <col min="1" max="1" width="5.140625" customWidth="1"/>
    <col min="4" max="4" width="13.28515625" bestFit="1" customWidth="1"/>
    <col min="5" max="5" width="6.5703125" customWidth="1"/>
    <col min="6" max="6" width="14.5703125" customWidth="1"/>
    <col min="7" max="7" width="18.7109375" customWidth="1"/>
    <col min="8" max="8" width="6.5703125" customWidth="1"/>
    <col min="9" max="9" width="13" customWidth="1"/>
    <col min="10" max="10" width="12.85546875" customWidth="1"/>
    <col min="11" max="11" width="12.85546875" hidden="1" customWidth="1" outlineLevel="1"/>
    <col min="12" max="12" width="12.28515625" bestFit="1" customWidth="1" collapsed="1"/>
  </cols>
  <sheetData>
    <row r="2" spans="2:15" x14ac:dyDescent="0.25">
      <c r="B2" s="14" t="s">
        <v>60</v>
      </c>
      <c r="H2" s="2"/>
    </row>
    <row r="4" spans="2:15" x14ac:dyDescent="0.25">
      <c r="B4" s="2" t="s">
        <v>61</v>
      </c>
      <c r="D4" s="6">
        <v>2016</v>
      </c>
      <c r="O4" t="s">
        <v>62</v>
      </c>
    </row>
    <row r="5" spans="2:15" ht="14.45" customHeight="1" x14ac:dyDescent="0.25">
      <c r="B5" s="2" t="s">
        <v>23</v>
      </c>
      <c r="D5" s="6">
        <v>4</v>
      </c>
      <c r="F5" s="221" t="s">
        <v>63</v>
      </c>
      <c r="G5" s="221"/>
      <c r="H5" s="15"/>
      <c r="I5" s="223" t="s">
        <v>19</v>
      </c>
      <c r="J5" s="224"/>
      <c r="K5" s="224"/>
      <c r="L5" s="224"/>
      <c r="O5" t="s">
        <v>64</v>
      </c>
    </row>
    <row r="6" spans="2:15" x14ac:dyDescent="0.25">
      <c r="F6" s="221"/>
      <c r="G6" s="221"/>
      <c r="H6" s="15"/>
      <c r="I6" s="16" t="s">
        <v>65</v>
      </c>
      <c r="J6" s="17" t="s">
        <v>23</v>
      </c>
      <c r="K6" s="17"/>
      <c r="L6" s="17" t="s">
        <v>66</v>
      </c>
      <c r="O6" t="s">
        <v>67</v>
      </c>
    </row>
    <row r="7" spans="2:15" x14ac:dyDescent="0.25">
      <c r="B7" s="25" t="s">
        <v>68</v>
      </c>
      <c r="C7" s="26"/>
      <c r="D7" s="27">
        <f>IFERROR(VLOOKUP($D4&amp;$D5,'Échelle (référence seul.)'!$L8:$O160,4,0),"")</f>
        <v>60933</v>
      </c>
      <c r="F7" s="7">
        <v>2016</v>
      </c>
      <c r="G7" s="8">
        <v>5.7000000000000002E-3</v>
      </c>
      <c r="H7" s="11"/>
      <c r="I7" s="7">
        <f>MAX(D4,2016)</f>
        <v>2016</v>
      </c>
      <c r="J7" s="18">
        <f>D5</f>
        <v>4</v>
      </c>
      <c r="K7" s="18" t="str">
        <f>CONCATENATE(I7,J7)</f>
        <v>20164</v>
      </c>
      <c r="L7" s="19" cm="1">
        <f t="array" ref="L7">_xlfn.IFS(J7&gt;8,VLOOKUP(I7,$F$7:$G$14,2,FALSE)*VLOOKUP(K7,'Échelle (référence seul.)'!$L$8:$O$159,4,FALSE),J7&lt;=8,(VLOOKUP(I7,$F$7:$G$14,2,FALSE)*VLOOKUP(K7,'Échelle (référence seul.)'!$L$8:$O$159,4,FALSE)*0.5)+(VLOOKUP(I7,$F$7:$G$14,2,FALSE)*VLOOKUP(I7&amp;J8,'Échelle (référence seul.)'!$L$8:$O$159,4,FALSE)*0.5))</f>
        <v>354.63405</v>
      </c>
      <c r="O7" t="s">
        <v>69</v>
      </c>
    </row>
    <row r="8" spans="2:15" x14ac:dyDescent="0.25">
      <c r="B8" s="25" t="s">
        <v>70</v>
      </c>
      <c r="C8" s="26"/>
      <c r="D8" s="28">
        <f>IFERROR(VLOOKUP($D4,'Infos (référence seul.)'!F7:G14,2,0),"")</f>
        <v>5.7000000000000002E-3</v>
      </c>
      <c r="F8" s="7">
        <v>2017</v>
      </c>
      <c r="G8" s="8">
        <v>2.5000000000000001E-2</v>
      </c>
      <c r="H8" s="11"/>
      <c r="I8" s="7">
        <f>IF($J8&lt;9,ROUND(I7+0.5,0),MIN(I7+1,2023))</f>
        <v>2017</v>
      </c>
      <c r="J8" s="18">
        <f>J7+1</f>
        <v>5</v>
      </c>
      <c r="K8" s="18" t="str">
        <f t="shared" ref="K8:K9" si="0">CONCATENATE(I8,J8)</f>
        <v>20175</v>
      </c>
      <c r="L8" s="19" cm="1">
        <f t="array" ref="L8">_xlfn.IFS(J8&gt;8,VLOOKUP(I8,$F$7:$G$14,2,FALSE)*VLOOKUP(K8,'Échelle (référence seul.)'!$L$8:$O$159,4,FALSE),J8&lt;=8,(VLOOKUP(I8,$F$7:$G$14,2,FALSE)*VLOOKUP(K8,'Échelle (référence seul.)'!$L$8:$O$159,4,FALSE)*0.5)+(VLOOKUP(I8,$F$7:$G$14,2,FALSE)*VLOOKUP(I8&amp;J9,'Échelle (référence seul.)'!$L$8:$O$159,4,FALSE)*0.5))</f>
        <v>1645.25</v>
      </c>
      <c r="O8" t="s">
        <v>71</v>
      </c>
    </row>
    <row r="9" spans="2:15" x14ac:dyDescent="0.25">
      <c r="B9" s="25" t="s">
        <v>72</v>
      </c>
      <c r="C9" s="26"/>
      <c r="D9" s="27">
        <f>D8*D7</f>
        <v>347.31810000000002</v>
      </c>
      <c r="F9" s="7">
        <v>2018</v>
      </c>
      <c r="G9" s="8">
        <v>2.5000000000000001E-2</v>
      </c>
      <c r="H9" s="11"/>
      <c r="I9" s="7">
        <f t="shared" ref="I9:I25" si="1">IF($J9&lt;9,ROUND(I8+0.4,0),MIN(I8+1,2023))</f>
        <v>2017</v>
      </c>
      <c r="J9" s="18">
        <f t="shared" ref="J9:J25" si="2">J8+1</f>
        <v>6</v>
      </c>
      <c r="K9" s="18" t="str">
        <f t="shared" si="0"/>
        <v>20176</v>
      </c>
      <c r="L9" s="19" cm="1">
        <f t="array" ref="L9">_xlfn.IFS(J9&gt;8,VLOOKUP(I9,$F$7:$G$14,2,FALSE)*VLOOKUP(K9,'Échelle (référence seul.)'!$L$8:$O$159,4,FALSE),J9&lt;=8,(VLOOKUP(I9,$F$7:$G$14,2,FALSE)*VLOOKUP(K9,'Échelle (référence seul.)'!$L$8:$O$159,4,FALSE)*0.5)+(VLOOKUP(I9,$F$7:$G$14,2,FALSE)*VLOOKUP(I9&amp;J10,'Échelle (référence seul.)'!$L$8:$O$159,4,FALSE)*0.5))</f>
        <v>1714.5</v>
      </c>
      <c r="O9" t="s">
        <v>73</v>
      </c>
    </row>
    <row r="10" spans="2:15" x14ac:dyDescent="0.25">
      <c r="B10" s="25"/>
      <c r="C10" s="26"/>
      <c r="D10" s="27"/>
      <c r="F10" s="7">
        <v>2019</v>
      </c>
      <c r="G10" s="8">
        <v>2.5000000000000001E-2</v>
      </c>
      <c r="H10" s="11"/>
      <c r="I10" s="7">
        <f t="shared" si="1"/>
        <v>2017</v>
      </c>
      <c r="J10" s="18">
        <f t="shared" si="2"/>
        <v>7</v>
      </c>
      <c r="K10" s="18" t="str">
        <f t="shared" ref="K10:K22" si="3">CONCATENATE(I10,J10)</f>
        <v>20177</v>
      </c>
      <c r="L10" s="19" cm="1">
        <f t="array" ref="L10">_xlfn.IFS(J10&gt;8,VLOOKUP(I10,$F$7:$G$14,2,FALSE)*VLOOKUP(K10,'Échelle (référence seul.)'!$L$8:$O$159,4,FALSE),J10&lt;=8,(VLOOKUP(I10,$F$7:$G$14,2,FALSE)*VLOOKUP(K10,'Échelle (référence seul.)'!$L$8:$O$159,4,FALSE)*0.5)+(VLOOKUP(I10,$F$7:$G$14,2,FALSE)*VLOOKUP(I10&amp;J11,'Échelle (référence seul.)'!$L$8:$O$159,4,FALSE)*0.5))</f>
        <v>1786.6875</v>
      </c>
    </row>
    <row r="11" spans="2:15" x14ac:dyDescent="0.25">
      <c r="B11" s="2"/>
      <c r="D11" s="10"/>
      <c r="F11" s="7">
        <v>2020</v>
      </c>
      <c r="G11" s="8">
        <v>4.4999999999999998E-2</v>
      </c>
      <c r="H11" s="11"/>
      <c r="I11" s="7">
        <f t="shared" si="1"/>
        <v>2017</v>
      </c>
      <c r="J11" s="18">
        <f t="shared" si="2"/>
        <v>8</v>
      </c>
      <c r="K11" s="18" t="str">
        <f t="shared" si="3"/>
        <v>20178</v>
      </c>
      <c r="L11" s="19" cm="1">
        <f t="array" ref="L11">_xlfn.IFS(J11&gt;8,VLOOKUP(I11,$F$7:$G$14,2,FALSE)*VLOOKUP(K11,'Échelle (référence seul.)'!$L$8:$O$159,4,FALSE),J11&lt;=8,(VLOOKUP(I11,$F$7:$G$14,2,FALSE)*VLOOKUP(K11,'Échelle (référence seul.)'!$L$8:$O$159,4,FALSE)*0.5)+(VLOOKUP(I11,$F$7:$G$14,2,FALSE)*VLOOKUP(I11&amp;J12,'Échelle (référence seul.)'!$L$8:$O$159,4,FALSE)*0.5))</f>
        <v>1861.9125000000001</v>
      </c>
    </row>
    <row r="12" spans="2:15" x14ac:dyDescent="0.25">
      <c r="F12" s="7">
        <v>2021</v>
      </c>
      <c r="G12" s="8">
        <v>2.5000000000000001E-2</v>
      </c>
      <c r="H12" s="11"/>
      <c r="I12" s="7">
        <f t="shared" si="1"/>
        <v>2018</v>
      </c>
      <c r="J12" s="18">
        <f t="shared" si="2"/>
        <v>9</v>
      </c>
      <c r="K12" s="18" t="str">
        <f t="shared" si="3"/>
        <v>20189</v>
      </c>
      <c r="L12" s="19" cm="1">
        <f t="array" ref="L12">_xlfn.IFS(J12&gt;8,VLOOKUP(I12,$F$7:$G$14,2,FALSE)*VLOOKUP(K12,'Échelle (référence seul.)'!$L$8:$O$159,4,FALSE),J12&lt;=8,(VLOOKUP(I12,$F$7:$G$14,2,FALSE)*VLOOKUP(K12,'Échelle (référence seul.)'!$L$8:$O$159,4,FALSE)*0.5)+(VLOOKUP(I12,$F$7:$G$14,2,FALSE)*VLOOKUP(I12&amp;J13,'Échelle (référence seul.)'!$L$8:$O$159,4,FALSE)*0.5))</f>
        <v>1933.5250000000001</v>
      </c>
    </row>
    <row r="13" spans="2:15" x14ac:dyDescent="0.25">
      <c r="F13" s="7">
        <v>2022</v>
      </c>
      <c r="G13" s="8">
        <v>0.02</v>
      </c>
      <c r="H13" s="11"/>
      <c r="I13" s="7">
        <f t="shared" si="1"/>
        <v>2019</v>
      </c>
      <c r="J13" s="18">
        <f t="shared" si="2"/>
        <v>10</v>
      </c>
      <c r="K13" s="18" t="str">
        <f t="shared" si="3"/>
        <v>201910</v>
      </c>
      <c r="L13" s="19" cm="1">
        <f t="array" ref="L13">_xlfn.IFS(J13&gt;8,VLOOKUP(I13,$F$7:$G$14,2,FALSE)*VLOOKUP(K13,'Échelle (référence seul.)'!$L$8:$O$159,4,FALSE),J13&lt;=8,(VLOOKUP(I13,$F$7:$G$14,2,FALSE)*VLOOKUP(K13,'Échelle (référence seul.)'!$L$8:$O$159,4,FALSE)*0.5)+(VLOOKUP(I13,$F$7:$G$14,2,FALSE)*VLOOKUP(I13&amp;J14,'Échelle (référence seul.)'!$L$8:$O$159,4,FALSE)*0.5))</f>
        <v>2055.2750000000001</v>
      </c>
    </row>
    <row r="14" spans="2:15" x14ac:dyDescent="0.25">
      <c r="B14" s="2"/>
      <c r="D14" s="10"/>
      <c r="F14" s="7">
        <v>2023</v>
      </c>
      <c r="G14" s="8">
        <v>0.02</v>
      </c>
      <c r="H14" s="11"/>
      <c r="I14" s="7">
        <f t="shared" si="1"/>
        <v>2020</v>
      </c>
      <c r="J14" s="18">
        <f t="shared" si="2"/>
        <v>11</v>
      </c>
      <c r="K14" s="18" t="str">
        <f t="shared" si="3"/>
        <v>202011</v>
      </c>
      <c r="L14" s="19" cm="1">
        <f t="array" ref="L14">_xlfn.IFS(J14&gt;8,VLOOKUP(I14,$F$7:$G$14,2,FALSE)*VLOOKUP(K14,'Échelle (référence seul.)'!$L$8:$O$159,4,FALSE),J14&lt;=8,(VLOOKUP(I14,$F$7:$G$14,2,FALSE)*VLOOKUP(K14,'Échelle (référence seul.)'!$L$8:$O$159,4,FALSE)*0.5)+(VLOOKUP(I14,$F$7:$G$14,2,FALSE)*VLOOKUP(I14&amp;J15,'Échelle (référence seul.)'!$L$8:$O$159,4,FALSE)*0.5))</f>
        <v>3855.24</v>
      </c>
    </row>
    <row r="15" spans="2:15" x14ac:dyDescent="0.25">
      <c r="B15" s="2" t="s">
        <v>74</v>
      </c>
      <c r="D15" s="12"/>
      <c r="I15" s="7">
        <f t="shared" si="1"/>
        <v>2021</v>
      </c>
      <c r="J15" s="18">
        <f t="shared" si="2"/>
        <v>12</v>
      </c>
      <c r="K15" s="18" t="str">
        <f t="shared" si="3"/>
        <v>202112</v>
      </c>
      <c r="L15" s="19" cm="1">
        <f t="array" ref="L15">_xlfn.IFS(J15&gt;8,VLOOKUP(I15,$F$7:$G$14,2,FALSE)*VLOOKUP(K15,'Échelle (référence seul.)'!$L$8:$O$159,4,FALSE),J15&lt;=8,(VLOOKUP(I15,$F$7:$G$14,2,FALSE)*VLOOKUP(K15,'Échelle (référence seul.)'!$L$8:$O$159,4,FALSE)*0.5)+(VLOOKUP(I15,$F$7:$G$14,2,FALSE)*VLOOKUP(I15&amp;J16,'Échelle (référence seul.)'!$L$8:$O$159,4,FALSE)*0.5))</f>
        <v>2276.6145000000001</v>
      </c>
    </row>
    <row r="16" spans="2:15" ht="15" customHeight="1" x14ac:dyDescent="0.25">
      <c r="B16" s="2">
        <v>1</v>
      </c>
      <c r="D16" s="10"/>
      <c r="F16" s="222"/>
      <c r="G16" s="222"/>
      <c r="I16" s="7">
        <f t="shared" si="1"/>
        <v>2022</v>
      </c>
      <c r="J16" s="18">
        <f t="shared" si="2"/>
        <v>13</v>
      </c>
      <c r="K16" s="18" t="str">
        <f t="shared" si="3"/>
        <v>202213</v>
      </c>
      <c r="L16" s="19" cm="1">
        <f t="array" ref="L16">_xlfn.IFS(J16&gt;8,VLOOKUP(I16,$F$7:$G$14,2,FALSE)*VLOOKUP(K16,'Échelle (référence seul.)'!$L$8:$O$159,4,FALSE),J16&lt;=8,(VLOOKUP(I16,$F$7:$G$14,2,FALSE)*VLOOKUP(K16,'Échelle (référence seul.)'!$L$8:$O$159,4,FALSE)*0.5)+(VLOOKUP(I16,$F$7:$G$14,2,FALSE)*VLOOKUP(I16&amp;J17,'Échelle (référence seul.)'!$L$8:$O$159,4,FALSE)*0.5))</f>
        <v>1935.934704</v>
      </c>
    </row>
    <row r="17" spans="2:12" x14ac:dyDescent="0.25">
      <c r="B17" s="2">
        <v>2</v>
      </c>
      <c r="D17" s="10"/>
      <c r="I17" s="7">
        <f t="shared" si="1"/>
        <v>2023</v>
      </c>
      <c r="J17" s="18">
        <f t="shared" si="2"/>
        <v>14</v>
      </c>
      <c r="K17" s="18" t="str">
        <f t="shared" si="3"/>
        <v>202314</v>
      </c>
      <c r="L17" s="19" t="e">
        <f>VLOOKUP(I17,$F$7:$G$14,2,FALSE)*VLOOKUP(K17,'Échelle (référence seul.)'!$L$8:$O$82,4,FALSE)</f>
        <v>#N/A</v>
      </c>
    </row>
    <row r="18" spans="2:12" x14ac:dyDescent="0.25">
      <c r="B18" s="2">
        <f>B17+1</f>
        <v>3</v>
      </c>
      <c r="D18" s="10"/>
      <c r="H18" s="1"/>
      <c r="I18" s="7">
        <f t="shared" si="1"/>
        <v>2023</v>
      </c>
      <c r="J18" s="18">
        <f t="shared" si="2"/>
        <v>15</v>
      </c>
      <c r="K18" s="18" t="str">
        <f t="shared" si="3"/>
        <v>202315</v>
      </c>
      <c r="L18" s="19" t="e">
        <f>VLOOKUP(I18,$F$7:$G$14,2,FALSE)*VLOOKUP(K18,'Échelle (référence seul.)'!$L$8:$O$82,4,FALSE)</f>
        <v>#N/A</v>
      </c>
    </row>
    <row r="19" spans="2:12" x14ac:dyDescent="0.25">
      <c r="B19" s="2">
        <f t="shared" ref="B19:B33" si="4">B18+1</f>
        <v>4</v>
      </c>
      <c r="I19" s="7">
        <f t="shared" si="1"/>
        <v>2023</v>
      </c>
      <c r="J19" s="18">
        <f t="shared" si="2"/>
        <v>16</v>
      </c>
      <c r="K19" s="18" t="str">
        <f t="shared" si="3"/>
        <v>202316</v>
      </c>
      <c r="L19" s="19" t="e">
        <f>VLOOKUP(I19,$F$7:$G$14,2,FALSE)*VLOOKUP(K19,'Échelle (référence seul.)'!$L$8:$O$82,4,FALSE)</f>
        <v>#N/A</v>
      </c>
    </row>
    <row r="20" spans="2:12" x14ac:dyDescent="0.25">
      <c r="B20" s="2">
        <f t="shared" si="4"/>
        <v>5</v>
      </c>
      <c r="D20" s="22">
        <f>SUMIF(C:C,"&lt;&gt;#N/A")</f>
        <v>0</v>
      </c>
      <c r="I20" s="7">
        <f t="shared" si="1"/>
        <v>2023</v>
      </c>
      <c r="J20" s="18">
        <f t="shared" si="2"/>
        <v>17</v>
      </c>
      <c r="K20" s="18" t="str">
        <f t="shared" si="3"/>
        <v>202317</v>
      </c>
      <c r="L20" s="19" t="e">
        <f>VLOOKUP(I20,$F$7:$G$14,2,FALSE)*VLOOKUP(K20,'Échelle (référence seul.)'!$L$8:$O$82,4,FALSE)</f>
        <v>#N/A</v>
      </c>
    </row>
    <row r="21" spans="2:12" x14ac:dyDescent="0.25">
      <c r="B21" s="2">
        <f t="shared" si="4"/>
        <v>6</v>
      </c>
      <c r="I21" s="7">
        <f t="shared" si="1"/>
        <v>2023</v>
      </c>
      <c r="J21" s="18">
        <f t="shared" si="2"/>
        <v>18</v>
      </c>
      <c r="K21" s="18" t="str">
        <f t="shared" si="3"/>
        <v>202318</v>
      </c>
      <c r="L21" s="19" t="e">
        <f>VLOOKUP(I21,$F$7:$G$14,2,FALSE)*VLOOKUP(K21,'Échelle (référence seul.)'!$L$8:$O$82,4,FALSE)</f>
        <v>#N/A</v>
      </c>
    </row>
    <row r="22" spans="2:12" x14ac:dyDescent="0.25">
      <c r="B22" s="2">
        <f t="shared" si="4"/>
        <v>7</v>
      </c>
      <c r="I22" s="7">
        <f t="shared" si="1"/>
        <v>2023</v>
      </c>
      <c r="J22" s="18">
        <f t="shared" si="2"/>
        <v>19</v>
      </c>
      <c r="K22" s="18" t="str">
        <f t="shared" si="3"/>
        <v>202319</v>
      </c>
      <c r="L22" s="19" t="e">
        <f>VLOOKUP(I22,$F$7:$G$14,2,FALSE)*VLOOKUP(K22,'Échelle (référence seul.)'!$L$8:$O$82,4,FALSE)</f>
        <v>#N/A</v>
      </c>
    </row>
    <row r="23" spans="2:12" x14ac:dyDescent="0.25">
      <c r="B23" s="2">
        <f t="shared" si="4"/>
        <v>8</v>
      </c>
      <c r="I23" s="7">
        <f t="shared" si="1"/>
        <v>2023</v>
      </c>
      <c r="J23" s="18">
        <f t="shared" si="2"/>
        <v>20</v>
      </c>
      <c r="K23" s="18"/>
      <c r="L23" s="19" t="e">
        <f>VLOOKUP(I23,$F$7:$G$14,2,FALSE)*VLOOKUP(K23,'Échelle (référence seul.)'!$L$8:$O$82,4,FALSE)</f>
        <v>#N/A</v>
      </c>
    </row>
    <row r="24" spans="2:12" x14ac:dyDescent="0.25">
      <c r="B24" s="2">
        <f t="shared" si="4"/>
        <v>9</v>
      </c>
      <c r="I24" s="7">
        <f t="shared" si="1"/>
        <v>2023</v>
      </c>
      <c r="J24" s="18">
        <f t="shared" si="2"/>
        <v>21</v>
      </c>
      <c r="K24" s="18"/>
      <c r="L24" s="19" t="e">
        <f>VLOOKUP(I24,$F$7:$G$14,2,FALSE)*VLOOKUP(K24,'Échelle (référence seul.)'!$L$8:$O$82,4,FALSE)</f>
        <v>#N/A</v>
      </c>
    </row>
    <row r="25" spans="2:12" x14ac:dyDescent="0.25">
      <c r="B25" s="2">
        <f t="shared" si="4"/>
        <v>10</v>
      </c>
      <c r="I25" s="7">
        <f t="shared" si="1"/>
        <v>2023</v>
      </c>
      <c r="J25" s="18">
        <f t="shared" si="2"/>
        <v>22</v>
      </c>
      <c r="K25" s="18"/>
      <c r="L25" s="19" t="e">
        <f>VLOOKUP(I25,$F$7:$G$14,2,FALSE)*VLOOKUP(K25,'Échelle (référence seul.)'!$L$8:$O$82,4,FALSE)</f>
        <v>#N/A</v>
      </c>
    </row>
    <row r="26" spans="2:12" x14ac:dyDescent="0.25">
      <c r="B26" s="2">
        <f t="shared" si="4"/>
        <v>11</v>
      </c>
      <c r="I26" s="2"/>
    </row>
    <row r="27" spans="2:12" x14ac:dyDescent="0.25">
      <c r="B27" s="2">
        <f t="shared" si="4"/>
        <v>12</v>
      </c>
      <c r="I27" s="2" t="s">
        <v>75</v>
      </c>
      <c r="L27" s="24">
        <f>SUMIF(L7:L25,"&lt;&gt;#N/A")</f>
        <v>19419.573253999999</v>
      </c>
    </row>
    <row r="28" spans="2:12" x14ac:dyDescent="0.25">
      <c r="B28" s="2">
        <f t="shared" si="4"/>
        <v>13</v>
      </c>
    </row>
    <row r="29" spans="2:12" x14ac:dyDescent="0.25">
      <c r="B29" s="2">
        <f t="shared" si="4"/>
        <v>14</v>
      </c>
    </row>
    <row r="30" spans="2:12" x14ac:dyDescent="0.25">
      <c r="B30" s="2">
        <f t="shared" si="4"/>
        <v>15</v>
      </c>
    </row>
    <row r="31" spans="2:12" x14ac:dyDescent="0.25">
      <c r="B31" s="2">
        <f>B30+1</f>
        <v>16</v>
      </c>
    </row>
    <row r="32" spans="2:12" x14ac:dyDescent="0.25">
      <c r="B32" s="2">
        <f t="shared" si="4"/>
        <v>17</v>
      </c>
    </row>
    <row r="33" spans="2:2" x14ac:dyDescent="0.25">
      <c r="B33" s="2">
        <f t="shared" si="4"/>
        <v>18</v>
      </c>
    </row>
    <row r="34" spans="2:2" x14ac:dyDescent="0.25">
      <c r="B34" s="2" t="s">
        <v>51</v>
      </c>
    </row>
    <row r="35" spans="2:2" x14ac:dyDescent="0.25">
      <c r="B35" s="2"/>
    </row>
    <row r="36" spans="2:2" x14ac:dyDescent="0.25">
      <c r="B36" s="2"/>
    </row>
  </sheetData>
  <mergeCells count="3">
    <mergeCell ref="F5:G6"/>
    <mergeCell ref="F16:G16"/>
    <mergeCell ref="I5:L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6DAF1-656E-4B1D-8108-20494BBACE52}">
  <sheetPr codeName="Feuil2"/>
  <dimension ref="B2:R159"/>
  <sheetViews>
    <sheetView topLeftCell="A29" workbookViewId="0">
      <selection activeCell="I14" sqref="I7:I25"/>
    </sheetView>
  </sheetViews>
  <sheetFormatPr baseColWidth="10" defaultColWidth="11.42578125" defaultRowHeight="15" x14ac:dyDescent="0.25"/>
  <cols>
    <col min="3" max="3" width="13.5703125" bestFit="1" customWidth="1"/>
    <col min="4" max="6" width="12.7109375" bestFit="1" customWidth="1"/>
    <col min="7" max="10" width="12.7109375" customWidth="1"/>
  </cols>
  <sheetData>
    <row r="2" spans="2:18" ht="30" x14ac:dyDescent="0.25">
      <c r="C2" s="29" t="str">
        <f>"1er avril "&amp;C3-1&amp;" au 31 mars"</f>
        <v>1er avril 2015 au 31 mars</v>
      </c>
      <c r="D2" s="29" t="str">
        <f t="shared" ref="D2:J2" si="0">"1er avril "&amp;D3-1&amp;" au 31 mars"</f>
        <v>1er avril 2016 au 31 mars</v>
      </c>
      <c r="E2" s="29" t="str">
        <f t="shared" si="0"/>
        <v>1er avril 2017 au 31 mars</v>
      </c>
      <c r="F2" s="29" t="str">
        <f t="shared" si="0"/>
        <v>1er avril 2018 au 31 mars</v>
      </c>
      <c r="G2" s="29" t="str">
        <f t="shared" si="0"/>
        <v>1er avril 2019 au 31 mars</v>
      </c>
      <c r="H2" s="29" t="str">
        <f t="shared" si="0"/>
        <v>1er avril 2020 au 31 mars</v>
      </c>
      <c r="I2" s="29" t="str">
        <f t="shared" si="0"/>
        <v>1er avril 2021 au 31 mars</v>
      </c>
      <c r="J2" s="29" t="str">
        <f t="shared" si="0"/>
        <v>1er avril 2022 au 31 mars</v>
      </c>
    </row>
    <row r="3" spans="2:18" ht="28.15" customHeight="1" x14ac:dyDescent="0.25">
      <c r="B3" s="4" t="s">
        <v>23</v>
      </c>
      <c r="C3" s="13">
        <v>2016</v>
      </c>
      <c r="D3" s="13">
        <v>2017</v>
      </c>
      <c r="E3" s="13">
        <v>2018</v>
      </c>
      <c r="F3" s="13">
        <v>2019</v>
      </c>
      <c r="G3" s="13">
        <v>2020</v>
      </c>
      <c r="H3" s="13">
        <v>2021</v>
      </c>
      <c r="I3" s="13">
        <v>2022</v>
      </c>
      <c r="J3" s="13">
        <v>2023</v>
      </c>
    </row>
    <row r="4" spans="2:18" x14ac:dyDescent="0.25">
      <c r="B4" s="3">
        <v>1</v>
      </c>
      <c r="C4" s="23">
        <v>53843</v>
      </c>
      <c r="D4" s="5">
        <v>54651</v>
      </c>
      <c r="E4" s="5">
        <v>55607</v>
      </c>
      <c r="F4" s="5">
        <v>56719</v>
      </c>
      <c r="G4" s="5">
        <v>56719</v>
      </c>
      <c r="H4" s="5">
        <v>57853.38</v>
      </c>
      <c r="I4" s="5">
        <v>59010.4476</v>
      </c>
      <c r="J4" s="5">
        <v>60190.656552</v>
      </c>
    </row>
    <row r="5" spans="2:18" x14ac:dyDescent="0.25">
      <c r="B5" s="3">
        <v>2</v>
      </c>
      <c r="C5" s="23">
        <v>56110</v>
      </c>
      <c r="D5" s="5">
        <v>56952</v>
      </c>
      <c r="E5" s="5">
        <v>57949</v>
      </c>
      <c r="F5" s="5">
        <v>59108</v>
      </c>
      <c r="G5" s="5">
        <v>59108</v>
      </c>
      <c r="H5" s="5">
        <v>60290.16</v>
      </c>
      <c r="I5" s="5">
        <v>61495.963200000006</v>
      </c>
      <c r="J5" s="5">
        <v>62725.882464000009</v>
      </c>
    </row>
    <row r="6" spans="2:18" x14ac:dyDescent="0.25">
      <c r="B6" s="3">
        <v>3</v>
      </c>
      <c r="C6" s="23">
        <v>58471</v>
      </c>
      <c r="D6" s="5">
        <v>59348</v>
      </c>
      <c r="E6" s="5">
        <v>60387</v>
      </c>
      <c r="F6" s="5">
        <v>61595</v>
      </c>
      <c r="G6" s="5">
        <v>61595</v>
      </c>
      <c r="H6" s="5">
        <v>62826.9</v>
      </c>
      <c r="I6" s="5">
        <v>64083.438000000002</v>
      </c>
      <c r="J6" s="5">
        <v>65365.106760000002</v>
      </c>
    </row>
    <row r="7" spans="2:18" x14ac:dyDescent="0.25">
      <c r="B7" s="3">
        <v>4</v>
      </c>
      <c r="C7" s="23">
        <v>60933</v>
      </c>
      <c r="D7" s="5">
        <v>61847</v>
      </c>
      <c r="E7" s="5">
        <v>62929</v>
      </c>
      <c r="F7" s="5">
        <v>64188</v>
      </c>
      <c r="G7" s="5">
        <v>64188</v>
      </c>
      <c r="H7" s="5">
        <v>65471.76</v>
      </c>
      <c r="I7" s="5">
        <v>66781.195200000002</v>
      </c>
      <c r="J7" s="5">
        <v>68116.819103999995</v>
      </c>
      <c r="R7" t="s">
        <v>76</v>
      </c>
    </row>
    <row r="8" spans="2:18" x14ac:dyDescent="0.25">
      <c r="B8" s="3">
        <v>5</v>
      </c>
      <c r="C8" s="23">
        <v>63500</v>
      </c>
      <c r="D8" s="5">
        <v>64453</v>
      </c>
      <c r="E8" s="5">
        <v>65581</v>
      </c>
      <c r="F8" s="5">
        <v>66893</v>
      </c>
      <c r="G8" s="5">
        <v>66893</v>
      </c>
      <c r="H8" s="5">
        <v>68230.86</v>
      </c>
      <c r="I8" s="5">
        <v>69595.477199999994</v>
      </c>
      <c r="J8" s="5">
        <v>70987.386743999989</v>
      </c>
      <c r="L8" t="str">
        <f>M8&amp;N8</f>
        <v>20161</v>
      </c>
      <c r="M8" s="9">
        <v>2016</v>
      </c>
      <c r="N8">
        <v>1</v>
      </c>
      <c r="O8">
        <v>53843</v>
      </c>
    </row>
    <row r="9" spans="2:18" x14ac:dyDescent="0.25">
      <c r="B9" s="3">
        <v>6</v>
      </c>
      <c r="C9" s="23">
        <v>66174</v>
      </c>
      <c r="D9" s="5">
        <v>67167</v>
      </c>
      <c r="E9" s="5">
        <v>68342</v>
      </c>
      <c r="F9" s="5">
        <v>69709</v>
      </c>
      <c r="G9" s="5">
        <v>69709</v>
      </c>
      <c r="H9" s="5">
        <v>71103.179999999993</v>
      </c>
      <c r="I9" s="5">
        <v>72525.243599999987</v>
      </c>
      <c r="J9" s="5">
        <v>73975.748471999992</v>
      </c>
      <c r="L9" t="str">
        <f t="shared" ref="L9:L75" si="1">M9&amp;N9</f>
        <v>20162</v>
      </c>
      <c r="M9" s="9">
        <v>2016</v>
      </c>
      <c r="N9">
        <v>2</v>
      </c>
      <c r="O9">
        <v>56110</v>
      </c>
    </row>
    <row r="10" spans="2:18" x14ac:dyDescent="0.25">
      <c r="B10" s="3">
        <v>7</v>
      </c>
      <c r="C10" s="23">
        <v>68959</v>
      </c>
      <c r="D10" s="5">
        <v>69993</v>
      </c>
      <c r="E10" s="5">
        <v>71218</v>
      </c>
      <c r="F10" s="5">
        <v>72642</v>
      </c>
      <c r="G10" s="5">
        <v>72642</v>
      </c>
      <c r="H10" s="5">
        <v>74094.84</v>
      </c>
      <c r="I10" s="5">
        <v>75576.736799999999</v>
      </c>
      <c r="J10" s="5">
        <v>77088.271536</v>
      </c>
      <c r="L10" t="str">
        <f t="shared" si="1"/>
        <v>20163</v>
      </c>
      <c r="M10" s="9">
        <v>2016</v>
      </c>
      <c r="N10">
        <v>3</v>
      </c>
      <c r="O10">
        <v>58471</v>
      </c>
    </row>
    <row r="11" spans="2:18" x14ac:dyDescent="0.25">
      <c r="B11" s="3">
        <v>8</v>
      </c>
      <c r="C11" s="23">
        <v>71864</v>
      </c>
      <c r="D11" s="5">
        <v>72942</v>
      </c>
      <c r="E11" s="5">
        <v>74218</v>
      </c>
      <c r="F11" s="5">
        <v>75702</v>
      </c>
      <c r="G11" s="5">
        <v>75702</v>
      </c>
      <c r="H11" s="5">
        <v>77216.039999999994</v>
      </c>
      <c r="I11" s="5">
        <v>78760.360799999995</v>
      </c>
      <c r="J11" s="5">
        <v>80335.56801599999</v>
      </c>
      <c r="L11" t="str">
        <f t="shared" si="1"/>
        <v>20164</v>
      </c>
      <c r="M11" s="9">
        <v>2016</v>
      </c>
      <c r="N11">
        <v>4</v>
      </c>
      <c r="O11">
        <v>60933</v>
      </c>
    </row>
    <row r="12" spans="2:18" x14ac:dyDescent="0.25">
      <c r="B12" s="3">
        <v>9</v>
      </c>
      <c r="C12" s="23">
        <v>74888</v>
      </c>
      <c r="D12" s="5">
        <v>76011</v>
      </c>
      <c r="E12" s="5">
        <v>77341</v>
      </c>
      <c r="F12" s="5">
        <v>78888</v>
      </c>
      <c r="G12" s="5">
        <v>78888</v>
      </c>
      <c r="H12" s="5">
        <v>80465.759999999995</v>
      </c>
      <c r="I12" s="5">
        <v>82075.075199999992</v>
      </c>
      <c r="J12" s="5">
        <v>83716.576703999992</v>
      </c>
      <c r="L12" t="str">
        <f t="shared" si="1"/>
        <v>20165</v>
      </c>
      <c r="M12" s="9">
        <v>2016</v>
      </c>
      <c r="N12">
        <v>5</v>
      </c>
      <c r="O12">
        <v>63500</v>
      </c>
    </row>
    <row r="13" spans="2:18" x14ac:dyDescent="0.25">
      <c r="B13" s="3">
        <v>10</v>
      </c>
      <c r="C13" s="5">
        <v>78042</v>
      </c>
      <c r="D13" s="5">
        <v>79213</v>
      </c>
      <c r="E13" s="5">
        <v>80599</v>
      </c>
      <c r="F13" s="5">
        <v>82211</v>
      </c>
      <c r="G13" s="5">
        <v>82211</v>
      </c>
      <c r="H13" s="5">
        <v>83855.22</v>
      </c>
      <c r="I13" s="5">
        <v>85532.324399999998</v>
      </c>
      <c r="J13" s="5">
        <v>87242.970887999996</v>
      </c>
      <c r="L13" t="str">
        <f t="shared" si="1"/>
        <v>20166</v>
      </c>
      <c r="M13" s="9">
        <v>2016</v>
      </c>
      <c r="N13">
        <v>6</v>
      </c>
      <c r="O13">
        <v>66174</v>
      </c>
    </row>
    <row r="14" spans="2:18" x14ac:dyDescent="0.25">
      <c r="B14" s="3">
        <v>11</v>
      </c>
      <c r="C14" s="5">
        <v>81327</v>
      </c>
      <c r="D14" s="5">
        <v>82547</v>
      </c>
      <c r="E14" s="5">
        <v>83992</v>
      </c>
      <c r="F14" s="5">
        <v>85672</v>
      </c>
      <c r="G14" s="5">
        <v>85672</v>
      </c>
      <c r="H14" s="5">
        <v>87385.44</v>
      </c>
      <c r="I14" s="5">
        <v>89133.148799999995</v>
      </c>
      <c r="J14" s="5">
        <v>90915.811776000002</v>
      </c>
      <c r="L14" t="str">
        <f t="shared" si="1"/>
        <v>20167</v>
      </c>
      <c r="M14" s="9">
        <v>2016</v>
      </c>
      <c r="N14">
        <v>7</v>
      </c>
      <c r="O14">
        <v>68959</v>
      </c>
    </row>
    <row r="15" spans="2:18" x14ac:dyDescent="0.25">
      <c r="B15" s="3">
        <v>12</v>
      </c>
      <c r="C15" s="5">
        <v>84752</v>
      </c>
      <c r="D15" s="5">
        <v>86023</v>
      </c>
      <c r="E15" s="5">
        <v>87528</v>
      </c>
      <c r="F15" s="5">
        <v>89279</v>
      </c>
      <c r="G15" s="5">
        <v>89279</v>
      </c>
      <c r="H15" s="5">
        <v>91064.58</v>
      </c>
      <c r="I15" s="5">
        <v>92885.871599999999</v>
      </c>
      <c r="J15" s="5">
        <v>94743.589032000003</v>
      </c>
      <c r="L15" t="str">
        <f t="shared" si="1"/>
        <v>20168</v>
      </c>
      <c r="M15" s="9">
        <v>2016</v>
      </c>
      <c r="N15">
        <v>8</v>
      </c>
      <c r="O15">
        <v>71864</v>
      </c>
    </row>
    <row r="16" spans="2:18" x14ac:dyDescent="0.25">
      <c r="B16" s="3">
        <v>13</v>
      </c>
      <c r="C16" s="5">
        <v>88320</v>
      </c>
      <c r="D16" s="5">
        <v>89645</v>
      </c>
      <c r="E16" s="5">
        <v>91214</v>
      </c>
      <c r="F16" s="5">
        <v>93038</v>
      </c>
      <c r="G16" s="5">
        <v>93038</v>
      </c>
      <c r="H16" s="5">
        <v>94898.76</v>
      </c>
      <c r="I16" s="5">
        <v>96796.735199999996</v>
      </c>
      <c r="J16" s="5">
        <v>98732.669903999995</v>
      </c>
      <c r="L16" t="str">
        <f t="shared" si="1"/>
        <v>20169</v>
      </c>
      <c r="M16" s="9">
        <v>2016</v>
      </c>
      <c r="N16">
        <v>9</v>
      </c>
      <c r="O16">
        <v>74888</v>
      </c>
    </row>
    <row r="17" spans="2:15" x14ac:dyDescent="0.25">
      <c r="B17" s="3">
        <v>14</v>
      </c>
      <c r="C17" s="5">
        <v>92039</v>
      </c>
      <c r="D17" s="5">
        <v>93420</v>
      </c>
      <c r="E17" s="5">
        <v>95055</v>
      </c>
      <c r="F17" s="5">
        <v>96956</v>
      </c>
      <c r="G17" s="5">
        <v>96956</v>
      </c>
      <c r="H17" s="5">
        <v>98895.12</v>
      </c>
      <c r="I17" s="5">
        <v>100873.0224</v>
      </c>
      <c r="J17" s="5">
        <v>102890.482848</v>
      </c>
      <c r="L17" t="str">
        <f t="shared" si="1"/>
        <v>201610</v>
      </c>
      <c r="M17" s="9">
        <v>2016</v>
      </c>
      <c r="N17">
        <v>10</v>
      </c>
      <c r="O17">
        <v>78042</v>
      </c>
    </row>
    <row r="18" spans="2:15" x14ac:dyDescent="0.25">
      <c r="B18" s="3">
        <v>15</v>
      </c>
      <c r="C18" s="5">
        <v>95914</v>
      </c>
      <c r="D18" s="5">
        <v>97353</v>
      </c>
      <c r="E18" s="5">
        <v>99057</v>
      </c>
      <c r="F18" s="5">
        <v>101038</v>
      </c>
      <c r="G18" s="5">
        <v>101038</v>
      </c>
      <c r="H18" s="5">
        <v>103058.76</v>
      </c>
      <c r="I18" s="5">
        <v>105119.93519999999</v>
      </c>
      <c r="J18" s="5">
        <v>107222.333904</v>
      </c>
      <c r="L18" t="str">
        <f t="shared" si="1"/>
        <v>201611</v>
      </c>
      <c r="M18" s="9">
        <v>2016</v>
      </c>
      <c r="N18">
        <v>11</v>
      </c>
      <c r="O18">
        <v>81327</v>
      </c>
    </row>
    <row r="19" spans="2:15" x14ac:dyDescent="0.25">
      <c r="B19" s="3">
        <v>16</v>
      </c>
      <c r="C19" s="5">
        <v>99952</v>
      </c>
      <c r="D19" s="5">
        <v>101451</v>
      </c>
      <c r="E19" s="5">
        <v>103226</v>
      </c>
      <c r="F19" s="5">
        <v>105291</v>
      </c>
      <c r="G19" s="5">
        <v>105291</v>
      </c>
      <c r="H19" s="5">
        <v>107396.82</v>
      </c>
      <c r="I19" s="5">
        <v>109544.75640000001</v>
      </c>
      <c r="J19" s="5">
        <v>111735.65152800002</v>
      </c>
      <c r="L19" t="str">
        <f t="shared" si="1"/>
        <v>201612</v>
      </c>
      <c r="M19" s="9">
        <v>2016</v>
      </c>
      <c r="N19">
        <v>12</v>
      </c>
      <c r="O19">
        <v>84752</v>
      </c>
    </row>
    <row r="20" spans="2:15" x14ac:dyDescent="0.25">
      <c r="B20" s="3">
        <v>17</v>
      </c>
      <c r="C20" s="5">
        <v>104159</v>
      </c>
      <c r="D20" s="5">
        <v>105721</v>
      </c>
      <c r="E20" s="5">
        <v>107571</v>
      </c>
      <c r="F20" s="5">
        <v>109722</v>
      </c>
      <c r="G20" s="5">
        <v>109722</v>
      </c>
      <c r="H20" s="5">
        <v>111916.44</v>
      </c>
      <c r="I20" s="5">
        <v>114154.76880000001</v>
      </c>
      <c r="J20" s="5">
        <v>116437.864176</v>
      </c>
      <c r="L20" t="str">
        <f t="shared" si="1"/>
        <v>201613</v>
      </c>
      <c r="M20" s="9">
        <v>2016</v>
      </c>
      <c r="N20">
        <v>13</v>
      </c>
      <c r="O20">
        <v>88320</v>
      </c>
    </row>
    <row r="21" spans="2:15" x14ac:dyDescent="0.25">
      <c r="B21" s="3">
        <v>18</v>
      </c>
      <c r="C21" s="5">
        <v>108546</v>
      </c>
      <c r="D21" s="5">
        <v>110174</v>
      </c>
      <c r="E21" s="5">
        <v>112102</v>
      </c>
      <c r="F21" s="5">
        <v>114344</v>
      </c>
      <c r="G21" s="5">
        <v>114344</v>
      </c>
      <c r="H21" s="5">
        <v>116630.88</v>
      </c>
      <c r="I21" s="5">
        <v>118963.4976</v>
      </c>
      <c r="J21" s="5">
        <v>121342.767552</v>
      </c>
      <c r="L21" t="str">
        <f t="shared" si="1"/>
        <v>201614</v>
      </c>
      <c r="M21" s="9">
        <v>2016</v>
      </c>
      <c r="N21">
        <v>14</v>
      </c>
      <c r="O21">
        <v>92039</v>
      </c>
    </row>
    <row r="22" spans="2:15" x14ac:dyDescent="0.25">
      <c r="B22" s="3" t="s">
        <v>51</v>
      </c>
      <c r="C22" s="5">
        <v>124827.9</v>
      </c>
      <c r="D22" s="5">
        <v>126700.09999999999</v>
      </c>
      <c r="E22" s="5">
        <v>128917.29999999999</v>
      </c>
      <c r="F22" s="5">
        <v>131495.59999999998</v>
      </c>
      <c r="G22" s="5">
        <v>131495.59999999998</v>
      </c>
      <c r="H22" s="5">
        <v>134125.51199999999</v>
      </c>
      <c r="I22" s="5">
        <v>136808.02223999999</v>
      </c>
      <c r="J22" s="5">
        <v>139544.18268480001</v>
      </c>
      <c r="L22" t="str">
        <f t="shared" si="1"/>
        <v>201615</v>
      </c>
      <c r="M22" s="9">
        <v>2016</v>
      </c>
      <c r="N22">
        <v>15</v>
      </c>
      <c r="O22">
        <v>95914</v>
      </c>
    </row>
    <row r="23" spans="2:15" x14ac:dyDescent="0.25">
      <c r="L23" t="str">
        <f t="shared" si="1"/>
        <v>201616</v>
      </c>
      <c r="M23" s="9">
        <v>2016</v>
      </c>
      <c r="N23">
        <v>16</v>
      </c>
      <c r="O23">
        <v>99952</v>
      </c>
    </row>
    <row r="24" spans="2:15" x14ac:dyDescent="0.25">
      <c r="L24" t="str">
        <f t="shared" si="1"/>
        <v>201617</v>
      </c>
      <c r="M24" s="9">
        <v>2016</v>
      </c>
      <c r="N24">
        <v>17</v>
      </c>
      <c r="O24">
        <v>104159</v>
      </c>
    </row>
    <row r="25" spans="2:15" x14ac:dyDescent="0.25">
      <c r="L25" t="str">
        <f t="shared" si="1"/>
        <v>201618</v>
      </c>
      <c r="M25" s="9">
        <v>2016</v>
      </c>
      <c r="N25">
        <v>18</v>
      </c>
      <c r="O25">
        <v>108546</v>
      </c>
    </row>
    <row r="26" spans="2:15" x14ac:dyDescent="0.25">
      <c r="L26" t="str">
        <f t="shared" si="1"/>
        <v>201618E</v>
      </c>
      <c r="M26" s="9">
        <v>2016</v>
      </c>
      <c r="N26" s="20" t="s">
        <v>51</v>
      </c>
      <c r="O26" s="21">
        <v>124827.9</v>
      </c>
    </row>
    <row r="27" spans="2:15" x14ac:dyDescent="0.25">
      <c r="L27" t="str">
        <f t="shared" si="1"/>
        <v>20171</v>
      </c>
      <c r="M27" s="9">
        <v>2017</v>
      </c>
      <c r="N27">
        <v>1</v>
      </c>
      <c r="O27">
        <v>54651</v>
      </c>
    </row>
    <row r="28" spans="2:15" x14ac:dyDescent="0.25">
      <c r="L28" t="str">
        <f t="shared" si="1"/>
        <v>20172</v>
      </c>
      <c r="M28" s="9">
        <v>2017</v>
      </c>
      <c r="N28">
        <v>2</v>
      </c>
      <c r="O28">
        <v>56952</v>
      </c>
    </row>
    <row r="29" spans="2:15" x14ac:dyDescent="0.25">
      <c r="L29" t="str">
        <f t="shared" si="1"/>
        <v>20173</v>
      </c>
      <c r="M29" s="9">
        <v>2017</v>
      </c>
      <c r="N29">
        <v>3</v>
      </c>
      <c r="O29">
        <v>59348</v>
      </c>
    </row>
    <row r="30" spans="2:15" x14ac:dyDescent="0.25">
      <c r="C30" t="s">
        <v>77</v>
      </c>
      <c r="L30" t="str">
        <f t="shared" si="1"/>
        <v>20174</v>
      </c>
      <c r="M30" s="9">
        <v>2017</v>
      </c>
      <c r="N30">
        <v>4</v>
      </c>
      <c r="O30">
        <v>61847</v>
      </c>
    </row>
    <row r="31" spans="2:15" x14ac:dyDescent="0.25">
      <c r="C31" s="1" t="s">
        <v>78</v>
      </c>
      <c r="L31" t="str">
        <f t="shared" si="1"/>
        <v>20175</v>
      </c>
      <c r="M31" s="9">
        <v>2017</v>
      </c>
      <c r="N31">
        <v>5</v>
      </c>
      <c r="O31">
        <v>64453</v>
      </c>
    </row>
    <row r="32" spans="2:15" x14ac:dyDescent="0.25">
      <c r="C32" t="s">
        <v>79</v>
      </c>
      <c r="L32" t="str">
        <f t="shared" si="1"/>
        <v>20176</v>
      </c>
      <c r="M32" s="9">
        <v>2017</v>
      </c>
      <c r="N32">
        <v>6</v>
      </c>
      <c r="O32">
        <v>67167</v>
      </c>
    </row>
    <row r="33" spans="3:15" x14ac:dyDescent="0.25">
      <c r="C33" t="s">
        <v>80</v>
      </c>
      <c r="L33" t="str">
        <f t="shared" si="1"/>
        <v>20177</v>
      </c>
      <c r="M33" s="9">
        <v>2017</v>
      </c>
      <c r="N33">
        <v>7</v>
      </c>
      <c r="O33">
        <v>69993</v>
      </c>
    </row>
    <row r="34" spans="3:15" x14ac:dyDescent="0.25">
      <c r="C34" t="s">
        <v>81</v>
      </c>
      <c r="L34" t="str">
        <f t="shared" si="1"/>
        <v>20178</v>
      </c>
      <c r="M34" s="9">
        <v>2017</v>
      </c>
      <c r="N34">
        <v>8</v>
      </c>
      <c r="O34">
        <v>72942</v>
      </c>
    </row>
    <row r="35" spans="3:15" x14ac:dyDescent="0.25">
      <c r="C35" t="s">
        <v>82</v>
      </c>
      <c r="L35" t="str">
        <f t="shared" si="1"/>
        <v>20179</v>
      </c>
      <c r="M35" s="9">
        <v>2017</v>
      </c>
      <c r="N35">
        <v>9</v>
      </c>
      <c r="O35">
        <v>76011</v>
      </c>
    </row>
    <row r="36" spans="3:15" x14ac:dyDescent="0.25">
      <c r="C36" t="s">
        <v>83</v>
      </c>
      <c r="L36" t="str">
        <f t="shared" si="1"/>
        <v>201710</v>
      </c>
      <c r="M36" s="9">
        <v>2017</v>
      </c>
      <c r="N36">
        <v>10</v>
      </c>
      <c r="O36">
        <v>79213</v>
      </c>
    </row>
    <row r="37" spans="3:15" x14ac:dyDescent="0.25">
      <c r="C37" t="s">
        <v>84</v>
      </c>
      <c r="L37" t="str">
        <f t="shared" si="1"/>
        <v>201711</v>
      </c>
      <c r="M37" s="9">
        <v>2017</v>
      </c>
      <c r="N37">
        <v>11</v>
      </c>
      <c r="O37">
        <v>82547</v>
      </c>
    </row>
    <row r="38" spans="3:15" x14ac:dyDescent="0.25">
      <c r="L38" t="str">
        <f t="shared" si="1"/>
        <v>201712</v>
      </c>
      <c r="M38" s="9">
        <v>2017</v>
      </c>
      <c r="N38">
        <v>12</v>
      </c>
      <c r="O38">
        <v>86023</v>
      </c>
    </row>
    <row r="39" spans="3:15" x14ac:dyDescent="0.25">
      <c r="L39" t="str">
        <f t="shared" si="1"/>
        <v>201713</v>
      </c>
      <c r="M39" s="9">
        <v>2017</v>
      </c>
      <c r="N39">
        <v>13</v>
      </c>
      <c r="O39">
        <v>89645</v>
      </c>
    </row>
    <row r="40" spans="3:15" x14ac:dyDescent="0.25">
      <c r="L40" t="str">
        <f t="shared" si="1"/>
        <v>201714</v>
      </c>
      <c r="M40" s="9">
        <v>2017</v>
      </c>
      <c r="N40">
        <v>14</v>
      </c>
      <c r="O40">
        <v>93420</v>
      </c>
    </row>
    <row r="41" spans="3:15" x14ac:dyDescent="0.25">
      <c r="L41" t="str">
        <f t="shared" si="1"/>
        <v>201715</v>
      </c>
      <c r="M41" s="9">
        <v>2017</v>
      </c>
      <c r="N41">
        <v>15</v>
      </c>
      <c r="O41">
        <v>97353</v>
      </c>
    </row>
    <row r="42" spans="3:15" x14ac:dyDescent="0.25">
      <c r="L42" t="str">
        <f t="shared" si="1"/>
        <v>201716</v>
      </c>
      <c r="M42" s="9">
        <v>2017</v>
      </c>
      <c r="N42">
        <v>16</v>
      </c>
      <c r="O42">
        <v>101451</v>
      </c>
    </row>
    <row r="43" spans="3:15" x14ac:dyDescent="0.25">
      <c r="L43" t="str">
        <f t="shared" si="1"/>
        <v>201717</v>
      </c>
      <c r="M43" s="9">
        <v>2017</v>
      </c>
      <c r="N43">
        <v>17</v>
      </c>
      <c r="O43">
        <v>105721</v>
      </c>
    </row>
    <row r="44" spans="3:15" x14ac:dyDescent="0.25">
      <c r="L44" t="str">
        <f t="shared" si="1"/>
        <v>201718</v>
      </c>
      <c r="M44" s="9">
        <v>2017</v>
      </c>
      <c r="N44">
        <v>18</v>
      </c>
      <c r="O44">
        <v>110174</v>
      </c>
    </row>
    <row r="45" spans="3:15" x14ac:dyDescent="0.25">
      <c r="L45" t="str">
        <f t="shared" si="1"/>
        <v>201718E</v>
      </c>
      <c r="M45" s="9">
        <v>2017</v>
      </c>
      <c r="N45" s="20" t="s">
        <v>51</v>
      </c>
      <c r="O45" s="21">
        <v>126700.09999999999</v>
      </c>
    </row>
    <row r="46" spans="3:15" x14ac:dyDescent="0.25">
      <c r="L46" t="str">
        <f t="shared" si="1"/>
        <v>20181</v>
      </c>
      <c r="M46" s="9">
        <v>2018</v>
      </c>
      <c r="N46">
        <v>1</v>
      </c>
      <c r="O46">
        <v>55607</v>
      </c>
    </row>
    <row r="47" spans="3:15" x14ac:dyDescent="0.25">
      <c r="L47" t="str">
        <f t="shared" si="1"/>
        <v>20182</v>
      </c>
      <c r="M47" s="9">
        <v>2018</v>
      </c>
      <c r="N47">
        <v>2</v>
      </c>
      <c r="O47">
        <v>57949</v>
      </c>
    </row>
    <row r="48" spans="3:15" x14ac:dyDescent="0.25">
      <c r="L48" t="str">
        <f t="shared" si="1"/>
        <v>20183</v>
      </c>
      <c r="M48" s="9">
        <v>2018</v>
      </c>
      <c r="N48">
        <v>3</v>
      </c>
      <c r="O48">
        <v>60387</v>
      </c>
    </row>
    <row r="49" spans="12:15" x14ac:dyDescent="0.25">
      <c r="L49" t="str">
        <f t="shared" si="1"/>
        <v>20184</v>
      </c>
      <c r="M49" s="9">
        <v>2018</v>
      </c>
      <c r="N49">
        <v>4</v>
      </c>
      <c r="O49">
        <v>62929</v>
      </c>
    </row>
    <row r="50" spans="12:15" x14ac:dyDescent="0.25">
      <c r="L50" t="str">
        <f t="shared" si="1"/>
        <v>20185</v>
      </c>
      <c r="M50" s="9">
        <v>2018</v>
      </c>
      <c r="N50">
        <v>5</v>
      </c>
      <c r="O50">
        <v>65581</v>
      </c>
    </row>
    <row r="51" spans="12:15" x14ac:dyDescent="0.25">
      <c r="L51" t="str">
        <f t="shared" si="1"/>
        <v>20186</v>
      </c>
      <c r="M51" s="9">
        <v>2018</v>
      </c>
      <c r="N51">
        <v>6</v>
      </c>
      <c r="O51">
        <v>68342</v>
      </c>
    </row>
    <row r="52" spans="12:15" x14ac:dyDescent="0.25">
      <c r="L52" t="str">
        <f t="shared" si="1"/>
        <v>20187</v>
      </c>
      <c r="M52" s="9">
        <v>2018</v>
      </c>
      <c r="N52">
        <v>7</v>
      </c>
      <c r="O52">
        <v>71218</v>
      </c>
    </row>
    <row r="53" spans="12:15" x14ac:dyDescent="0.25">
      <c r="L53" t="str">
        <f t="shared" si="1"/>
        <v>20188</v>
      </c>
      <c r="M53" s="9">
        <v>2018</v>
      </c>
      <c r="N53">
        <v>8</v>
      </c>
      <c r="O53">
        <v>74218</v>
      </c>
    </row>
    <row r="54" spans="12:15" x14ac:dyDescent="0.25">
      <c r="L54" t="str">
        <f t="shared" si="1"/>
        <v>20189</v>
      </c>
      <c r="M54" s="9">
        <v>2018</v>
      </c>
      <c r="N54">
        <v>9</v>
      </c>
      <c r="O54">
        <v>77341</v>
      </c>
    </row>
    <row r="55" spans="12:15" x14ac:dyDescent="0.25">
      <c r="L55" t="str">
        <f t="shared" si="1"/>
        <v>201810</v>
      </c>
      <c r="M55" s="9">
        <v>2018</v>
      </c>
      <c r="N55">
        <v>10</v>
      </c>
      <c r="O55">
        <v>80599</v>
      </c>
    </row>
    <row r="56" spans="12:15" x14ac:dyDescent="0.25">
      <c r="L56" t="str">
        <f t="shared" si="1"/>
        <v>201811</v>
      </c>
      <c r="M56" s="9">
        <v>2018</v>
      </c>
      <c r="N56">
        <v>11</v>
      </c>
      <c r="O56">
        <v>83992</v>
      </c>
    </row>
    <row r="57" spans="12:15" x14ac:dyDescent="0.25">
      <c r="L57" t="str">
        <f t="shared" si="1"/>
        <v>201812</v>
      </c>
      <c r="M57" s="9">
        <v>2018</v>
      </c>
      <c r="N57">
        <v>12</v>
      </c>
      <c r="O57">
        <v>87528</v>
      </c>
    </row>
    <row r="58" spans="12:15" x14ac:dyDescent="0.25">
      <c r="L58" t="str">
        <f t="shared" si="1"/>
        <v>201813</v>
      </c>
      <c r="M58" s="9">
        <v>2018</v>
      </c>
      <c r="N58">
        <v>13</v>
      </c>
      <c r="O58">
        <v>91214</v>
      </c>
    </row>
    <row r="59" spans="12:15" x14ac:dyDescent="0.25">
      <c r="L59" t="str">
        <f t="shared" si="1"/>
        <v>201814</v>
      </c>
      <c r="M59" s="9">
        <v>2018</v>
      </c>
      <c r="N59">
        <v>14</v>
      </c>
      <c r="O59">
        <v>95055</v>
      </c>
    </row>
    <row r="60" spans="12:15" x14ac:dyDescent="0.25">
      <c r="L60" t="str">
        <f t="shared" si="1"/>
        <v>201815</v>
      </c>
      <c r="M60" s="9">
        <v>2018</v>
      </c>
      <c r="N60">
        <v>15</v>
      </c>
      <c r="O60">
        <v>99057</v>
      </c>
    </row>
    <row r="61" spans="12:15" x14ac:dyDescent="0.25">
      <c r="L61" t="str">
        <f t="shared" si="1"/>
        <v>201816</v>
      </c>
      <c r="M61" s="9">
        <v>2018</v>
      </c>
      <c r="N61">
        <v>16</v>
      </c>
      <c r="O61">
        <v>103226</v>
      </c>
    </row>
    <row r="62" spans="12:15" x14ac:dyDescent="0.25">
      <c r="L62" t="str">
        <f t="shared" si="1"/>
        <v>201817</v>
      </c>
      <c r="M62" s="9">
        <v>2018</v>
      </c>
      <c r="N62">
        <v>17</v>
      </c>
      <c r="O62">
        <v>107571</v>
      </c>
    </row>
    <row r="63" spans="12:15" x14ac:dyDescent="0.25">
      <c r="L63" t="str">
        <f t="shared" si="1"/>
        <v>201818</v>
      </c>
      <c r="M63" s="9">
        <v>2018</v>
      </c>
      <c r="N63">
        <v>18</v>
      </c>
      <c r="O63">
        <v>112102</v>
      </c>
    </row>
    <row r="64" spans="12:15" x14ac:dyDescent="0.25">
      <c r="L64" t="str">
        <f t="shared" si="1"/>
        <v>201818E</v>
      </c>
      <c r="M64" s="9">
        <v>2018</v>
      </c>
      <c r="N64" s="20" t="s">
        <v>51</v>
      </c>
      <c r="O64" s="21">
        <v>128917.29999999999</v>
      </c>
    </row>
    <row r="65" spans="12:15" x14ac:dyDescent="0.25">
      <c r="L65" t="str">
        <f t="shared" si="1"/>
        <v>20191</v>
      </c>
      <c r="M65" s="9">
        <v>2019</v>
      </c>
      <c r="N65">
        <v>1</v>
      </c>
      <c r="O65">
        <v>56719</v>
      </c>
    </row>
    <row r="66" spans="12:15" x14ac:dyDescent="0.25">
      <c r="L66" t="str">
        <f t="shared" si="1"/>
        <v>20192</v>
      </c>
      <c r="M66" s="9">
        <v>2019</v>
      </c>
      <c r="N66">
        <v>2</v>
      </c>
      <c r="O66">
        <v>59108</v>
      </c>
    </row>
    <row r="67" spans="12:15" x14ac:dyDescent="0.25">
      <c r="L67" t="str">
        <f t="shared" si="1"/>
        <v>20193</v>
      </c>
      <c r="M67" s="9">
        <v>2019</v>
      </c>
      <c r="N67">
        <v>3</v>
      </c>
      <c r="O67">
        <v>61595</v>
      </c>
    </row>
    <row r="68" spans="12:15" x14ac:dyDescent="0.25">
      <c r="L68" t="str">
        <f t="shared" si="1"/>
        <v>20194</v>
      </c>
      <c r="M68" s="9">
        <v>2019</v>
      </c>
      <c r="N68">
        <v>4</v>
      </c>
      <c r="O68">
        <v>64188</v>
      </c>
    </row>
    <row r="69" spans="12:15" x14ac:dyDescent="0.25">
      <c r="L69" t="str">
        <f t="shared" si="1"/>
        <v>20195</v>
      </c>
      <c r="M69" s="9">
        <v>2019</v>
      </c>
      <c r="N69">
        <v>5</v>
      </c>
      <c r="O69">
        <v>66893</v>
      </c>
    </row>
    <row r="70" spans="12:15" x14ac:dyDescent="0.25">
      <c r="L70" t="str">
        <f t="shared" si="1"/>
        <v>20196</v>
      </c>
      <c r="M70" s="9">
        <v>2019</v>
      </c>
      <c r="N70">
        <v>6</v>
      </c>
      <c r="O70">
        <v>69709</v>
      </c>
    </row>
    <row r="71" spans="12:15" x14ac:dyDescent="0.25">
      <c r="L71" t="str">
        <f t="shared" si="1"/>
        <v>20197</v>
      </c>
      <c r="M71" s="9">
        <v>2019</v>
      </c>
      <c r="N71">
        <v>7</v>
      </c>
      <c r="O71">
        <v>72642</v>
      </c>
    </row>
    <row r="72" spans="12:15" x14ac:dyDescent="0.25">
      <c r="L72" t="str">
        <f t="shared" si="1"/>
        <v>20198</v>
      </c>
      <c r="M72" s="9">
        <v>2019</v>
      </c>
      <c r="N72">
        <v>8</v>
      </c>
      <c r="O72">
        <v>75702</v>
      </c>
    </row>
    <row r="73" spans="12:15" x14ac:dyDescent="0.25">
      <c r="L73" t="str">
        <f t="shared" si="1"/>
        <v>20199</v>
      </c>
      <c r="M73" s="9">
        <v>2019</v>
      </c>
      <c r="N73">
        <v>9</v>
      </c>
      <c r="O73">
        <v>78888</v>
      </c>
    </row>
    <row r="74" spans="12:15" x14ac:dyDescent="0.25">
      <c r="L74" t="str">
        <f t="shared" si="1"/>
        <v>201910</v>
      </c>
      <c r="M74" s="9">
        <v>2019</v>
      </c>
      <c r="N74">
        <v>10</v>
      </c>
      <c r="O74">
        <v>82211</v>
      </c>
    </row>
    <row r="75" spans="12:15" x14ac:dyDescent="0.25">
      <c r="L75" t="str">
        <f t="shared" si="1"/>
        <v>201911</v>
      </c>
      <c r="M75" s="9">
        <v>2019</v>
      </c>
      <c r="N75">
        <v>11</v>
      </c>
      <c r="O75">
        <v>85672</v>
      </c>
    </row>
    <row r="76" spans="12:15" x14ac:dyDescent="0.25">
      <c r="L76" t="str">
        <f t="shared" ref="L76:L139" si="2">M76&amp;N76</f>
        <v>201912</v>
      </c>
      <c r="M76" s="9">
        <v>2019</v>
      </c>
      <c r="N76">
        <v>12</v>
      </c>
      <c r="O76">
        <v>89279</v>
      </c>
    </row>
    <row r="77" spans="12:15" x14ac:dyDescent="0.25">
      <c r="L77" t="str">
        <f t="shared" si="2"/>
        <v>201913</v>
      </c>
      <c r="M77" s="9">
        <v>2019</v>
      </c>
      <c r="N77">
        <v>13</v>
      </c>
      <c r="O77">
        <v>93038</v>
      </c>
    </row>
    <row r="78" spans="12:15" x14ac:dyDescent="0.25">
      <c r="L78" t="str">
        <f t="shared" si="2"/>
        <v>201914</v>
      </c>
      <c r="M78" s="9">
        <v>2019</v>
      </c>
      <c r="N78">
        <v>14</v>
      </c>
      <c r="O78">
        <v>96956</v>
      </c>
    </row>
    <row r="79" spans="12:15" x14ac:dyDescent="0.25">
      <c r="L79" t="str">
        <f t="shared" si="2"/>
        <v>201915</v>
      </c>
      <c r="M79" s="9">
        <v>2019</v>
      </c>
      <c r="N79">
        <v>15</v>
      </c>
      <c r="O79">
        <v>101038</v>
      </c>
    </row>
    <row r="80" spans="12:15" x14ac:dyDescent="0.25">
      <c r="L80" t="str">
        <f t="shared" si="2"/>
        <v>201916</v>
      </c>
      <c r="M80" s="9">
        <v>2019</v>
      </c>
      <c r="N80">
        <v>16</v>
      </c>
      <c r="O80">
        <v>105291</v>
      </c>
    </row>
    <row r="81" spans="12:15" x14ac:dyDescent="0.25">
      <c r="L81" t="str">
        <f t="shared" si="2"/>
        <v>201917</v>
      </c>
      <c r="M81" s="9">
        <v>2019</v>
      </c>
      <c r="N81">
        <v>17</v>
      </c>
      <c r="O81">
        <v>109722</v>
      </c>
    </row>
    <row r="82" spans="12:15" x14ac:dyDescent="0.25">
      <c r="L82" t="str">
        <f t="shared" si="2"/>
        <v>201918</v>
      </c>
      <c r="M82" s="9">
        <v>2019</v>
      </c>
      <c r="N82">
        <v>18</v>
      </c>
      <c r="O82">
        <v>114344</v>
      </c>
    </row>
    <row r="83" spans="12:15" x14ac:dyDescent="0.25">
      <c r="L83" t="str">
        <f t="shared" si="2"/>
        <v>201918E</v>
      </c>
      <c r="M83" s="9">
        <v>2019</v>
      </c>
      <c r="N83" s="20" t="s">
        <v>51</v>
      </c>
      <c r="O83" s="21">
        <v>131495.59999999998</v>
      </c>
    </row>
    <row r="84" spans="12:15" x14ac:dyDescent="0.25">
      <c r="L84" t="str">
        <f t="shared" si="2"/>
        <v>20201</v>
      </c>
      <c r="M84" s="9">
        <v>2020</v>
      </c>
      <c r="N84">
        <v>1</v>
      </c>
      <c r="O84">
        <v>56719</v>
      </c>
    </row>
    <row r="85" spans="12:15" x14ac:dyDescent="0.25">
      <c r="L85" t="str">
        <f t="shared" si="2"/>
        <v>20202</v>
      </c>
      <c r="M85" s="9">
        <v>2020</v>
      </c>
      <c r="N85">
        <v>2</v>
      </c>
      <c r="O85">
        <v>59108</v>
      </c>
    </row>
    <row r="86" spans="12:15" x14ac:dyDescent="0.25">
      <c r="L86" t="str">
        <f t="shared" si="2"/>
        <v>20203</v>
      </c>
      <c r="M86" s="9">
        <v>2020</v>
      </c>
      <c r="N86">
        <v>3</v>
      </c>
      <c r="O86">
        <v>61595</v>
      </c>
    </row>
    <row r="87" spans="12:15" x14ac:dyDescent="0.25">
      <c r="L87" t="str">
        <f t="shared" si="2"/>
        <v>20204</v>
      </c>
      <c r="M87" s="9">
        <v>2020</v>
      </c>
      <c r="N87">
        <v>4</v>
      </c>
      <c r="O87">
        <v>64188</v>
      </c>
    </row>
    <row r="88" spans="12:15" x14ac:dyDescent="0.25">
      <c r="L88" t="str">
        <f t="shared" si="2"/>
        <v>20205</v>
      </c>
      <c r="M88" s="9">
        <v>2020</v>
      </c>
      <c r="N88">
        <v>5</v>
      </c>
      <c r="O88">
        <v>66893</v>
      </c>
    </row>
    <row r="89" spans="12:15" x14ac:dyDescent="0.25">
      <c r="L89" t="str">
        <f t="shared" si="2"/>
        <v>20206</v>
      </c>
      <c r="M89" s="9">
        <v>2020</v>
      </c>
      <c r="N89">
        <v>6</v>
      </c>
      <c r="O89">
        <v>69709</v>
      </c>
    </row>
    <row r="90" spans="12:15" x14ac:dyDescent="0.25">
      <c r="L90" t="str">
        <f t="shared" si="2"/>
        <v>20207</v>
      </c>
      <c r="M90" s="9">
        <v>2020</v>
      </c>
      <c r="N90">
        <v>7</v>
      </c>
      <c r="O90">
        <v>72642</v>
      </c>
    </row>
    <row r="91" spans="12:15" x14ac:dyDescent="0.25">
      <c r="L91" t="str">
        <f t="shared" si="2"/>
        <v>20208</v>
      </c>
      <c r="M91" s="9">
        <v>2020</v>
      </c>
      <c r="N91">
        <v>8</v>
      </c>
      <c r="O91">
        <v>75702</v>
      </c>
    </row>
    <row r="92" spans="12:15" x14ac:dyDescent="0.25">
      <c r="L92" t="str">
        <f t="shared" si="2"/>
        <v>20209</v>
      </c>
      <c r="M92" s="9">
        <v>2020</v>
      </c>
      <c r="N92">
        <v>9</v>
      </c>
      <c r="O92">
        <v>78888</v>
      </c>
    </row>
    <row r="93" spans="12:15" x14ac:dyDescent="0.25">
      <c r="L93" t="str">
        <f t="shared" si="2"/>
        <v>202010</v>
      </c>
      <c r="M93" s="9">
        <v>2020</v>
      </c>
      <c r="N93">
        <v>10</v>
      </c>
      <c r="O93">
        <v>82211</v>
      </c>
    </row>
    <row r="94" spans="12:15" x14ac:dyDescent="0.25">
      <c r="L94" t="str">
        <f t="shared" si="2"/>
        <v>202011</v>
      </c>
      <c r="M94" s="9">
        <v>2020</v>
      </c>
      <c r="N94">
        <v>11</v>
      </c>
      <c r="O94">
        <v>85672</v>
      </c>
    </row>
    <row r="95" spans="12:15" x14ac:dyDescent="0.25">
      <c r="L95" t="str">
        <f t="shared" si="2"/>
        <v>202012</v>
      </c>
      <c r="M95" s="9">
        <v>2020</v>
      </c>
      <c r="N95">
        <v>12</v>
      </c>
      <c r="O95">
        <v>89279</v>
      </c>
    </row>
    <row r="96" spans="12:15" x14ac:dyDescent="0.25">
      <c r="L96" t="str">
        <f t="shared" si="2"/>
        <v>202013</v>
      </c>
      <c r="M96" s="9">
        <v>2020</v>
      </c>
      <c r="N96">
        <v>13</v>
      </c>
      <c r="O96">
        <v>93038</v>
      </c>
    </row>
    <row r="97" spans="12:15" x14ac:dyDescent="0.25">
      <c r="L97" t="str">
        <f t="shared" si="2"/>
        <v>202014</v>
      </c>
      <c r="M97" s="9">
        <v>2020</v>
      </c>
      <c r="N97">
        <v>14</v>
      </c>
      <c r="O97">
        <v>96956</v>
      </c>
    </row>
    <row r="98" spans="12:15" x14ac:dyDescent="0.25">
      <c r="L98" t="str">
        <f t="shared" si="2"/>
        <v>202015</v>
      </c>
      <c r="M98" s="9">
        <v>2020</v>
      </c>
      <c r="N98">
        <v>15</v>
      </c>
      <c r="O98">
        <v>101038</v>
      </c>
    </row>
    <row r="99" spans="12:15" x14ac:dyDescent="0.25">
      <c r="L99" t="str">
        <f t="shared" si="2"/>
        <v>202016</v>
      </c>
      <c r="M99" s="9">
        <v>2020</v>
      </c>
      <c r="N99">
        <v>16</v>
      </c>
      <c r="O99">
        <v>105291</v>
      </c>
    </row>
    <row r="100" spans="12:15" x14ac:dyDescent="0.25">
      <c r="L100" t="str">
        <f t="shared" si="2"/>
        <v>202017</v>
      </c>
      <c r="M100" s="9">
        <v>2020</v>
      </c>
      <c r="N100">
        <v>17</v>
      </c>
      <c r="O100">
        <v>109722</v>
      </c>
    </row>
    <row r="101" spans="12:15" x14ac:dyDescent="0.25">
      <c r="L101" t="str">
        <f t="shared" si="2"/>
        <v>202018</v>
      </c>
      <c r="M101" s="9">
        <v>2020</v>
      </c>
      <c r="N101">
        <v>18</v>
      </c>
      <c r="O101">
        <v>114344</v>
      </c>
    </row>
    <row r="102" spans="12:15" x14ac:dyDescent="0.25">
      <c r="L102" t="str">
        <f t="shared" si="2"/>
        <v>202018E</v>
      </c>
      <c r="M102" s="9">
        <v>2020</v>
      </c>
      <c r="N102" s="20" t="s">
        <v>51</v>
      </c>
      <c r="O102" s="21">
        <v>131495.59999999998</v>
      </c>
    </row>
    <row r="103" spans="12:15" x14ac:dyDescent="0.25">
      <c r="L103" t="str">
        <f t="shared" si="2"/>
        <v>20211</v>
      </c>
      <c r="M103" s="9">
        <v>2021</v>
      </c>
      <c r="N103">
        <v>1</v>
      </c>
      <c r="O103" s="21">
        <v>57853.38</v>
      </c>
    </row>
    <row r="104" spans="12:15" x14ac:dyDescent="0.25">
      <c r="L104" t="str">
        <f t="shared" si="2"/>
        <v>20212</v>
      </c>
      <c r="M104" s="9">
        <v>2021</v>
      </c>
      <c r="N104">
        <v>2</v>
      </c>
      <c r="O104" s="21">
        <v>60290.16</v>
      </c>
    </row>
    <row r="105" spans="12:15" x14ac:dyDescent="0.25">
      <c r="L105" t="str">
        <f t="shared" si="2"/>
        <v>20213</v>
      </c>
      <c r="M105" s="9">
        <v>2021</v>
      </c>
      <c r="N105">
        <v>3</v>
      </c>
      <c r="O105" s="21">
        <v>62826.9</v>
      </c>
    </row>
    <row r="106" spans="12:15" x14ac:dyDescent="0.25">
      <c r="L106" t="str">
        <f t="shared" si="2"/>
        <v>20214</v>
      </c>
      <c r="M106" s="9">
        <v>2021</v>
      </c>
      <c r="N106">
        <v>4</v>
      </c>
      <c r="O106" s="21">
        <v>65471.76</v>
      </c>
    </row>
    <row r="107" spans="12:15" x14ac:dyDescent="0.25">
      <c r="L107" t="str">
        <f t="shared" si="2"/>
        <v>20215</v>
      </c>
      <c r="M107" s="9">
        <v>2021</v>
      </c>
      <c r="N107">
        <v>5</v>
      </c>
      <c r="O107" s="21">
        <v>68230.86</v>
      </c>
    </row>
    <row r="108" spans="12:15" x14ac:dyDescent="0.25">
      <c r="L108" t="str">
        <f t="shared" si="2"/>
        <v>20216</v>
      </c>
      <c r="M108" s="9">
        <v>2021</v>
      </c>
      <c r="N108">
        <v>6</v>
      </c>
      <c r="O108" s="21">
        <v>71103.179999999993</v>
      </c>
    </row>
    <row r="109" spans="12:15" x14ac:dyDescent="0.25">
      <c r="L109" t="str">
        <f t="shared" si="2"/>
        <v>20217</v>
      </c>
      <c r="M109" s="9">
        <v>2021</v>
      </c>
      <c r="N109">
        <v>7</v>
      </c>
      <c r="O109" s="21">
        <v>74094.84</v>
      </c>
    </row>
    <row r="110" spans="12:15" x14ac:dyDescent="0.25">
      <c r="L110" t="str">
        <f t="shared" si="2"/>
        <v>20218</v>
      </c>
      <c r="M110" s="9">
        <v>2021</v>
      </c>
      <c r="N110">
        <v>8</v>
      </c>
      <c r="O110" s="21">
        <v>77216.039999999994</v>
      </c>
    </row>
    <row r="111" spans="12:15" x14ac:dyDescent="0.25">
      <c r="L111" t="str">
        <f t="shared" si="2"/>
        <v>20219</v>
      </c>
      <c r="M111" s="9">
        <v>2021</v>
      </c>
      <c r="N111">
        <v>9</v>
      </c>
      <c r="O111" s="21">
        <v>80465.759999999995</v>
      </c>
    </row>
    <row r="112" spans="12:15" x14ac:dyDescent="0.25">
      <c r="L112" t="str">
        <f t="shared" si="2"/>
        <v>202110</v>
      </c>
      <c r="M112" s="9">
        <v>2021</v>
      </c>
      <c r="N112">
        <v>10</v>
      </c>
      <c r="O112" s="21">
        <v>83855.22</v>
      </c>
    </row>
    <row r="113" spans="12:15" x14ac:dyDescent="0.25">
      <c r="L113" t="str">
        <f t="shared" si="2"/>
        <v>202111</v>
      </c>
      <c r="M113" s="9">
        <v>2021</v>
      </c>
      <c r="N113">
        <v>11</v>
      </c>
      <c r="O113" s="21">
        <v>87385.44</v>
      </c>
    </row>
    <row r="114" spans="12:15" x14ac:dyDescent="0.25">
      <c r="L114" t="str">
        <f t="shared" si="2"/>
        <v>202112</v>
      </c>
      <c r="M114" s="9">
        <v>2021</v>
      </c>
      <c r="N114">
        <v>12</v>
      </c>
      <c r="O114" s="21">
        <v>91064.58</v>
      </c>
    </row>
    <row r="115" spans="12:15" x14ac:dyDescent="0.25">
      <c r="L115" t="str">
        <f t="shared" si="2"/>
        <v>202113</v>
      </c>
      <c r="M115" s="9">
        <v>2021</v>
      </c>
      <c r="N115">
        <v>13</v>
      </c>
      <c r="O115" s="21">
        <v>94898.76</v>
      </c>
    </row>
    <row r="116" spans="12:15" x14ac:dyDescent="0.25">
      <c r="L116" t="str">
        <f t="shared" si="2"/>
        <v>202114</v>
      </c>
      <c r="M116" s="9">
        <v>2021</v>
      </c>
      <c r="N116">
        <v>14</v>
      </c>
      <c r="O116" s="21">
        <v>98895.12</v>
      </c>
    </row>
    <row r="117" spans="12:15" x14ac:dyDescent="0.25">
      <c r="L117" t="str">
        <f t="shared" si="2"/>
        <v>202115</v>
      </c>
      <c r="M117" s="9">
        <v>2021</v>
      </c>
      <c r="N117">
        <v>15</v>
      </c>
      <c r="O117" s="21">
        <v>103058.76</v>
      </c>
    </row>
    <row r="118" spans="12:15" x14ac:dyDescent="0.25">
      <c r="L118" t="str">
        <f t="shared" si="2"/>
        <v>202116</v>
      </c>
      <c r="M118" s="9">
        <v>2021</v>
      </c>
      <c r="N118">
        <v>16</v>
      </c>
      <c r="O118" s="21">
        <v>107396.82</v>
      </c>
    </row>
    <row r="119" spans="12:15" x14ac:dyDescent="0.25">
      <c r="L119" t="str">
        <f t="shared" si="2"/>
        <v>202117</v>
      </c>
      <c r="M119" s="9">
        <v>2021</v>
      </c>
      <c r="N119">
        <v>17</v>
      </c>
      <c r="O119" s="21">
        <v>111916.44</v>
      </c>
    </row>
    <row r="120" spans="12:15" x14ac:dyDescent="0.25">
      <c r="L120" t="str">
        <f t="shared" si="2"/>
        <v>202118</v>
      </c>
      <c r="M120" s="9">
        <v>2021</v>
      </c>
      <c r="N120">
        <v>18</v>
      </c>
      <c r="O120" s="21">
        <v>116630.88</v>
      </c>
    </row>
    <row r="121" spans="12:15" x14ac:dyDescent="0.25">
      <c r="L121" t="str">
        <f t="shared" si="2"/>
        <v>202118E</v>
      </c>
      <c r="M121" s="9">
        <v>2021</v>
      </c>
      <c r="N121" s="20" t="s">
        <v>51</v>
      </c>
      <c r="O121" s="21">
        <v>134125.51199999999</v>
      </c>
    </row>
    <row r="122" spans="12:15" x14ac:dyDescent="0.25">
      <c r="L122" t="str">
        <f t="shared" si="2"/>
        <v>20221</v>
      </c>
      <c r="M122" s="9">
        <v>2022</v>
      </c>
      <c r="N122">
        <v>1</v>
      </c>
      <c r="O122" s="21">
        <v>59010.4476</v>
      </c>
    </row>
    <row r="123" spans="12:15" x14ac:dyDescent="0.25">
      <c r="L123" t="str">
        <f t="shared" si="2"/>
        <v>20222</v>
      </c>
      <c r="M123" s="9">
        <v>2022</v>
      </c>
      <c r="N123">
        <v>2</v>
      </c>
      <c r="O123" s="21">
        <v>61495.963200000006</v>
      </c>
    </row>
    <row r="124" spans="12:15" x14ac:dyDescent="0.25">
      <c r="L124" t="str">
        <f t="shared" si="2"/>
        <v>20223</v>
      </c>
      <c r="M124" s="9">
        <v>2022</v>
      </c>
      <c r="N124">
        <v>3</v>
      </c>
      <c r="O124" s="21">
        <v>64083.438000000002</v>
      </c>
    </row>
    <row r="125" spans="12:15" x14ac:dyDescent="0.25">
      <c r="L125" t="str">
        <f t="shared" si="2"/>
        <v>20224</v>
      </c>
      <c r="M125" s="9">
        <v>2022</v>
      </c>
      <c r="N125">
        <v>4</v>
      </c>
      <c r="O125" s="21">
        <v>66781.195200000002</v>
      </c>
    </row>
    <row r="126" spans="12:15" x14ac:dyDescent="0.25">
      <c r="L126" t="str">
        <f t="shared" si="2"/>
        <v>20225</v>
      </c>
      <c r="M126" s="9">
        <v>2022</v>
      </c>
      <c r="N126">
        <v>5</v>
      </c>
      <c r="O126" s="21">
        <v>69595.477199999994</v>
      </c>
    </row>
    <row r="127" spans="12:15" x14ac:dyDescent="0.25">
      <c r="L127" t="str">
        <f t="shared" si="2"/>
        <v>20226</v>
      </c>
      <c r="M127" s="9">
        <v>2022</v>
      </c>
      <c r="N127">
        <v>6</v>
      </c>
      <c r="O127" s="21">
        <v>72525.243599999987</v>
      </c>
    </row>
    <row r="128" spans="12:15" x14ac:dyDescent="0.25">
      <c r="L128" t="str">
        <f t="shared" si="2"/>
        <v>20227</v>
      </c>
      <c r="M128" s="9">
        <v>2022</v>
      </c>
      <c r="N128">
        <v>7</v>
      </c>
      <c r="O128" s="21">
        <v>75576.736799999999</v>
      </c>
    </row>
    <row r="129" spans="12:15" x14ac:dyDescent="0.25">
      <c r="L129" t="str">
        <f t="shared" si="2"/>
        <v>20228</v>
      </c>
      <c r="M129" s="9">
        <v>2022</v>
      </c>
      <c r="N129">
        <v>8</v>
      </c>
      <c r="O129" s="21">
        <v>78760.360799999995</v>
      </c>
    </row>
    <row r="130" spans="12:15" x14ac:dyDescent="0.25">
      <c r="L130" t="str">
        <f t="shared" si="2"/>
        <v>20229</v>
      </c>
      <c r="M130" s="9">
        <v>2022</v>
      </c>
      <c r="N130">
        <v>9</v>
      </c>
      <c r="O130" s="21">
        <v>82075.075199999992</v>
      </c>
    </row>
    <row r="131" spans="12:15" x14ac:dyDescent="0.25">
      <c r="L131" t="str">
        <f t="shared" si="2"/>
        <v>202210</v>
      </c>
      <c r="M131" s="9">
        <v>2022</v>
      </c>
      <c r="N131">
        <v>10</v>
      </c>
      <c r="O131" s="21">
        <v>85532.324399999998</v>
      </c>
    </row>
    <row r="132" spans="12:15" x14ac:dyDescent="0.25">
      <c r="L132" t="str">
        <f t="shared" si="2"/>
        <v>202211</v>
      </c>
      <c r="M132" s="9">
        <v>2022</v>
      </c>
      <c r="N132">
        <v>11</v>
      </c>
      <c r="O132" s="21">
        <v>89133.148799999995</v>
      </c>
    </row>
    <row r="133" spans="12:15" x14ac:dyDescent="0.25">
      <c r="L133" t="str">
        <f t="shared" si="2"/>
        <v>202212</v>
      </c>
      <c r="M133" s="9">
        <v>2022</v>
      </c>
      <c r="N133">
        <v>12</v>
      </c>
      <c r="O133" s="21">
        <v>92885.871599999999</v>
      </c>
    </row>
    <row r="134" spans="12:15" x14ac:dyDescent="0.25">
      <c r="L134" t="str">
        <f t="shared" si="2"/>
        <v>202213</v>
      </c>
      <c r="M134" s="9">
        <v>2022</v>
      </c>
      <c r="N134">
        <v>13</v>
      </c>
      <c r="O134" s="21">
        <v>96796.735199999996</v>
      </c>
    </row>
    <row r="135" spans="12:15" x14ac:dyDescent="0.25">
      <c r="L135" t="str">
        <f t="shared" si="2"/>
        <v>202214</v>
      </c>
      <c r="M135" s="9">
        <v>2022</v>
      </c>
      <c r="N135">
        <v>14</v>
      </c>
      <c r="O135" s="21">
        <v>100873.0224</v>
      </c>
    </row>
    <row r="136" spans="12:15" x14ac:dyDescent="0.25">
      <c r="L136" t="str">
        <f t="shared" si="2"/>
        <v>202215</v>
      </c>
      <c r="M136" s="9">
        <v>2022</v>
      </c>
      <c r="N136">
        <v>15</v>
      </c>
      <c r="O136" s="21">
        <v>105119.93519999999</v>
      </c>
    </row>
    <row r="137" spans="12:15" x14ac:dyDescent="0.25">
      <c r="L137" t="str">
        <f t="shared" si="2"/>
        <v>202216</v>
      </c>
      <c r="M137" s="9">
        <v>2022</v>
      </c>
      <c r="N137">
        <v>16</v>
      </c>
      <c r="O137" s="21">
        <v>109544.75640000001</v>
      </c>
    </row>
    <row r="138" spans="12:15" x14ac:dyDescent="0.25">
      <c r="L138" t="str">
        <f t="shared" si="2"/>
        <v>202217</v>
      </c>
      <c r="M138" s="9">
        <v>2022</v>
      </c>
      <c r="N138">
        <v>17</v>
      </c>
      <c r="O138" s="21">
        <v>114154.76880000001</v>
      </c>
    </row>
    <row r="139" spans="12:15" x14ac:dyDescent="0.25">
      <c r="L139" t="str">
        <f t="shared" si="2"/>
        <v>202218</v>
      </c>
      <c r="M139" s="9">
        <v>2022</v>
      </c>
      <c r="N139">
        <v>18</v>
      </c>
      <c r="O139" s="21">
        <v>118963.4976</v>
      </c>
    </row>
    <row r="140" spans="12:15" x14ac:dyDescent="0.25">
      <c r="L140" t="str">
        <f t="shared" ref="L140:L159" si="3">M140&amp;N140</f>
        <v>202218E</v>
      </c>
      <c r="M140" s="9">
        <v>2022</v>
      </c>
      <c r="N140" s="20" t="s">
        <v>51</v>
      </c>
      <c r="O140" s="21">
        <v>136808.02223999999</v>
      </c>
    </row>
    <row r="141" spans="12:15" x14ac:dyDescent="0.25">
      <c r="L141" t="str">
        <f t="shared" si="3"/>
        <v>20231</v>
      </c>
      <c r="M141" s="9">
        <v>2023</v>
      </c>
      <c r="N141">
        <v>1</v>
      </c>
      <c r="O141" s="21">
        <v>60190.656552</v>
      </c>
    </row>
    <row r="142" spans="12:15" x14ac:dyDescent="0.25">
      <c r="L142" t="str">
        <f t="shared" si="3"/>
        <v>20232</v>
      </c>
      <c r="M142" s="9">
        <v>2023</v>
      </c>
      <c r="N142">
        <v>2</v>
      </c>
      <c r="O142" s="21">
        <v>62725.882464000009</v>
      </c>
    </row>
    <row r="143" spans="12:15" x14ac:dyDescent="0.25">
      <c r="L143" t="str">
        <f t="shared" si="3"/>
        <v>20233</v>
      </c>
      <c r="M143" s="9">
        <v>2023</v>
      </c>
      <c r="N143">
        <v>3</v>
      </c>
      <c r="O143" s="21">
        <v>65365.106760000002</v>
      </c>
    </row>
    <row r="144" spans="12:15" x14ac:dyDescent="0.25">
      <c r="L144" t="str">
        <f t="shared" si="3"/>
        <v>20234</v>
      </c>
      <c r="M144" s="9">
        <v>2023</v>
      </c>
      <c r="N144">
        <v>4</v>
      </c>
      <c r="O144" s="21">
        <v>68116.819103999995</v>
      </c>
    </row>
    <row r="145" spans="12:15" x14ac:dyDescent="0.25">
      <c r="L145" t="str">
        <f t="shared" si="3"/>
        <v>20235</v>
      </c>
      <c r="M145" s="9">
        <v>2023</v>
      </c>
      <c r="N145">
        <v>5</v>
      </c>
      <c r="O145" s="21">
        <v>70987.386743999989</v>
      </c>
    </row>
    <row r="146" spans="12:15" x14ac:dyDescent="0.25">
      <c r="L146" t="str">
        <f t="shared" si="3"/>
        <v>20236</v>
      </c>
      <c r="M146" s="9">
        <v>2023</v>
      </c>
      <c r="N146">
        <v>6</v>
      </c>
      <c r="O146" s="21">
        <v>73975.748471999992</v>
      </c>
    </row>
    <row r="147" spans="12:15" x14ac:dyDescent="0.25">
      <c r="L147" t="str">
        <f t="shared" si="3"/>
        <v>20237</v>
      </c>
      <c r="M147" s="9">
        <v>2023</v>
      </c>
      <c r="N147">
        <v>7</v>
      </c>
      <c r="O147" s="21">
        <v>77088.271536</v>
      </c>
    </row>
    <row r="148" spans="12:15" x14ac:dyDescent="0.25">
      <c r="L148" t="str">
        <f t="shared" si="3"/>
        <v>20238</v>
      </c>
      <c r="M148" s="9">
        <v>2023</v>
      </c>
      <c r="N148">
        <v>8</v>
      </c>
      <c r="O148" s="21">
        <v>80335.56801599999</v>
      </c>
    </row>
    <row r="149" spans="12:15" x14ac:dyDescent="0.25">
      <c r="L149" t="str">
        <f t="shared" si="3"/>
        <v>20239</v>
      </c>
      <c r="M149" s="9">
        <v>2023</v>
      </c>
      <c r="N149">
        <v>9</v>
      </c>
      <c r="O149" s="21">
        <v>83716.576703999992</v>
      </c>
    </row>
    <row r="150" spans="12:15" x14ac:dyDescent="0.25">
      <c r="L150" t="str">
        <f t="shared" si="3"/>
        <v>202310</v>
      </c>
      <c r="M150" s="9">
        <v>2023</v>
      </c>
      <c r="N150">
        <v>10</v>
      </c>
      <c r="O150" s="21">
        <v>87242.970887999996</v>
      </c>
    </row>
    <row r="151" spans="12:15" x14ac:dyDescent="0.25">
      <c r="L151" t="str">
        <f t="shared" si="3"/>
        <v>202311</v>
      </c>
      <c r="M151" s="9">
        <v>2023</v>
      </c>
      <c r="N151">
        <v>11</v>
      </c>
      <c r="O151" s="21">
        <v>90915.811776000002</v>
      </c>
    </row>
    <row r="152" spans="12:15" x14ac:dyDescent="0.25">
      <c r="L152" t="str">
        <f t="shared" si="3"/>
        <v>202312</v>
      </c>
      <c r="M152" s="9">
        <v>2023</v>
      </c>
      <c r="N152">
        <v>12</v>
      </c>
      <c r="O152" s="21">
        <v>94743.589032000003</v>
      </c>
    </row>
    <row r="153" spans="12:15" x14ac:dyDescent="0.25">
      <c r="L153" t="str">
        <f t="shared" si="3"/>
        <v>202313</v>
      </c>
      <c r="M153" s="9">
        <v>2023</v>
      </c>
      <c r="N153">
        <v>13</v>
      </c>
      <c r="O153" s="21">
        <v>98732.669903999995</v>
      </c>
    </row>
    <row r="154" spans="12:15" x14ac:dyDescent="0.25">
      <c r="L154" t="str">
        <f t="shared" si="3"/>
        <v>202314</v>
      </c>
      <c r="M154" s="9">
        <v>2023</v>
      </c>
      <c r="N154">
        <v>14</v>
      </c>
      <c r="O154" s="21">
        <v>102890.482848</v>
      </c>
    </row>
    <row r="155" spans="12:15" x14ac:dyDescent="0.25">
      <c r="L155" t="str">
        <f t="shared" si="3"/>
        <v>202315</v>
      </c>
      <c r="M155" s="9">
        <v>2023</v>
      </c>
      <c r="N155">
        <v>15</v>
      </c>
      <c r="O155" s="21">
        <v>107222.333904</v>
      </c>
    </row>
    <row r="156" spans="12:15" x14ac:dyDescent="0.25">
      <c r="L156" t="str">
        <f t="shared" si="3"/>
        <v>202316</v>
      </c>
      <c r="M156" s="9">
        <v>2023</v>
      </c>
      <c r="N156">
        <v>16</v>
      </c>
      <c r="O156" s="21">
        <v>111735.65152800002</v>
      </c>
    </row>
    <row r="157" spans="12:15" x14ac:dyDescent="0.25">
      <c r="L157" t="str">
        <f t="shared" si="3"/>
        <v>202317</v>
      </c>
      <c r="M157" s="9">
        <v>2023</v>
      </c>
      <c r="N157">
        <v>17</v>
      </c>
      <c r="O157" s="21">
        <v>116437.864176</v>
      </c>
    </row>
    <row r="158" spans="12:15" x14ac:dyDescent="0.25">
      <c r="L158" t="str">
        <f t="shared" si="3"/>
        <v>202318</v>
      </c>
      <c r="M158" s="9">
        <v>2023</v>
      </c>
      <c r="N158">
        <v>18</v>
      </c>
      <c r="O158" s="21">
        <v>121342.767552</v>
      </c>
    </row>
    <row r="159" spans="12:15" x14ac:dyDescent="0.25">
      <c r="L159" t="str">
        <f t="shared" si="3"/>
        <v>202318E</v>
      </c>
      <c r="M159" s="9">
        <v>2023</v>
      </c>
      <c r="N159" s="20" t="s">
        <v>51</v>
      </c>
      <c r="O159" s="21">
        <v>139544.18268480001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A5C49D4C9D1C24FBA9F0E57314EE43B" ma:contentTypeVersion="16" ma:contentTypeDescription="Create a new document." ma:contentTypeScope="" ma:versionID="4e1d143577c64de6bcd42d1d11df90e2">
  <xsd:schema xmlns:xsd="http://www.w3.org/2001/XMLSchema" xmlns:xs="http://www.w3.org/2001/XMLSchema" xmlns:p="http://schemas.microsoft.com/office/2006/metadata/properties" xmlns:ns2="83335cf6-c065-4ee4-a4b3-880df6157a5e" xmlns:ns3="85c7f96a-bd1e-4a9d-b5a6-591c4371ac2c" xmlns:ns4="http://schemas.microsoft.com/sharepoint/v4" targetNamespace="http://schemas.microsoft.com/office/2006/metadata/properties" ma:root="true" ma:fieldsID="8327484ad425e6a0fc1ef2be18c35210" ns2:_="" ns3:_="" ns4:_="">
    <xsd:import namespace="83335cf6-c065-4ee4-a4b3-880df6157a5e"/>
    <xsd:import namespace="85c7f96a-bd1e-4a9d-b5a6-591c4371ac2c"/>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4:IconOverlay"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335cf6-c065-4ee4-a4b3-880df6157a5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description="" ma:hidden="true" ma:list="{f77be67a-8797-414c-ad71-63520926baa5}" ma:internalName="TaxCatchAll" ma:showField="CatchAllData" ma:web="83335cf6-c065-4ee4-a4b3-880df6157a5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5c7f96a-bd1e-4a9d-b5a6-591c4371ac2c"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5fe6c2f-33a5-428e-bb5d-5cbc4c14cb6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4"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83335cf6-c065-4ee4-a4b3-880df6157a5e" xsi:nil="true"/>
    <IconOverlay xmlns="http://schemas.microsoft.com/sharepoint/v4" xsi:nil="true"/>
    <lcf76f155ced4ddcb4097134ff3c332f xmlns="85c7f96a-bd1e-4a9d-b5a6-591c4371ac2c">
      <Terms xmlns="http://schemas.microsoft.com/office/infopath/2007/PartnerControls"/>
    </lcf76f155ced4ddcb4097134ff3c332f>
    <_dlc_DocId xmlns="83335cf6-c065-4ee4-a4b3-880df6157a5e">J3XCQMWZJKF3-680006522-810024</_dlc_DocId>
    <_dlc_DocIdUrl xmlns="83335cf6-c065-4ee4-a4b3-880df6157a5e">
      <Url>https://psbbcpa.sharepoint.com/sites/SolertiaFilesystem/_layouts/15/DocIdRedir.aspx?ID=J3XCQMWZJKF3-680006522-810024</Url>
      <Description>J3XCQMWZJKF3-680006522-810024</Description>
    </_dlc_DocIdUrl>
  </documentManagement>
</p:properties>
</file>

<file path=customXml/itemProps1.xml><?xml version="1.0" encoding="utf-8"?>
<ds:datastoreItem xmlns:ds="http://schemas.openxmlformats.org/officeDocument/2006/customXml" ds:itemID="{E83F6365-133E-4FAB-B556-F14EE898B0F9}">
  <ds:schemaRefs>
    <ds:schemaRef ds:uri="http://schemas.microsoft.com/sharepoint/v3/contenttype/forms"/>
  </ds:schemaRefs>
</ds:datastoreItem>
</file>

<file path=customXml/itemProps2.xml><?xml version="1.0" encoding="utf-8"?>
<ds:datastoreItem xmlns:ds="http://schemas.openxmlformats.org/officeDocument/2006/customXml" ds:itemID="{9ED03E64-F8B3-4ED6-8206-F9E79ADCF149}">
  <ds:schemaRefs>
    <ds:schemaRef ds:uri="http://schemas.microsoft.com/sharepoint/events"/>
  </ds:schemaRefs>
</ds:datastoreItem>
</file>

<file path=customXml/itemProps3.xml><?xml version="1.0" encoding="utf-8"?>
<ds:datastoreItem xmlns:ds="http://schemas.openxmlformats.org/officeDocument/2006/customXml" ds:itemID="{9808E975-03B3-4BC6-85A0-54F073162E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335cf6-c065-4ee4-a4b3-880df6157a5e"/>
    <ds:schemaRef ds:uri="85c7f96a-bd1e-4a9d-b5a6-591c4371ac2c"/>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376E3C4-6254-489E-98F1-CCE77EE0D16D}">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83335cf6-c065-4ee4-a4b3-880df6157a5e"/>
    <ds:schemaRef ds:uri="http://purl.org/dc/dcmitype/"/>
    <ds:schemaRef ds:uri="http://schemas.microsoft.com/office/infopath/2007/PartnerControls"/>
    <ds:schemaRef ds:uri="85c7f96a-bd1e-4a9d-b5a6-591c4371ac2c"/>
    <ds:schemaRef ds:uri="http://schemas.microsoft.com/sharepoint/v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10</vt:i4>
      </vt:variant>
    </vt:vector>
  </HeadingPairs>
  <TitlesOfParts>
    <vt:vector size="17" baseType="lpstr">
      <vt:lpstr>Calculateur</vt:lpstr>
      <vt:lpstr>Calcul de l'échelon de départ</vt:lpstr>
      <vt:lpstr>35h</vt:lpstr>
      <vt:lpstr>37,5h</vt:lpstr>
      <vt:lpstr>40h</vt:lpstr>
      <vt:lpstr>Infos (référence seul.)</vt:lpstr>
      <vt:lpstr>Échelle (référence seul.)</vt:lpstr>
      <vt:lpstr>Conversion_date</vt:lpstr>
      <vt:lpstr>Échelons</vt:lpstr>
      <vt:lpstr>heure_tot</vt:lpstr>
      <vt:lpstr>idemp</vt:lpstr>
      <vt:lpstr>over_idemp_date</vt:lpstr>
      <vt:lpstr>over_prem_date</vt:lpstr>
      <vt:lpstr>Ratio_int</vt:lpstr>
      <vt:lpstr>Taux_horaire</vt:lpstr>
      <vt:lpstr>'35h'!Zone_d_impression</vt:lpstr>
      <vt:lpstr>Calculateur!Zone_d_impression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Camille Lavoie</dc:creator>
  <cp:keywords/>
  <dc:description/>
  <cp:lastModifiedBy>Jérôme Dionne</cp:lastModifiedBy>
  <cp:revision/>
  <dcterms:created xsi:type="dcterms:W3CDTF">2024-05-21T19:32:52Z</dcterms:created>
  <dcterms:modified xsi:type="dcterms:W3CDTF">2024-06-27T20:34:22Z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0x0101005A5C49D4C9D1C24FBA9F0E57314EE43B</vt:lpwstr>
  </property>
  <property fmtid="{D5CDD505-2E9C-101B-9397-08002B2CF9AE}" pid="3" name="_dlc_DocIdItemGuid">
    <vt:lpwstr>f1bcdb75-fc69-4197-914c-cf5362907c69</vt:lpwstr>
  </property>
  <property fmtid="{D5CDD505-2E9C-101B-9397-08002B2CF9AE}" pid="4" name="MediaServiceImageTags">
    <vt:lpwstr/>
  </property>
</Properties>
</file>