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Users\Mitch\Documents\Excel Files\"/>
    </mc:Choice>
  </mc:AlternateContent>
  <bookViews>
    <workbookView xWindow="0" yWindow="0" windowWidth="25605" windowHeight="13740" tabRatio="500"/>
  </bookViews>
  <sheets>
    <sheet name="Dipole - &quot;V&quot; Calculator" sheetId="1" r:id="rId1"/>
    <sheet name="Simplified" sheetId="2" r:id="rId2"/>
    <sheet name="Inverted &quot;V&quot;" sheetId="3" r:id="rId3"/>
    <sheet name="Double-Triple Bazooka" sheetId="4" r:id="rId4"/>
    <sheet name="COAX Velocity Factors" sheetId="5" state="hidden" r:id="rId5"/>
  </sheets>
  <definedNames>
    <definedName name="Inverted_V">'Dipole - "V" Calculator'!$A$30</definedName>
    <definedName name="_xlnm.Print_Area" localSheetId="0">'Dipole - "V" Calculator'!$A$1:$P$30</definedName>
    <definedName name="_xlnm.Print_Area" localSheetId="3">'Double-Triple Bazooka'!$A$1:$F$113</definedName>
    <definedName name="_xlnm.Print_Area" localSheetId="1">Simplified!$A$1:$I$27</definedName>
    <definedName name="SELECT_COAX">'COAX Velocity Factors'!$A$2:$A$39</definedName>
    <definedName name="Velocity_Factor">'Dipole - "V" Calculator'!$A$14</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A12" i="2" l="1"/>
  <c r="A22" i="4"/>
  <c r="D18" i="4"/>
  <c r="E18" i="4"/>
  <c r="F18" i="4"/>
  <c r="G18" i="4"/>
  <c r="D16" i="4"/>
  <c r="E16" i="4"/>
  <c r="F16" i="4"/>
  <c r="G16" i="4"/>
  <c r="D14" i="4"/>
  <c r="E14" i="4"/>
  <c r="F14" i="4"/>
  <c r="G14" i="4"/>
  <c r="D12" i="4"/>
  <c r="E12" i="4"/>
  <c r="F12" i="4"/>
  <c r="G12" i="4"/>
  <c r="D10" i="4"/>
  <c r="E10" i="4"/>
  <c r="F10" i="4"/>
  <c r="G10" i="4"/>
  <c r="D8" i="4"/>
  <c r="E8" i="4"/>
  <c r="F8" i="4"/>
  <c r="G8" i="4"/>
  <c r="D6" i="4"/>
  <c r="E6" i="4"/>
  <c r="F6" i="4"/>
  <c r="G6" i="4"/>
  <c r="D4" i="4"/>
  <c r="E4" i="4"/>
  <c r="F4" i="4"/>
  <c r="G4" i="4"/>
  <c r="C18" i="4"/>
  <c r="C16" i="4"/>
  <c r="C14" i="4"/>
  <c r="C12" i="4"/>
  <c r="C10" i="4"/>
  <c r="C8" i="4"/>
  <c r="C6" i="4"/>
  <c r="C4" i="4"/>
  <c r="E12" i="1"/>
  <c r="B11" i="2"/>
  <c r="G12" i="1"/>
  <c r="O12" i="1"/>
  <c r="P12" i="1"/>
  <c r="N12" i="1"/>
  <c r="D11" i="2"/>
  <c r="F11" i="2"/>
  <c r="G11" i="2"/>
  <c r="E11" i="1"/>
  <c r="B10" i="2"/>
  <c r="F10" i="2"/>
  <c r="G10" i="2"/>
  <c r="E10" i="1"/>
  <c r="B9" i="2"/>
  <c r="G10" i="1"/>
  <c r="O10" i="1"/>
  <c r="P10" i="1"/>
  <c r="N10" i="1"/>
  <c r="D9" i="2"/>
  <c r="F9" i="2"/>
  <c r="G9" i="2"/>
  <c r="E9" i="1"/>
  <c r="B8" i="2"/>
  <c r="G9" i="1"/>
  <c r="O9" i="1"/>
  <c r="P9" i="1"/>
  <c r="N9" i="1"/>
  <c r="D8" i="2"/>
  <c r="F8" i="2"/>
  <c r="G8" i="2"/>
  <c r="E8" i="1"/>
  <c r="B7" i="2"/>
  <c r="F7" i="2"/>
  <c r="G7" i="2"/>
  <c r="E7" i="1"/>
  <c r="B6" i="2"/>
  <c r="G7" i="1"/>
  <c r="O7" i="1"/>
  <c r="P7" i="1"/>
  <c r="N7" i="1"/>
  <c r="D6" i="2"/>
  <c r="F6" i="2"/>
  <c r="G6" i="2"/>
  <c r="E6" i="1"/>
  <c r="B5" i="2"/>
  <c r="G6" i="1"/>
  <c r="O6" i="1"/>
  <c r="P6" i="1"/>
  <c r="N6" i="1"/>
  <c r="D5" i="2"/>
  <c r="F5" i="2"/>
  <c r="G5" i="2"/>
  <c r="E5" i="1"/>
  <c r="B4" i="2"/>
  <c r="G5" i="1"/>
  <c r="O5" i="1"/>
  <c r="P5" i="1"/>
  <c r="N5" i="1"/>
  <c r="D4" i="2"/>
  <c r="F4" i="2"/>
  <c r="G4" i="2"/>
  <c r="G24" i="2"/>
  <c r="G23" i="2"/>
  <c r="G22" i="2"/>
  <c r="G21" i="2"/>
  <c r="G20" i="2"/>
  <c r="G19" i="2"/>
  <c r="G18" i="2"/>
  <c r="G17" i="2"/>
  <c r="I11" i="2"/>
  <c r="I10" i="2"/>
  <c r="I9" i="2"/>
  <c r="I8" i="2"/>
  <c r="I7" i="2"/>
  <c r="I6" i="2"/>
  <c r="I5" i="2"/>
  <c r="I4" i="2"/>
  <c r="A30" i="1"/>
  <c r="E28" i="1"/>
  <c r="G28" i="1"/>
  <c r="O28" i="1"/>
  <c r="P28" i="1"/>
  <c r="N28" i="1"/>
  <c r="F24" i="3"/>
  <c r="G24" i="3"/>
  <c r="E27" i="1"/>
  <c r="G27" i="1"/>
  <c r="O27" i="1"/>
  <c r="P27" i="1"/>
  <c r="N27" i="1"/>
  <c r="F23" i="3"/>
  <c r="G23" i="3"/>
  <c r="E26" i="1"/>
  <c r="G26" i="1"/>
  <c r="O26" i="1"/>
  <c r="P26" i="1"/>
  <c r="N26" i="1"/>
  <c r="F22" i="3"/>
  <c r="G22" i="3"/>
  <c r="E25" i="1"/>
  <c r="G25" i="1"/>
  <c r="O25" i="1"/>
  <c r="P25" i="1"/>
  <c r="N25" i="1"/>
  <c r="F21" i="3"/>
  <c r="G21" i="3"/>
  <c r="E24" i="1"/>
  <c r="G24" i="1"/>
  <c r="O24" i="1"/>
  <c r="P24" i="1"/>
  <c r="N24" i="1"/>
  <c r="F20" i="3"/>
  <c r="G20" i="3"/>
  <c r="E23" i="1"/>
  <c r="G23" i="1"/>
  <c r="O23" i="1"/>
  <c r="P23" i="1"/>
  <c r="N23" i="1"/>
  <c r="F19" i="3"/>
  <c r="G19" i="3"/>
  <c r="E22" i="1"/>
  <c r="G22" i="1"/>
  <c r="O22" i="1"/>
  <c r="P22" i="1"/>
  <c r="N22" i="1"/>
  <c r="F18" i="3"/>
  <c r="G18" i="3"/>
  <c r="D24" i="3"/>
  <c r="D23" i="3"/>
  <c r="D22" i="3"/>
  <c r="D21" i="3"/>
  <c r="D20" i="3"/>
  <c r="D19" i="3"/>
  <c r="D18" i="3"/>
  <c r="E21" i="1"/>
  <c r="G21" i="1"/>
  <c r="O21" i="1"/>
  <c r="P21" i="1"/>
  <c r="N21" i="1"/>
  <c r="F17" i="3"/>
  <c r="G17" i="3"/>
  <c r="D17" i="3"/>
  <c r="D11" i="3"/>
  <c r="F11" i="3"/>
  <c r="I11" i="3"/>
  <c r="D10" i="3"/>
  <c r="F10" i="3"/>
  <c r="I10" i="3"/>
  <c r="D9" i="3"/>
  <c r="F9" i="3"/>
  <c r="I9" i="3"/>
  <c r="D8" i="3"/>
  <c r="F8" i="3"/>
  <c r="I8" i="3"/>
  <c r="D7" i="3"/>
  <c r="F7" i="3"/>
  <c r="I7" i="3"/>
  <c r="D6" i="3"/>
  <c r="F6" i="3"/>
  <c r="I6" i="3"/>
  <c r="D5" i="3"/>
  <c r="F5" i="3"/>
  <c r="I5" i="3"/>
  <c r="D4" i="3"/>
  <c r="F4" i="3"/>
  <c r="I4" i="3"/>
  <c r="H28" i="1"/>
  <c r="B11" i="3"/>
  <c r="G11" i="3"/>
  <c r="H27" i="1"/>
  <c r="B10" i="3"/>
  <c r="G10" i="3"/>
  <c r="H26" i="1"/>
  <c r="B9" i="3"/>
  <c r="G9" i="3"/>
  <c r="H25" i="1"/>
  <c r="B8" i="3"/>
  <c r="G8" i="3"/>
  <c r="H24" i="1"/>
  <c r="B7" i="3"/>
  <c r="G7" i="3"/>
  <c r="H23" i="1"/>
  <c r="B6" i="3"/>
  <c r="G6" i="3"/>
  <c r="H22" i="1"/>
  <c r="B5" i="3"/>
  <c r="G5" i="3"/>
  <c r="H21" i="1"/>
  <c r="B4" i="3"/>
  <c r="G4" i="3"/>
  <c r="H11" i="3"/>
  <c r="H10" i="3"/>
  <c r="H9" i="3"/>
  <c r="H8" i="3"/>
  <c r="H7" i="3"/>
  <c r="H6" i="3"/>
  <c r="H5" i="3"/>
  <c r="H4" i="3"/>
  <c r="H11" i="2"/>
  <c r="H10" i="2"/>
  <c r="H9" i="2"/>
  <c r="H8" i="2"/>
  <c r="H7" i="2"/>
  <c r="H6" i="2"/>
  <c r="H5" i="2"/>
  <c r="H4" i="2"/>
  <c r="E24" i="2"/>
  <c r="E23" i="2"/>
  <c r="E22" i="2"/>
  <c r="E21" i="2"/>
  <c r="E20" i="2"/>
  <c r="E19" i="2"/>
  <c r="E18" i="2"/>
  <c r="E17" i="2"/>
  <c r="D24" i="2"/>
  <c r="D23" i="2"/>
  <c r="D22" i="2"/>
  <c r="D21" i="2"/>
  <c r="D20" i="2"/>
  <c r="D19" i="2"/>
  <c r="D18" i="2"/>
  <c r="D17" i="2"/>
  <c r="H5" i="1"/>
  <c r="I5" i="1"/>
  <c r="L28" i="1"/>
  <c r="F28" i="1"/>
  <c r="K28" i="1"/>
  <c r="L27" i="1"/>
  <c r="F27" i="1"/>
  <c r="K27" i="1"/>
  <c r="L26" i="1"/>
  <c r="F26" i="1"/>
  <c r="K26" i="1"/>
  <c r="L25" i="1"/>
  <c r="F25" i="1"/>
  <c r="K25" i="1"/>
  <c r="L24" i="1"/>
  <c r="F24" i="1"/>
  <c r="K24" i="1"/>
  <c r="L23" i="1"/>
  <c r="F23" i="1"/>
  <c r="K23" i="1"/>
  <c r="L22" i="1"/>
  <c r="F22" i="1"/>
  <c r="K22" i="1"/>
  <c r="L21" i="1"/>
  <c r="F21" i="1"/>
  <c r="K21" i="1"/>
  <c r="J28" i="1"/>
  <c r="J27" i="1"/>
  <c r="J26" i="1"/>
  <c r="J25" i="1"/>
  <c r="J24" i="1"/>
  <c r="J23" i="1"/>
  <c r="J22" i="1"/>
  <c r="J21" i="1"/>
  <c r="I21" i="1"/>
  <c r="I28" i="1"/>
  <c r="I27" i="1"/>
  <c r="I26" i="1"/>
  <c r="I25" i="1"/>
  <c r="I24" i="1"/>
  <c r="I23" i="1"/>
  <c r="I22" i="1"/>
  <c r="L12" i="1"/>
  <c r="F12" i="1"/>
  <c r="K12" i="1"/>
  <c r="G11" i="1"/>
  <c r="L11" i="1"/>
  <c r="F11" i="1"/>
  <c r="K11" i="1"/>
  <c r="L10" i="1"/>
  <c r="F10" i="1"/>
  <c r="K10" i="1"/>
  <c r="L9" i="1"/>
  <c r="F9" i="1"/>
  <c r="K9" i="1"/>
  <c r="G8" i="1"/>
  <c r="L8" i="1"/>
  <c r="F8" i="1"/>
  <c r="K8" i="1"/>
  <c r="L7" i="1"/>
  <c r="F7" i="1"/>
  <c r="K7" i="1"/>
  <c r="L6" i="1"/>
  <c r="F6" i="1"/>
  <c r="K6" i="1"/>
  <c r="J12" i="1"/>
  <c r="J11" i="1"/>
  <c r="J10" i="1"/>
  <c r="J9" i="1"/>
  <c r="J8" i="1"/>
  <c r="J7" i="1"/>
  <c r="J6" i="1"/>
  <c r="L5" i="1"/>
  <c r="F5" i="1"/>
  <c r="K5" i="1"/>
  <c r="J5" i="1"/>
  <c r="F19" i="4"/>
  <c r="F17" i="4"/>
  <c r="F15" i="4"/>
  <c r="F13" i="4"/>
  <c r="F11" i="4"/>
  <c r="F9" i="4"/>
  <c r="F7" i="4"/>
  <c r="F5" i="4"/>
  <c r="E19" i="4"/>
  <c r="E17" i="4"/>
  <c r="E15" i="4"/>
  <c r="E13" i="4"/>
  <c r="E11" i="4"/>
  <c r="E9" i="4"/>
  <c r="E7" i="4"/>
  <c r="E5" i="4"/>
  <c r="D19" i="4"/>
  <c r="D17" i="4"/>
  <c r="D15" i="4"/>
  <c r="D13" i="4"/>
  <c r="D11" i="4"/>
  <c r="D9" i="4"/>
  <c r="D7" i="4"/>
  <c r="D5" i="4"/>
  <c r="C19" i="4"/>
  <c r="C17" i="4"/>
  <c r="C15" i="4"/>
  <c r="C13" i="4"/>
  <c r="C11" i="4"/>
  <c r="C9" i="4"/>
  <c r="C7" i="4"/>
  <c r="C5" i="4"/>
  <c r="A12" i="3"/>
  <c r="H12" i="1"/>
  <c r="I12" i="1"/>
  <c r="H11" i="1"/>
  <c r="I11" i="1"/>
  <c r="H10" i="1"/>
  <c r="I10" i="1"/>
  <c r="H9" i="1"/>
  <c r="I9" i="1"/>
  <c r="H8" i="1"/>
  <c r="I8" i="1"/>
  <c r="H7" i="1"/>
  <c r="I7" i="1"/>
  <c r="H6" i="1"/>
  <c r="I6" i="1"/>
  <c r="F24" i="2"/>
  <c r="O11" i="1"/>
  <c r="P11" i="1"/>
  <c r="N11" i="1"/>
  <c r="F23" i="2"/>
  <c r="F22" i="2"/>
  <c r="F21" i="2"/>
  <c r="O8" i="1"/>
  <c r="P8" i="1"/>
  <c r="N8" i="1"/>
  <c r="F20" i="2"/>
  <c r="F19" i="2"/>
  <c r="F18" i="2"/>
  <c r="F17" i="2"/>
</calcChain>
</file>

<file path=xl/comments1.xml><?xml version="1.0" encoding="utf-8"?>
<comments xmlns="http://schemas.openxmlformats.org/spreadsheetml/2006/main">
  <authors>
    <author>Mitch</author>
  </authors>
  <commentList>
    <comment ref="D13" authorId="0" shapeId="0">
      <text>
        <r>
          <rPr>
            <b/>
            <sz val="9"/>
            <color indexed="81"/>
            <rFont val="Tahoma"/>
            <charset val="1"/>
          </rPr>
          <t>Mitch:</t>
        </r>
        <r>
          <rPr>
            <sz val="9"/>
            <color indexed="81"/>
            <rFont val="Tahoma"/>
            <charset val="1"/>
          </rPr>
          <t xml:space="preserve">
Do NOT make a 15m element and a 40m element on the same dipole antenna!</t>
        </r>
      </text>
    </comment>
    <comment ref="A30" authorId="0" shapeId="0">
      <text>
        <r>
          <rPr>
            <b/>
            <sz val="9"/>
            <color indexed="81"/>
            <rFont val="Tahoma"/>
            <family val="2"/>
          </rPr>
          <t>AE2A:</t>
        </r>
        <r>
          <rPr>
            <sz val="9"/>
            <color indexed="81"/>
            <rFont val="Tahoma"/>
            <family val="2"/>
          </rPr>
          <t xml:space="preserve">
This value is 5% less than the the Velocity Factor of the upper chart (calculated).
</t>
        </r>
      </text>
    </comment>
  </commentList>
</comments>
</file>

<file path=xl/comments2.xml><?xml version="1.0" encoding="utf-8"?>
<comments xmlns="http://schemas.openxmlformats.org/spreadsheetml/2006/main">
  <authors>
    <author>Mitch</author>
  </authors>
  <commentList>
    <comment ref="A20" authorId="0" shapeId="0">
      <text>
        <r>
          <rPr>
            <b/>
            <sz val="9"/>
            <color indexed="81"/>
            <rFont val="Tahoma"/>
            <family val="2"/>
          </rPr>
          <t xml:space="preserve">AE2A:
Velocity Factor
For advanced uses!
</t>
        </r>
      </text>
    </comment>
    <comment ref="A22" authorId="0" shapeId="0">
      <text>
        <r>
          <rPr>
            <b/>
            <sz val="9"/>
            <color indexed="81"/>
            <rFont val="Tahoma"/>
            <family val="2"/>
          </rPr>
          <t>AE2A:</t>
        </r>
        <r>
          <rPr>
            <sz val="9"/>
            <color indexed="81"/>
            <rFont val="Tahoma"/>
            <family val="2"/>
          </rPr>
          <t xml:space="preserve">
</t>
        </r>
        <r>
          <rPr>
            <b/>
            <sz val="9"/>
            <color indexed="81"/>
            <rFont val="Tahoma"/>
            <family val="2"/>
          </rPr>
          <t>Use at your own risk!
Some might desire to adjust for COAX differences.</t>
        </r>
      </text>
    </comment>
  </commentList>
</comments>
</file>

<file path=xl/comments3.xml><?xml version="1.0" encoding="utf-8"?>
<comments xmlns="http://schemas.openxmlformats.org/spreadsheetml/2006/main">
  <authors>
    <author>Mitch</author>
  </authors>
  <commentList>
    <comment ref="A1" authorId="0" shapeId="0">
      <text>
        <r>
          <rPr>
            <b/>
            <sz val="9"/>
            <color indexed="81"/>
            <rFont val="Tahoma"/>
            <family val="2"/>
          </rPr>
          <t>AE2A:</t>
        </r>
        <r>
          <rPr>
            <sz val="9"/>
            <color indexed="81"/>
            <rFont val="Tahoma"/>
            <family val="2"/>
          </rPr>
          <t xml:space="preserve">
You can edit these values as needed and it will update the drop-down list.
</t>
        </r>
      </text>
    </comment>
  </commentList>
</comments>
</file>

<file path=xl/sharedStrings.xml><?xml version="1.0" encoding="utf-8"?>
<sst xmlns="http://schemas.openxmlformats.org/spreadsheetml/2006/main" count="262" uniqueCount="128">
  <si>
    <t>Band</t>
  </si>
  <si>
    <t>Length Low</t>
  </si>
  <si>
    <t>40M</t>
  </si>
  <si>
    <t>20M</t>
  </si>
  <si>
    <t>17M</t>
  </si>
  <si>
    <t>15M</t>
  </si>
  <si>
    <t>12M</t>
  </si>
  <si>
    <t>10M</t>
  </si>
  <si>
    <t>6M</t>
  </si>
  <si>
    <t>Feet</t>
  </si>
  <si>
    <t>Feet &amp; Inches</t>
  </si>
  <si>
    <t>80M</t>
  </si>
  <si>
    <t>Low-Hi Change</t>
  </si>
  <si>
    <t>(Ft)</t>
  </si>
  <si>
    <t>Frequency MHz.</t>
  </si>
  <si>
    <t>Inches</t>
  </si>
  <si>
    <t>Tuning Increments</t>
  </si>
  <si>
    <t>Total Length</t>
  </si>
  <si>
    <t>Mark Center
(Large Mark),
then each 100KHz
3 before, 3 after every:</t>
  </si>
  <si>
    <t>1.5"</t>
  </si>
  <si>
    <t>Width of Feed Point (ft)</t>
  </si>
  <si>
    <t xml:space="preserve"> Inches</t>
  </si>
  <si>
    <t>Mhz</t>
  </si>
  <si>
    <t>Lower
Edge</t>
  </si>
  <si>
    <t>Band
width</t>
  </si>
  <si>
    <r>
      <t>Velocity Factor (V</t>
    </r>
    <r>
      <rPr>
        <b/>
        <vertAlign val="subscript"/>
        <sz val="12"/>
        <color theme="1"/>
        <rFont val="Calibri"/>
        <family val="2"/>
        <scheme val="minor"/>
      </rPr>
      <t>f</t>
    </r>
    <r>
      <rPr>
        <b/>
        <sz val="12"/>
        <color theme="1"/>
        <rFont val="Calibri"/>
        <family val="2"/>
        <scheme val="minor"/>
      </rPr>
      <t>)</t>
    </r>
  </si>
  <si>
    <t>100 Khz
Tuning Increments</t>
  </si>
  <si>
    <t>Total Wire
Length To
Cut</t>
  </si>
  <si>
    <t>+3 100 Khz
Increments 
Total Length
(ft)</t>
  </si>
  <si>
    <r>
      <t>Formula (468/f)*(V</t>
    </r>
    <r>
      <rPr>
        <i/>
        <vertAlign val="subscript"/>
        <sz val="12"/>
        <color theme="1"/>
        <rFont val="Calibri"/>
        <family val="2"/>
        <scheme val="minor"/>
      </rPr>
      <t>f</t>
    </r>
    <r>
      <rPr>
        <i/>
        <sz val="12"/>
        <color theme="1"/>
        <rFont val="Calibri"/>
        <family val="2"/>
        <scheme val="minor"/>
      </rPr>
      <t>)</t>
    </r>
  </si>
  <si>
    <t>High
Edge</t>
  </si>
  <si>
    <t>Starting Element Length
(Lowest Frequency)</t>
  </si>
  <si>
    <t>Length of Each side
(Feet)</t>
  </si>
  <si>
    <t>Frequencies 
(Mhz)</t>
  </si>
  <si>
    <t>Low Length</t>
  </si>
  <si>
    <t>Mid Length</t>
  </si>
  <si>
    <t>High Length</t>
  </si>
  <si>
    <t>100 KHz
(Inches)</t>
  </si>
  <si>
    <t>Center
Band</t>
  </si>
  <si>
    <t>Length Center</t>
  </si>
  <si>
    <t>Length
High</t>
  </si>
  <si>
    <t>Length plus 3 100KHz  Increment Lengths
(feet + Inches)</t>
  </si>
  <si>
    <t>Preferred Radiator Length
(Each Side)
LARGE MARK AT THIS LENGTH</t>
  </si>
  <si>
    <t>Place 100 Khz Marks 
Every x Inches On
either side of
 LARGE MARK.</t>
  </si>
  <si>
    <t>For Low antennas:
Raising the antenna will raise its resonant frequency!</t>
  </si>
  <si>
    <t>The Total Wire Length To Cut will be Longer than Needed!
Fold the wire back to the LARGE MARK and Measure the SWR or
Resonant Frequency. Unfold the wire and fold at the nearest 100 KHz
mark previously made as needed. Both sides need to be
Exactly the same length for best match.</t>
  </si>
  <si>
    <t>LARGE MARK
at: (ft)</t>
  </si>
  <si>
    <t>Mark each 100KHz
3 before
LARGE MARK
3 after every:</t>
  </si>
  <si>
    <t>Feet
(Large Mark)
Point (ft)</t>
  </si>
  <si>
    <t>15M calculation is for postioning the Capacity Hat on the 40M Element! The distance from center of the Feed Point or a 15M element.</t>
  </si>
  <si>
    <t>Inverted "V" Values</t>
  </si>
  <si>
    <t>Horizontal or Fan Dipole Values</t>
  </si>
  <si>
    <t>Decimal
Feet</t>
  </si>
  <si>
    <t>AE2A Inverted "V" Antenna Calculator</t>
  </si>
  <si>
    <t>Preferred Length (Per Side)</t>
  </si>
  <si>
    <t>Preferred Length (Full Size)</t>
  </si>
  <si>
    <t>Mark each side
(LARGE MARK) At:</t>
  </si>
  <si>
    <t>AE2A Dipole Calculator</t>
  </si>
  <si>
    <t>Mark Center
of BAND at
(LARGE MARK)</t>
  </si>
  <si>
    <t>Length (each side) plus 3
100 KHz Increment Lengths</t>
  </si>
  <si>
    <t>Total Length plus 3 100KHz  
Increment Lengths
(Cut Length)</t>
  </si>
  <si>
    <t>+3 100 Khz
Increments 
Total Length
(Decimal ft)</t>
  </si>
  <si>
    <t>Width of Feed Point (Decimal ft)</t>
  </si>
  <si>
    <t>Total Wire
Length To
Cut (Each Side)</t>
  </si>
  <si>
    <t>The Total Wire Length To Cut will be Longer than Needed!
Fold the wire back to the LARGE MARK and Measure the SWR or
Resonant Frequency. Unfold the wire and fold at the nearest 100 KHz
mark previously made as needed. Both sides need to be
Exactly the same length for best match. An additional 1.5" has been allowed for connections.</t>
  </si>
  <si>
    <t>Length plus 3-100 KHz 
Increment Lengths (Decimal feet)</t>
  </si>
  <si>
    <t>Calculations based on the "Low Length" You will need to shorten the elements. Values rounded to nearest 1/16".</t>
  </si>
  <si>
    <t>AE2A Inverted "V" Calculator</t>
  </si>
  <si>
    <r>
      <t>V</t>
    </r>
    <r>
      <rPr>
        <b/>
        <vertAlign val="subscript"/>
        <sz val="12"/>
        <color theme="1"/>
        <rFont val="Calibri"/>
        <family val="2"/>
        <scheme val="minor"/>
      </rPr>
      <t>f</t>
    </r>
  </si>
  <si>
    <t>COAX Type</t>
  </si>
  <si>
    <t>RG-8</t>
  </si>
  <si>
    <t>LMR-400</t>
  </si>
  <si>
    <t>RG-8X</t>
  </si>
  <si>
    <t>RG-11</t>
  </si>
  <si>
    <t>RG-58</t>
  </si>
  <si>
    <t>LMR-195</t>
  </si>
  <si>
    <t>RG-59</t>
  </si>
  <si>
    <t>RG-62</t>
  </si>
  <si>
    <t>RG-174</t>
  </si>
  <si>
    <t>RG-213</t>
  </si>
  <si>
    <t>RG-214</t>
  </si>
  <si>
    <t>RG-217</t>
  </si>
  <si>
    <t>RG-218</t>
  </si>
  <si>
    <t>RG-316</t>
  </si>
  <si>
    <t>RG-400</t>
  </si>
  <si>
    <t>LMR-600</t>
  </si>
  <si>
    <t>LDF-4</t>
  </si>
  <si>
    <t>LDF-5</t>
  </si>
  <si>
    <t>1/2" Hardline</t>
  </si>
  <si>
    <t>7/8" Hardline</t>
  </si>
  <si>
    <t>Select COAX</t>
  </si>
  <si>
    <t>DXE-240</t>
  </si>
  <si>
    <t>DXE-400</t>
  </si>
  <si>
    <t>DXE-600</t>
  </si>
  <si>
    <t>LMR-240</t>
  </si>
  <si>
    <t>LMR-400UF</t>
  </si>
  <si>
    <t>LMR-240UF</t>
  </si>
  <si>
    <t>RG-8U(9913)</t>
  </si>
  <si>
    <t>Foam FE</t>
  </si>
  <si>
    <t>Foam FS</t>
  </si>
  <si>
    <t>Undefined</t>
  </si>
  <si>
    <t>COAX Length
End to End</t>
  </si>
  <si>
    <t>½λ Free-Space</t>
  </si>
  <si>
    <t>½λ By Velocity Factor
of COAX Used</t>
  </si>
  <si>
    <t>Parameter</t>
  </si>
  <si>
    <r>
      <rPr>
        <b/>
        <sz val="12"/>
        <color theme="1"/>
        <rFont val="Calibri"/>
        <family val="2"/>
      </rPr>
      <t>¼</t>
    </r>
    <r>
      <rPr>
        <b/>
        <sz val="12"/>
        <color theme="1"/>
        <rFont val="Calibri"/>
        <family val="2"/>
        <scheme val="minor"/>
      </rPr>
      <t>λ COAX Length
Each side</t>
    </r>
  </si>
  <si>
    <r>
      <rPr>
        <b/>
        <sz val="10"/>
        <color theme="1"/>
        <rFont val="Wingdings"/>
        <charset val="2"/>
      </rPr>
      <t>é</t>
    </r>
    <r>
      <rPr>
        <b/>
        <sz val="7.5"/>
        <color theme="1"/>
        <rFont val="Calibri"/>
        <family val="2"/>
      </rPr>
      <t xml:space="preserve">
</t>
    </r>
    <r>
      <rPr>
        <b/>
        <sz val="10"/>
        <color theme="1"/>
        <rFont val="Calibri"/>
        <family val="2"/>
        <scheme val="minor"/>
      </rPr>
      <t>Adjust to Suit</t>
    </r>
  </si>
  <si>
    <t>Triple Bazooka:
The Triple Bazooka simply adds another  ¼λ radiator section at the feed point. 
The dimensions are the same as for the Double Bazooka. This design will lower the SWR and improve the overall bandwith.
Note that the third ¼λ radiator section will also radiate because the input is applied to the sheild.
You may choose to connect an SO-239 to the third ¼λ radiator section for convenience.</t>
  </si>
  <si>
    <t>Overall Length</t>
  </si>
  <si>
    <t>Error Check</t>
  </si>
  <si>
    <t>Overall Length
(λ=468/f)</t>
  </si>
  <si>
    <r>
      <t>Radiating Element
(468/f * V</t>
    </r>
    <r>
      <rPr>
        <b/>
        <vertAlign val="subscript"/>
        <sz val="16"/>
        <color theme="1"/>
        <rFont val="Calibri"/>
        <family val="2"/>
        <scheme val="minor"/>
      </rPr>
      <t>f)</t>
    </r>
  </si>
  <si>
    <t>Resonating Element
(468/f * Vf)/2</t>
  </si>
  <si>
    <r>
      <t>Tuning Element
((468/f)-(468/f * V</t>
    </r>
    <r>
      <rPr>
        <b/>
        <vertAlign val="subscript"/>
        <sz val="16"/>
        <color theme="1"/>
        <rFont val="Calibri"/>
        <family val="2"/>
        <scheme val="minor"/>
      </rPr>
      <t>f</t>
    </r>
    <r>
      <rPr>
        <b/>
        <sz val="16"/>
        <color theme="1"/>
        <rFont val="Calibri"/>
        <family val="2"/>
        <scheme val="minor"/>
      </rPr>
      <t>)/2)</t>
    </r>
  </si>
  <si>
    <r>
      <t>Velocity Factor
of COAX (V</t>
    </r>
    <r>
      <rPr>
        <b/>
        <vertAlign val="subscript"/>
        <sz val="12"/>
        <color theme="1"/>
        <rFont val="Calibri"/>
        <family val="2"/>
        <scheme val="minor"/>
      </rPr>
      <t>f</t>
    </r>
    <r>
      <rPr>
        <b/>
        <sz val="12"/>
        <color theme="1"/>
        <rFont val="Calibri"/>
        <family val="2"/>
        <scheme val="minor"/>
      </rPr>
      <t>)</t>
    </r>
  </si>
  <si>
    <r>
      <rPr>
        <b/>
        <sz val="14"/>
        <color theme="1"/>
        <rFont val="Waker"/>
      </rPr>
      <t xml:space="preserve"> </t>
    </r>
    <r>
      <rPr>
        <b/>
        <sz val="14"/>
        <color theme="1"/>
        <rFont val="Wingdings"/>
        <charset val="2"/>
      </rPr>
      <t>ç</t>
    </r>
    <r>
      <rPr>
        <b/>
        <sz val="14"/>
        <color theme="1"/>
        <rFont val="Calibri"/>
        <family val="2"/>
      </rPr>
      <t xml:space="preserve"> SELECT COAX TYPE FROM DROP-DOWN</t>
    </r>
  </si>
  <si>
    <t>Should be 
0.00</t>
  </si>
  <si>
    <t>Total Length of the Bazooka Type antenna does not change with COAX type, only the radiating/resonating sections will change length and the difference will be the 'tail length' used for final tuning.</t>
  </si>
  <si>
    <r>
      <rPr>
        <b/>
        <sz val="12"/>
        <color theme="1"/>
        <rFont val="Calibri"/>
        <family val="2"/>
        <scheme val="minor"/>
      </rPr>
      <t>GENERAL INSTRUCTIONS:</t>
    </r>
    <r>
      <rPr>
        <sz val="12"/>
        <color theme="1"/>
        <rFont val="Calibri"/>
        <family val="2"/>
        <scheme val="minor"/>
      </rPr>
      <t xml:space="preserve">
Do NOT use any coax that has a foil shield wrapping.  It will work, but the Bazooka was designed to work best with a leaky type of coax.  A foil shield wrap will defeat this concept and the antenna will not perform as well. For the full length of the antenna enter the following formula into a calculator. The average center frequency of 40 meters is 7.150MHz, so this is the frequency we will stick with to build our 40 meter Bazooka.The simple formula is  468 ÷  7.150 = 65.45454545.  This is roughly 65 feet 5 inches. So the entire length of the antenna is 468 divided by the frequency in MHz (7.150) which equals 65' 5-7/16". It is always best to cut the antenna longer  than you actually need. So cut the coax length at 66 feet.   You can always cut off what you don't need later to match the SWR. Now you have the total length of the antenna. Next measure exactly half of the entire length to find the very center of the antenna, and mark it with a small wrap of electrical tape. This will be important for building the rest of this antenna. Next you need to calculate the amount of the wire that will retain the shielding, and how much will not retain the shielding for the tails.  In figure 1  you see the black part of the antenna that represents the radiating element.  This part has to be calculated (using the velocity factor of the coax used) exactly. This time we will use the Velocity Factor and COAX type in the formula, and the same center frequency of 7.150. So on your calculator enter  468 ÷ 7.150 = 65.45454545  X 0.66 (the Velocity factor of RG-58) = 43.2  This is close enough to 43 feet 1 inches. This becomes the entire length of the black part (Radiator) of the antenna. Now divide the total  43' 1" ÷ 2 which equals 21 feet, 7-3/16 inches. Now measure from the center mark of the antenna, 21 feet, 7-3/16 inches towards one end of the Bazooka, and mark it clearly and exactly.  Then do the same from the center mark to the other end of the Bazooka and mark it clearly and exactly. Now you have marked the full length of the main radiating element, and the extra length beyond the new markings will become the tails. This calculator will allow you to select the type of COAX used from a drop-down menu and plug in the correct velocity factor in the calculations. Now we are going to connect the coax feedline to the antenna. As shown in Fig. 2  (left side of pic), you need to use a sharp knife to cut away the black jacket of the coax to expose the copper braid. From the center mark remove 2 inches to the left, and 2 inches to the right of center. As in Fig. 2, you should have removed 4 inches of the black jacket. Be careful not to cut into the copper braid. You just want to remove the black jacket only. Now, with the knife, cut the copper braid in the exact center, all the way around the coax in a circle. But do NOT cut into the white foam that covers the center conductor.  All you are doing here is separating the braided shield in the center to make 2 separate braided wires on each side of center.  As shown in Fig.2 above, (right side of pic), un-braid the copper shield, and twist the wires together to make 2 pigtails, 1 from each side. One of the pigtails will connect to the center conductor of the coax feedline.  The other pigtail will connect to the braided shield of the coax feedline. Solder both connections well.  Make sure connections are solid, clean, and can not touch each other.  Then seal the entire open wire area with silicone or any non-conductive epoxy to make the area water proof, and allow to completely harden. Just remember that once the sillicone has hardened, you can not go back and repair the connections. So be sure to do it correctly the first time. As an option to give the Bazooka a connector feedpoint, you can cut the feedline that you have just soldered to the Bazooka, a few feet down and put a PL-259 on it with a double female coupler. This gives you a new feedpoint that accepts a PL-259, and makes it easy to disconnect the feedline and work on the antenna .</t>
    </r>
  </si>
  <si>
    <t>NOTE: The bandwidth of a properly constructed Double-Bazooka antenna is sufficiently wide as to provide an low SWR across the entire amateur band. Use the  measurements given in the table above. The frequencies of each band are adjustable (editable) for reference purposes and should not be modified unless you want to shift the entire bandpass (lowest SWR point) up or down, or for MARS use.</t>
  </si>
  <si>
    <t>AE2A Double/Triple Bazooka Calculator</t>
  </si>
  <si>
    <t>LMR-500/M&amp;P A5</t>
  </si>
  <si>
    <t>M&amp;P UF 7/10</t>
  </si>
  <si>
    <t>M&amp;P HF 5/10</t>
  </si>
  <si>
    <t>15M element is third harmonic of 40M element and 10M element is second harmonic of 20M element and may interact with each other.</t>
  </si>
  <si>
    <r>
      <t>Use a V</t>
    </r>
    <r>
      <rPr>
        <b/>
        <vertAlign val="subscript"/>
        <sz val="12"/>
        <color theme="1"/>
        <rFont val="Calibri"/>
        <family val="2"/>
        <scheme val="minor"/>
      </rPr>
      <t>f</t>
    </r>
    <r>
      <rPr>
        <b/>
        <sz val="12"/>
        <color theme="1"/>
        <rFont val="Calibri"/>
        <family val="2"/>
        <scheme val="minor"/>
      </rPr>
      <t xml:space="preserve"> of 5% </t>
    </r>
    <r>
      <rPr>
        <b/>
        <sz val="12"/>
        <color rgb="FFC00000"/>
        <rFont val="Calibri"/>
        <family val="2"/>
        <scheme val="minor"/>
      </rPr>
      <t xml:space="preserve">LESS </t>
    </r>
    <r>
      <rPr>
        <b/>
        <sz val="12"/>
        <color theme="1"/>
        <rFont val="Calibri"/>
        <family val="2"/>
        <scheme val="minor"/>
      </rPr>
      <t>if calculating for an Inverted "V" antenna or low height.  See Below Chart.</t>
    </r>
  </si>
  <si>
    <t>For Low antennas: Resonant frequency will be LOWER than calculated!
Raising the antenna will INCREASE its resonant frequency!</t>
  </si>
  <si>
    <t>Approximate Tail Length
Each Side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</si>
</sst>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31" x14ac:knownFonts="1">
    <font>
      <sz val="12"/>
      <color theme="1"/>
      <name val="Calibri"/>
      <family val="2"/>
      <scheme val="minor"/>
    </font>
    <font>
      <u/>
      <sz val="12"/>
      <color theme="10"/>
      <name val="Calibri"/>
      <family val="2"/>
      <scheme val="minor"/>
    </font>
    <font>
      <u/>
      <sz val="12"/>
      <color theme="11"/>
      <name val="Calibri"/>
      <family val="2"/>
      <scheme val="minor"/>
    </font>
    <font>
      <b/>
      <sz val="12"/>
      <color theme="1"/>
      <name val="Calibri"/>
      <family val="2"/>
      <scheme val="minor"/>
    </font>
    <font>
      <sz val="12"/>
      <name val="Calibri"/>
      <family val="2"/>
      <scheme val="minor"/>
    </font>
    <font>
      <sz val="11"/>
      <color rgb="FF006100"/>
      <name val="Calibri"/>
      <family val="2"/>
      <scheme val="minor"/>
    </font>
    <font>
      <sz val="11"/>
      <color rgb="FF9C6500"/>
      <name val="Calibri"/>
      <family val="2"/>
      <scheme val="minor"/>
    </font>
    <font>
      <sz val="11"/>
      <name val="Calibri"/>
      <family val="2"/>
      <scheme val="minor"/>
    </font>
    <font>
      <b/>
      <sz val="12"/>
      <color theme="3"/>
      <name val="Calibri"/>
      <family val="2"/>
      <scheme val="minor"/>
    </font>
    <font>
      <b/>
      <sz val="12"/>
      <color rgb="FFC00000"/>
      <name val="Calibri"/>
      <family val="2"/>
      <scheme val="minor"/>
    </font>
    <font>
      <b/>
      <vertAlign val="subscript"/>
      <sz val="12"/>
      <color theme="1"/>
      <name val="Calibri"/>
      <family val="2"/>
      <scheme val="minor"/>
    </font>
    <font>
      <i/>
      <sz val="12"/>
      <color theme="1"/>
      <name val="Calibri"/>
      <family val="2"/>
      <scheme val="minor"/>
    </font>
    <font>
      <i/>
      <vertAlign val="subscript"/>
      <sz val="12"/>
      <color theme="1"/>
      <name val="Calibri"/>
      <family val="2"/>
      <scheme val="minor"/>
    </font>
    <font>
      <b/>
      <i/>
      <sz val="12"/>
      <color theme="1"/>
      <name val="Calibri"/>
      <family val="2"/>
      <scheme val="minor"/>
    </font>
    <font>
      <b/>
      <sz val="10"/>
      <color theme="1"/>
      <name val="Calibri"/>
      <family val="2"/>
      <scheme val="minor"/>
    </font>
    <font>
      <sz val="9"/>
      <color indexed="81"/>
      <name val="Tahoma"/>
      <family val="2"/>
    </font>
    <font>
      <b/>
      <sz val="9"/>
      <color indexed="81"/>
      <name val="Tahoma"/>
      <family val="2"/>
    </font>
    <font>
      <b/>
      <i/>
      <u/>
      <sz val="12"/>
      <color theme="1"/>
      <name val="Calibri"/>
      <family val="2"/>
      <scheme val="minor"/>
    </font>
    <font>
      <b/>
      <i/>
      <u/>
      <sz val="12"/>
      <name val="Calibri"/>
      <family val="2"/>
      <scheme val="minor"/>
    </font>
    <font>
      <b/>
      <sz val="14"/>
      <color theme="1"/>
      <name val="Calibri"/>
      <family val="2"/>
      <scheme val="minor"/>
    </font>
    <font>
      <b/>
      <sz val="16"/>
      <color theme="1"/>
      <name val="Calibri"/>
      <family val="2"/>
      <scheme val="minor"/>
    </font>
    <font>
      <b/>
      <sz val="12"/>
      <color theme="1"/>
      <name val="Calibri"/>
      <family val="2"/>
    </font>
    <font>
      <b/>
      <sz val="10"/>
      <color theme="1"/>
      <name val="Wingdings"/>
      <charset val="2"/>
    </font>
    <font>
      <b/>
      <sz val="7.5"/>
      <color theme="1"/>
      <name val="Calibri"/>
      <family val="2"/>
    </font>
    <font>
      <sz val="14"/>
      <color theme="1"/>
      <name val="Calibri"/>
      <family val="2"/>
      <scheme val="minor"/>
    </font>
    <font>
      <b/>
      <vertAlign val="subscript"/>
      <sz val="16"/>
      <color theme="1"/>
      <name val="Calibri"/>
      <family val="2"/>
      <scheme val="minor"/>
    </font>
    <font>
      <b/>
      <sz val="14"/>
      <color theme="1"/>
      <name val="Calibri"/>
      <family val="2"/>
    </font>
    <font>
      <b/>
      <sz val="14"/>
      <color theme="1"/>
      <name val="Waker"/>
    </font>
    <font>
      <b/>
      <sz val="14"/>
      <color theme="1"/>
      <name val="Wingdings"/>
      <charset val="2"/>
    </font>
    <font>
      <sz val="9"/>
      <color indexed="81"/>
      <name val="Tahoma"/>
      <charset val="1"/>
    </font>
    <font>
      <b/>
      <sz val="9"/>
      <color indexed="81"/>
      <name val="Tahoma"/>
      <charset val="1"/>
    </font>
  </fonts>
  <fills count="16">
    <fill>
      <patternFill patternType="none"/>
    </fill>
    <fill>
      <patternFill patternType="gray125"/>
    </fill>
    <fill>
      <patternFill patternType="solid">
        <fgColor theme="6" tint="0.79998168889431442"/>
        <bgColor indexed="64"/>
      </patternFill>
    </fill>
    <fill>
      <patternFill patternType="solid">
        <fgColor theme="5" tint="0.79998168889431442"/>
        <bgColor indexed="64"/>
      </patternFill>
    </fill>
    <fill>
      <patternFill patternType="solid">
        <fgColor rgb="FFFFFF99"/>
        <bgColor indexed="64"/>
      </patternFill>
    </fill>
    <fill>
      <patternFill patternType="solid">
        <fgColor theme="6" tint="0.59999389629810485"/>
        <bgColor indexed="64"/>
      </patternFill>
    </fill>
    <fill>
      <patternFill patternType="solid">
        <fgColor indexed="65"/>
        <bgColor theme="0" tint="-0.499984740745262"/>
      </patternFill>
    </fill>
    <fill>
      <patternFill patternType="solid">
        <fgColor rgb="FFFFFF99"/>
        <bgColor theme="0" tint="-0.499984740745262"/>
      </patternFill>
    </fill>
    <fill>
      <patternFill patternType="solid">
        <fgColor theme="5" tint="0.79998168889431442"/>
        <bgColor theme="0" tint="-0.499984740745262"/>
      </patternFill>
    </fill>
    <fill>
      <patternFill patternType="solid">
        <fgColor theme="6" tint="0.79995117038483843"/>
        <bgColor auto="1"/>
      </patternFill>
    </fill>
    <fill>
      <patternFill patternType="solid">
        <fgColor indexed="65"/>
        <bgColor auto="1"/>
      </patternFill>
    </fill>
    <fill>
      <patternFill patternType="solid">
        <fgColor rgb="FFC6EFCE"/>
      </patternFill>
    </fill>
    <fill>
      <patternFill patternType="solid">
        <fgColor rgb="FFFFEB9C"/>
      </patternFill>
    </fill>
    <fill>
      <patternFill patternType="solid">
        <fgColor theme="8" tint="0.79998168889431442"/>
        <bgColor indexed="64"/>
      </patternFill>
    </fill>
    <fill>
      <patternFill patternType="solid">
        <fgColor rgb="FFFFFF00"/>
        <bgColor indexed="64"/>
      </patternFill>
    </fill>
    <fill>
      <patternFill patternType="solid">
        <fgColor rgb="FFFFC00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3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5" fillId="11" borderId="0" applyNumberFormat="0" applyBorder="0" applyAlignment="0" applyProtection="0"/>
    <xf numFmtId="0" fontId="6" fillId="12" borderId="0" applyNumberFormat="0" applyBorder="0" applyAlignment="0" applyProtection="0"/>
  </cellStyleXfs>
  <cellXfs count="219">
    <xf numFmtId="0" fontId="0" fillId="0" borderId="0" xfId="0"/>
    <xf numFmtId="0" fontId="0" fillId="0" borderId="0" xfId="0" applyAlignment="1">
      <alignment horizontal="center"/>
    </xf>
    <xf numFmtId="0" fontId="0" fillId="2" borderId="1" xfId="0" applyFill="1" applyBorder="1" applyAlignment="1">
      <alignment horizontal="center"/>
    </xf>
    <xf numFmtId="0" fontId="0" fillId="3" borderId="1" xfId="0" applyFill="1" applyBorder="1" applyAlignment="1">
      <alignment horizontal="center"/>
    </xf>
    <xf numFmtId="0" fontId="0" fillId="5" borderId="1" xfId="0" applyFill="1" applyBorder="1" applyAlignment="1">
      <alignment horizontal="center"/>
    </xf>
    <xf numFmtId="2" fontId="0" fillId="5" borderId="1" xfId="0" applyNumberFormat="1" applyFill="1" applyBorder="1" applyAlignment="1">
      <alignment horizontal="center"/>
    </xf>
    <xf numFmtId="164" fontId="0" fillId="2" borderId="1" xfId="0" applyNumberFormat="1" applyFill="1" applyBorder="1" applyAlignment="1">
      <alignment horizontal="center"/>
    </xf>
    <xf numFmtId="164" fontId="0" fillId="3" borderId="1" xfId="0" applyNumberFormat="1" applyFill="1" applyBorder="1" applyAlignment="1">
      <alignment horizontal="center"/>
    </xf>
    <xf numFmtId="2" fontId="0" fillId="3" borderId="1" xfId="0" applyNumberFormat="1" applyFill="1" applyBorder="1" applyAlignment="1">
      <alignment horizontal="center"/>
    </xf>
    <xf numFmtId="2" fontId="0" fillId="2" borderId="1" xfId="0" applyNumberFormat="1" applyFill="1" applyBorder="1" applyAlignment="1">
      <alignment horizontal="center"/>
    </xf>
    <xf numFmtId="0" fontId="3" fillId="0" borderId="0" xfId="0" applyFont="1"/>
    <xf numFmtId="2" fontId="0" fillId="0" borderId="0" xfId="0" applyNumberFormat="1" applyAlignment="1">
      <alignment horizontal="center"/>
    </xf>
    <xf numFmtId="2" fontId="0" fillId="0" borderId="1" xfId="0" applyNumberFormat="1" applyBorder="1" applyAlignment="1">
      <alignment horizontal="center"/>
    </xf>
    <xf numFmtId="0" fontId="0" fillId="0" borderId="0" xfId="0" applyAlignment="1">
      <alignment horizontal="center" vertical="center"/>
    </xf>
    <xf numFmtId="0" fontId="0" fillId="0" borderId="1" xfId="0" applyBorder="1" applyAlignment="1">
      <alignment horizontal="center" vertical="center" wrapText="1"/>
    </xf>
    <xf numFmtId="2" fontId="0" fillId="0" borderId="2" xfId="0" applyNumberFormat="1" applyBorder="1" applyAlignment="1">
      <alignment horizontal="center"/>
    </xf>
    <xf numFmtId="0" fontId="0" fillId="0" borderId="15" xfId="0" applyBorder="1" applyAlignment="1">
      <alignment horizontal="center" vertical="center"/>
    </xf>
    <xf numFmtId="0" fontId="0" fillId="0" borderId="0" xfId="0" applyBorder="1" applyAlignment="1">
      <alignment horizontal="center" vertical="center"/>
    </xf>
    <xf numFmtId="0" fontId="0" fillId="0" borderId="0" xfId="0" applyBorder="1"/>
    <xf numFmtId="0" fontId="0" fillId="0" borderId="17" xfId="0" applyBorder="1" applyAlignment="1">
      <alignment horizontal="center" vertical="center"/>
    </xf>
    <xf numFmtId="0" fontId="0" fillId="0" borderId="19" xfId="0" applyBorder="1" applyAlignment="1">
      <alignment horizontal="center" vertical="center"/>
    </xf>
    <xf numFmtId="0" fontId="7" fillId="12" borderId="5" xfId="36" applyFont="1" applyBorder="1" applyAlignment="1">
      <alignment horizontal="center" vertical="center"/>
    </xf>
    <xf numFmtId="0" fontId="7" fillId="11" borderId="5" xfId="35" applyFont="1" applyBorder="1" applyAlignment="1">
      <alignment horizontal="center" vertical="center"/>
    </xf>
    <xf numFmtId="2" fontId="0" fillId="13" borderId="5" xfId="0" applyNumberFormat="1" applyFont="1" applyFill="1" applyBorder="1" applyAlignment="1">
      <alignment horizontal="center" vertical="center"/>
    </xf>
    <xf numFmtId="164" fontId="0" fillId="3" borderId="12" xfId="0" applyNumberFormat="1" applyFill="1" applyBorder="1" applyAlignment="1">
      <alignment horizontal="center" vertical="center"/>
    </xf>
    <xf numFmtId="164" fontId="0" fillId="3" borderId="2" xfId="0" applyNumberFormat="1" applyFill="1" applyBorder="1" applyAlignment="1">
      <alignment horizontal="center" vertical="center"/>
    </xf>
    <xf numFmtId="164" fontId="0" fillId="3" borderId="9" xfId="0" applyNumberFormat="1" applyFill="1" applyBorder="1" applyAlignment="1">
      <alignment horizontal="center" vertical="center"/>
    </xf>
    <xf numFmtId="0" fontId="0" fillId="0" borderId="0" xfId="0" applyBorder="1" applyAlignment="1">
      <alignment wrapText="1"/>
    </xf>
    <xf numFmtId="164" fontId="4" fillId="9" borderId="1" xfId="0" applyNumberFormat="1" applyFont="1" applyFill="1" applyBorder="1" applyAlignment="1">
      <alignment horizontal="center"/>
    </xf>
    <xf numFmtId="164" fontId="4" fillId="8" borderId="1" xfId="0" applyNumberFormat="1" applyFont="1" applyFill="1" applyBorder="1" applyAlignment="1">
      <alignment horizontal="center"/>
    </xf>
    <xf numFmtId="164" fontId="4" fillId="2" borderId="1" xfId="0" applyNumberFormat="1" applyFont="1" applyFill="1" applyBorder="1" applyAlignment="1">
      <alignment horizontal="center"/>
    </xf>
    <xf numFmtId="164" fontId="4" fillId="3" borderId="1" xfId="0" applyNumberFormat="1" applyFont="1" applyFill="1" applyBorder="1" applyAlignment="1">
      <alignment horizontal="center"/>
    </xf>
    <xf numFmtId="0" fontId="0" fillId="0" borderId="1" xfId="0" quotePrefix="1" applyBorder="1" applyAlignment="1">
      <alignment horizontal="center" vertical="center" wrapText="1"/>
    </xf>
    <xf numFmtId="164" fontId="0" fillId="0" borderId="2" xfId="0" applyNumberFormat="1" applyBorder="1" applyAlignment="1">
      <alignment horizontal="center" vertical="center" wrapText="1"/>
    </xf>
    <xf numFmtId="0" fontId="3" fillId="14" borderId="7" xfId="0" applyFont="1" applyFill="1" applyBorder="1" applyAlignment="1">
      <alignment horizontal="center" vertical="center" wrapText="1"/>
    </xf>
    <xf numFmtId="0" fontId="3" fillId="14" borderId="14" xfId="0" applyFont="1" applyFill="1" applyBorder="1" applyAlignment="1">
      <alignment horizontal="center" vertical="center" wrapText="1"/>
    </xf>
    <xf numFmtId="2" fontId="3" fillId="0" borderId="1" xfId="0" applyNumberFormat="1" applyFont="1" applyBorder="1" applyAlignment="1">
      <alignment horizontal="center"/>
    </xf>
    <xf numFmtId="0" fontId="11" fillId="0" borderId="8" xfId="0" applyFont="1" applyBorder="1" applyAlignment="1">
      <alignment horizontal="center" vertical="center"/>
    </xf>
    <xf numFmtId="0" fontId="11" fillId="2" borderId="8"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5" borderId="8" xfId="0" applyFont="1" applyFill="1" applyBorder="1" applyAlignment="1">
      <alignment horizontal="center" vertical="center"/>
    </xf>
    <xf numFmtId="0" fontId="11" fillId="2" borderId="8" xfId="0" applyFont="1" applyFill="1" applyBorder="1" applyAlignment="1">
      <alignment horizontal="center" vertical="center"/>
    </xf>
    <xf numFmtId="0" fontId="11" fillId="3" borderId="11" xfId="0" applyFont="1" applyFill="1" applyBorder="1" applyAlignment="1">
      <alignment horizontal="center" vertical="center"/>
    </xf>
    <xf numFmtId="0" fontId="11" fillId="0" borderId="8" xfId="0" applyFont="1" applyFill="1" applyBorder="1" applyAlignment="1">
      <alignment horizontal="center" vertical="center"/>
    </xf>
    <xf numFmtId="0" fontId="0" fillId="0" borderId="1" xfId="0" applyFill="1" applyBorder="1" applyAlignment="1">
      <alignment horizontal="center"/>
    </xf>
    <xf numFmtId="0" fontId="4" fillId="0" borderId="1" xfId="0" applyFont="1" applyFill="1" applyBorder="1" applyAlignment="1">
      <alignment horizontal="center"/>
    </xf>
    <xf numFmtId="0" fontId="3" fillId="14" borderId="13" xfId="0" applyFont="1" applyFill="1" applyBorder="1" applyAlignment="1">
      <alignment horizontal="center" vertical="center" wrapText="1"/>
    </xf>
    <xf numFmtId="164" fontId="3" fillId="14" borderId="12" xfId="0" applyNumberFormat="1" applyFont="1" applyFill="1" applyBorder="1" applyAlignment="1">
      <alignment horizontal="center" vertical="center" wrapText="1"/>
    </xf>
    <xf numFmtId="0" fontId="3" fillId="14" borderId="5" xfId="0" applyFont="1" applyFill="1" applyBorder="1" applyAlignment="1">
      <alignment horizontal="center" vertical="center" wrapText="1"/>
    </xf>
    <xf numFmtId="164" fontId="0" fillId="2" borderId="4" xfId="0" applyNumberFormat="1" applyFill="1" applyBorder="1" applyAlignment="1">
      <alignment horizontal="center"/>
    </xf>
    <xf numFmtId="2" fontId="0" fillId="0" borderId="9" xfId="0" applyNumberFormat="1" applyBorder="1" applyAlignment="1">
      <alignment horizontal="center"/>
    </xf>
    <xf numFmtId="0" fontId="3" fillId="14" borderId="21" xfId="0" applyFont="1" applyFill="1" applyBorder="1" applyAlignment="1">
      <alignment horizontal="center" vertical="center"/>
    </xf>
    <xf numFmtId="0" fontId="0" fillId="0" borderId="26" xfId="0" applyFont="1" applyBorder="1" applyAlignment="1">
      <alignment horizontal="center" vertical="center" wrapText="1"/>
    </xf>
    <xf numFmtId="0" fontId="0" fillId="0" borderId="26" xfId="0" applyBorder="1" applyAlignment="1">
      <alignment horizontal="center" vertical="center"/>
    </xf>
    <xf numFmtId="0" fontId="0" fillId="0" borderId="41" xfId="0" applyBorder="1" applyAlignment="1">
      <alignment horizontal="center" vertical="center"/>
    </xf>
    <xf numFmtId="2" fontId="13" fillId="0" borderId="1" xfId="0" applyNumberFormat="1" applyFont="1" applyBorder="1" applyAlignment="1">
      <alignment horizontal="center" vertical="center"/>
    </xf>
    <xf numFmtId="0" fontId="3" fillId="14" borderId="6" xfId="0" applyFont="1" applyFill="1" applyBorder="1" applyAlignment="1">
      <alignment horizontal="center" vertical="center"/>
    </xf>
    <xf numFmtId="0" fontId="11" fillId="0" borderId="44" xfId="0" applyFont="1" applyBorder="1" applyAlignment="1">
      <alignment horizontal="center" vertical="center"/>
    </xf>
    <xf numFmtId="0" fontId="0" fillId="0" borderId="15" xfId="0" applyBorder="1" applyAlignment="1">
      <alignment horizontal="center"/>
    </xf>
    <xf numFmtId="164" fontId="0" fillId="0" borderId="26" xfId="0" applyNumberFormat="1" applyBorder="1" applyAlignment="1">
      <alignment horizontal="center"/>
    </xf>
    <xf numFmtId="0" fontId="0" fillId="6" borderId="15" xfId="0" applyFill="1" applyBorder="1" applyAlignment="1">
      <alignment horizontal="center"/>
    </xf>
    <xf numFmtId="0" fontId="0" fillId="10" borderId="15" xfId="0" applyFill="1" applyBorder="1" applyAlignment="1">
      <alignment horizontal="center"/>
    </xf>
    <xf numFmtId="0" fontId="3" fillId="15" borderId="6" xfId="0" applyFont="1" applyFill="1" applyBorder="1" applyAlignment="1">
      <alignment horizontal="center" vertical="center"/>
    </xf>
    <xf numFmtId="0" fontId="3" fillId="15" borderId="7" xfId="0" applyFont="1" applyFill="1" applyBorder="1" applyAlignment="1">
      <alignment horizontal="center" vertical="center" wrapText="1"/>
    </xf>
    <xf numFmtId="0" fontId="3" fillId="15" borderId="14" xfId="0" applyFont="1" applyFill="1" applyBorder="1" applyAlignment="1">
      <alignment horizontal="center" vertical="center" wrapText="1"/>
    </xf>
    <xf numFmtId="0" fontId="3" fillId="15" borderId="13" xfId="0" applyFont="1" applyFill="1" applyBorder="1" applyAlignment="1">
      <alignment horizontal="center" vertical="center" wrapText="1"/>
    </xf>
    <xf numFmtId="2" fontId="7" fillId="12" borderId="12" xfId="36" applyNumberFormat="1" applyFont="1" applyBorder="1" applyAlignment="1">
      <alignment horizontal="right" vertical="center"/>
    </xf>
    <xf numFmtId="2" fontId="7" fillId="12" borderId="20" xfId="36" applyNumberFormat="1" applyFont="1" applyBorder="1" applyAlignment="1">
      <alignment vertical="center"/>
    </xf>
    <xf numFmtId="2" fontId="7" fillId="11" borderId="20" xfId="35" applyNumberFormat="1" applyFont="1" applyBorder="1" applyAlignment="1">
      <alignment horizontal="center" vertical="center"/>
    </xf>
    <xf numFmtId="2" fontId="7" fillId="12" borderId="3" xfId="36" applyNumberFormat="1" applyFont="1" applyBorder="1" applyAlignment="1">
      <alignment vertical="center"/>
    </xf>
    <xf numFmtId="2" fontId="7" fillId="12" borderId="18" xfId="36" applyNumberFormat="1" applyFont="1" applyBorder="1" applyAlignment="1">
      <alignment vertical="center"/>
    </xf>
    <xf numFmtId="2" fontId="7" fillId="12" borderId="2" xfId="36" applyNumberFormat="1" applyFont="1" applyBorder="1" applyAlignment="1">
      <alignment horizontal="right" vertical="center"/>
    </xf>
    <xf numFmtId="2" fontId="7" fillId="12" borderId="9" xfId="36" applyNumberFormat="1" applyFont="1" applyBorder="1" applyAlignment="1">
      <alignment horizontal="right" vertical="center"/>
    </xf>
    <xf numFmtId="2" fontId="3" fillId="4" borderId="1" xfId="0" applyNumberFormat="1" applyFont="1" applyFill="1" applyBorder="1" applyAlignment="1">
      <alignment horizontal="center"/>
    </xf>
    <xf numFmtId="0" fontId="3" fillId="14" borderId="7" xfId="0" applyFont="1" applyFill="1" applyBorder="1" applyAlignment="1">
      <alignment horizontal="center" vertical="center"/>
    </xf>
    <xf numFmtId="0" fontId="3" fillId="14" borderId="30" xfId="0" applyFont="1" applyFill="1" applyBorder="1" applyAlignment="1">
      <alignment horizontal="center" vertical="center"/>
    </xf>
    <xf numFmtId="0" fontId="3" fillId="14" borderId="31" xfId="0" applyFont="1" applyFill="1" applyBorder="1" applyAlignment="1">
      <alignment horizontal="center" vertical="center" wrapText="1"/>
    </xf>
    <xf numFmtId="164" fontId="3" fillId="14" borderId="31" xfId="0" applyNumberFormat="1" applyFont="1" applyFill="1" applyBorder="1" applyAlignment="1">
      <alignment horizontal="center" vertical="center" wrapText="1"/>
    </xf>
    <xf numFmtId="164" fontId="3" fillId="14" borderId="32" xfId="0" applyNumberFormat="1" applyFont="1" applyFill="1" applyBorder="1" applyAlignment="1">
      <alignment horizontal="center" vertical="center" wrapText="1"/>
    </xf>
    <xf numFmtId="0" fontId="13" fillId="4" borderId="8" xfId="0" applyFont="1" applyFill="1" applyBorder="1" applyAlignment="1">
      <alignment horizontal="center" vertical="center" wrapText="1"/>
    </xf>
    <xf numFmtId="0" fontId="13" fillId="4" borderId="47" xfId="0" applyFont="1" applyFill="1" applyBorder="1" applyAlignment="1">
      <alignment horizontal="center" vertical="center" wrapText="1"/>
    </xf>
    <xf numFmtId="2" fontId="3" fillId="4" borderId="48" xfId="0" applyNumberFormat="1" applyFont="1" applyFill="1" applyBorder="1" applyAlignment="1">
      <alignment horizontal="center"/>
    </xf>
    <xf numFmtId="164" fontId="19" fillId="14" borderId="32" xfId="0" applyNumberFormat="1" applyFont="1" applyFill="1" applyBorder="1" applyAlignment="1">
      <alignment horizontal="center" vertical="center" wrapText="1"/>
    </xf>
    <xf numFmtId="0" fontId="3" fillId="13" borderId="21" xfId="0" applyFont="1" applyFill="1" applyBorder="1" applyAlignment="1">
      <alignment horizontal="center" vertical="center"/>
    </xf>
    <xf numFmtId="0" fontId="13" fillId="4" borderId="8" xfId="0" applyFont="1" applyFill="1" applyBorder="1" applyAlignment="1">
      <alignment horizontal="center" vertical="center"/>
    </xf>
    <xf numFmtId="0" fontId="3" fillId="4" borderId="1" xfId="0" applyFont="1" applyFill="1" applyBorder="1" applyAlignment="1">
      <alignment horizontal="center"/>
    </xf>
    <xf numFmtId="164" fontId="17" fillId="4" borderId="1" xfId="0" applyNumberFormat="1" applyFont="1" applyFill="1" applyBorder="1" applyAlignment="1">
      <alignment horizontal="center"/>
    </xf>
    <xf numFmtId="164" fontId="18" fillId="7" borderId="1" xfId="0" applyNumberFormat="1" applyFont="1" applyFill="1" applyBorder="1" applyAlignment="1">
      <alignment horizontal="center"/>
    </xf>
    <xf numFmtId="164" fontId="18" fillId="4" borderId="1" xfId="0" applyNumberFormat="1" applyFont="1" applyFill="1" applyBorder="1" applyAlignment="1">
      <alignment horizontal="center"/>
    </xf>
    <xf numFmtId="0" fontId="3" fillId="4" borderId="8"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164" fontId="3" fillId="0" borderId="0" xfId="0" applyNumberFormat="1" applyFont="1" applyAlignment="1">
      <alignment horizontal="center" vertical="center"/>
    </xf>
    <xf numFmtId="0" fontId="3" fillId="14" borderId="42" xfId="0" applyFont="1" applyFill="1" applyBorder="1" applyAlignment="1">
      <alignment horizontal="center" vertical="center"/>
    </xf>
    <xf numFmtId="0" fontId="3" fillId="14" borderId="13" xfId="0" applyFont="1" applyFill="1" applyBorder="1" applyAlignment="1">
      <alignment horizontal="center" vertical="center" wrapText="1"/>
    </xf>
    <xf numFmtId="0" fontId="13" fillId="4" borderId="51" xfId="0" applyFont="1" applyFill="1" applyBorder="1" applyAlignment="1">
      <alignment horizontal="center" vertical="center" wrapText="1"/>
    </xf>
    <xf numFmtId="2" fontId="3" fillId="4" borderId="4" xfId="0" applyNumberFormat="1" applyFont="1" applyFill="1" applyBorder="1" applyAlignment="1">
      <alignment horizontal="center"/>
    </xf>
    <xf numFmtId="2" fontId="3" fillId="4" borderId="49" xfId="0" applyNumberFormat="1" applyFont="1" applyFill="1" applyBorder="1" applyAlignment="1">
      <alignment horizontal="center"/>
    </xf>
    <xf numFmtId="0" fontId="24" fillId="0" borderId="0" xfId="0" applyFont="1" applyAlignment="1">
      <alignment vertical="center" wrapText="1"/>
    </xf>
    <xf numFmtId="0" fontId="21" fillId="14" borderId="52" xfId="0" applyFont="1" applyFill="1" applyBorder="1" applyAlignment="1">
      <alignment horizontal="center" vertical="center" wrapText="1"/>
    </xf>
    <xf numFmtId="0" fontId="3" fillId="0" borderId="40" xfId="0" applyFont="1" applyBorder="1" applyAlignment="1">
      <alignment horizontal="center" vertical="center"/>
    </xf>
    <xf numFmtId="0" fontId="3" fillId="14" borderId="53" xfId="0" applyFont="1" applyFill="1" applyBorder="1" applyAlignment="1">
      <alignment horizontal="center" vertical="center" wrapText="1"/>
    </xf>
    <xf numFmtId="2" fontId="0" fillId="0" borderId="0" xfId="0" applyNumberFormat="1" applyAlignment="1">
      <alignment horizontal="center" vertical="center"/>
    </xf>
    <xf numFmtId="0" fontId="3" fillId="2" borderId="0" xfId="0" applyFont="1" applyFill="1" applyBorder="1" applyAlignment="1">
      <alignment horizontal="center" vertical="center" wrapText="1"/>
    </xf>
    <xf numFmtId="0" fontId="0" fillId="2" borderId="0" xfId="0" applyFill="1" applyAlignment="1">
      <alignment horizontal="center" vertical="center" wrapText="1"/>
    </xf>
    <xf numFmtId="0" fontId="19" fillId="0" borderId="52" xfId="0" applyFont="1" applyFill="1" applyBorder="1" applyAlignment="1">
      <alignment horizontal="center" vertical="center"/>
    </xf>
    <xf numFmtId="2" fontId="0" fillId="4" borderId="1" xfId="0" applyNumberFormat="1" applyFont="1" applyFill="1" applyBorder="1" applyAlignment="1">
      <alignment horizontal="center"/>
    </xf>
    <xf numFmtId="2" fontId="0" fillId="4" borderId="48" xfId="0" applyNumberFormat="1" applyFont="1" applyFill="1" applyBorder="1" applyAlignment="1">
      <alignment horizontal="center"/>
    </xf>
    <xf numFmtId="0" fontId="3" fillId="14" borderId="42" xfId="0" applyFont="1" applyFill="1" applyBorder="1" applyAlignment="1">
      <alignment horizontal="center" vertical="center"/>
    </xf>
    <xf numFmtId="0" fontId="3" fillId="14" borderId="16" xfId="0" applyFont="1" applyFill="1" applyBorder="1" applyAlignment="1">
      <alignment horizontal="center" vertical="center"/>
    </xf>
    <xf numFmtId="0" fontId="3" fillId="14" borderId="43" xfId="0" applyFont="1" applyFill="1" applyBorder="1" applyAlignment="1">
      <alignment horizontal="center" vertical="center"/>
    </xf>
    <xf numFmtId="164" fontId="8" fillId="0" borderId="15" xfId="0" applyNumberFormat="1" applyFont="1" applyBorder="1" applyAlignment="1">
      <alignment horizontal="center"/>
    </xf>
    <xf numFmtId="164" fontId="8" fillId="0" borderId="1" xfId="0" applyNumberFormat="1" applyFont="1" applyBorder="1" applyAlignment="1">
      <alignment horizontal="center"/>
    </xf>
    <xf numFmtId="164" fontId="8" fillId="0" borderId="2" xfId="0" applyNumberFormat="1" applyFont="1" applyBorder="1" applyAlignment="1">
      <alignment horizontal="center"/>
    </xf>
    <xf numFmtId="0" fontId="3" fillId="14" borderId="10" xfId="0" applyFont="1" applyFill="1" applyBorder="1" applyAlignment="1">
      <alignment horizontal="center" vertical="center" wrapText="1"/>
    </xf>
    <xf numFmtId="0" fontId="3" fillId="14" borderId="13" xfId="0" applyFont="1" applyFill="1" applyBorder="1" applyAlignment="1">
      <alignment horizontal="center" vertical="center" wrapText="1"/>
    </xf>
    <xf numFmtId="164" fontId="3" fillId="0" borderId="23" xfId="0" applyNumberFormat="1" applyFont="1" applyBorder="1" applyAlignment="1">
      <alignment horizontal="center"/>
    </xf>
    <xf numFmtId="164" fontId="3" fillId="0" borderId="24" xfId="0" applyNumberFormat="1" applyFont="1" applyBorder="1" applyAlignment="1">
      <alignment horizontal="center"/>
    </xf>
    <xf numFmtId="164" fontId="3" fillId="0" borderId="25" xfId="0" applyNumberFormat="1" applyFont="1" applyBorder="1" applyAlignment="1">
      <alignment horizontal="center"/>
    </xf>
    <xf numFmtId="164" fontId="3" fillId="0" borderId="15" xfId="0" applyNumberFormat="1" applyFont="1" applyBorder="1" applyAlignment="1">
      <alignment horizontal="center"/>
    </xf>
    <xf numFmtId="164" fontId="3" fillId="0" borderId="1" xfId="0" applyNumberFormat="1" applyFont="1" applyBorder="1" applyAlignment="1">
      <alignment horizontal="center"/>
    </xf>
    <xf numFmtId="164" fontId="3" fillId="0" borderId="26" xfId="0" applyNumberFormat="1" applyFont="1" applyBorder="1" applyAlignment="1">
      <alignment horizontal="center"/>
    </xf>
    <xf numFmtId="0" fontId="11" fillId="0" borderId="16" xfId="0" applyFont="1" applyBorder="1" applyAlignment="1">
      <alignment horizontal="center" vertical="center"/>
    </xf>
    <xf numFmtId="0" fontId="0" fillId="0" borderId="35" xfId="0" applyBorder="1" applyAlignment="1">
      <alignment horizontal="center"/>
    </xf>
    <xf numFmtId="164" fontId="3" fillId="0" borderId="19" xfId="0" applyNumberFormat="1" applyFont="1" applyBorder="1" applyAlignment="1">
      <alignment horizontal="center"/>
    </xf>
    <xf numFmtId="164" fontId="3" fillId="0" borderId="5" xfId="0" applyNumberFormat="1" applyFont="1" applyBorder="1" applyAlignment="1">
      <alignment horizontal="center"/>
    </xf>
    <xf numFmtId="164" fontId="8" fillId="0" borderId="27" xfId="0" applyNumberFormat="1" applyFont="1" applyBorder="1" applyAlignment="1">
      <alignment horizontal="center"/>
    </xf>
    <xf numFmtId="164" fontId="8" fillId="0" borderId="28" xfId="0" applyNumberFormat="1" applyFont="1" applyBorder="1" applyAlignment="1">
      <alignment horizontal="center"/>
    </xf>
    <xf numFmtId="164" fontId="3" fillId="14" borderId="42" xfId="0" applyNumberFormat="1" applyFont="1" applyFill="1" applyBorder="1" applyAlignment="1">
      <alignment horizontal="center" vertical="center"/>
    </xf>
    <xf numFmtId="164" fontId="3" fillId="14" borderId="16" xfId="0" applyNumberFormat="1" applyFont="1" applyFill="1" applyBorder="1" applyAlignment="1">
      <alignment horizontal="center" vertical="center"/>
    </xf>
    <xf numFmtId="164" fontId="3" fillId="14" borderId="43" xfId="0" applyNumberFormat="1" applyFont="1" applyFill="1" applyBorder="1" applyAlignment="1">
      <alignment horizontal="center" vertical="center"/>
    </xf>
    <xf numFmtId="164" fontId="3" fillId="0" borderId="27" xfId="0" applyNumberFormat="1" applyFont="1" applyBorder="1" applyAlignment="1">
      <alignment horizontal="center"/>
    </xf>
    <xf numFmtId="164" fontId="3" fillId="0" borderId="28" xfId="0" applyNumberFormat="1" applyFont="1" applyBorder="1" applyAlignment="1">
      <alignment horizontal="center"/>
    </xf>
    <xf numFmtId="164" fontId="3" fillId="0" borderId="29" xfId="0" applyNumberFormat="1" applyFont="1" applyBorder="1" applyAlignment="1">
      <alignment horizontal="center"/>
    </xf>
    <xf numFmtId="0" fontId="3" fillId="15" borderId="10" xfId="0" applyFont="1" applyFill="1" applyBorder="1" applyAlignment="1">
      <alignment horizontal="center" vertical="center" wrapText="1"/>
    </xf>
    <xf numFmtId="0" fontId="3" fillId="15" borderId="16" xfId="0" applyFont="1" applyFill="1" applyBorder="1" applyAlignment="1">
      <alignment horizontal="center" vertical="center" wrapText="1"/>
    </xf>
    <xf numFmtId="0" fontId="3" fillId="15" borderId="13" xfId="0" applyFont="1" applyFill="1" applyBorder="1" applyAlignment="1">
      <alignment horizontal="center" vertical="center" wrapText="1"/>
    </xf>
    <xf numFmtId="0" fontId="11" fillId="0" borderId="27" xfId="0" applyFont="1" applyBorder="1" applyAlignment="1">
      <alignment horizontal="center"/>
    </xf>
    <xf numFmtId="0" fontId="11" fillId="0" borderId="28" xfId="0" applyFont="1" applyBorder="1" applyAlignment="1">
      <alignment horizontal="center"/>
    </xf>
    <xf numFmtId="0" fontId="11" fillId="0" borderId="46" xfId="0" applyFont="1" applyBorder="1" applyAlignment="1">
      <alignment horizontal="center"/>
    </xf>
    <xf numFmtId="0" fontId="3" fillId="14" borderId="16" xfId="0" applyFont="1" applyFill="1" applyBorder="1" applyAlignment="1">
      <alignment horizontal="center" vertical="center" wrapText="1"/>
    </xf>
    <xf numFmtId="164" fontId="3" fillId="0" borderId="45" xfId="0" applyNumberFormat="1" applyFont="1" applyBorder="1" applyAlignment="1">
      <alignment horizontal="center"/>
    </xf>
    <xf numFmtId="164" fontId="3" fillId="0" borderId="22" xfId="0" applyNumberFormat="1" applyFont="1" applyBorder="1" applyAlignment="1">
      <alignment horizontal="center"/>
    </xf>
    <xf numFmtId="164" fontId="3" fillId="14" borderId="6" xfId="0" applyNumberFormat="1" applyFont="1" applyFill="1" applyBorder="1" applyAlignment="1">
      <alignment horizontal="center" wrapText="1"/>
    </xf>
    <xf numFmtId="164" fontId="3" fillId="14" borderId="7" xfId="0" applyNumberFormat="1" applyFont="1" applyFill="1" applyBorder="1" applyAlignment="1">
      <alignment horizontal="center"/>
    </xf>
    <xf numFmtId="164" fontId="3" fillId="14" borderId="14" xfId="0" applyNumberFormat="1" applyFont="1" applyFill="1" applyBorder="1" applyAlignment="1">
      <alignment horizontal="center"/>
    </xf>
    <xf numFmtId="0" fontId="3" fillId="14" borderId="40" xfId="0" applyFont="1" applyFill="1" applyBorder="1" applyAlignment="1">
      <alignment horizontal="center" vertical="center" wrapText="1"/>
    </xf>
    <xf numFmtId="0" fontId="3" fillId="14" borderId="33" xfId="0" applyFont="1" applyFill="1" applyBorder="1" applyAlignment="1">
      <alignment horizontal="center" vertical="center"/>
    </xf>
    <xf numFmtId="0" fontId="3" fillId="14" borderId="20" xfId="0" applyFont="1" applyFill="1" applyBorder="1" applyAlignment="1">
      <alignment horizontal="center" vertical="center"/>
    </xf>
    <xf numFmtId="0" fontId="3" fillId="14" borderId="34" xfId="0" applyFont="1" applyFill="1" applyBorder="1" applyAlignment="1">
      <alignment horizontal="center" vertical="center" wrapText="1"/>
    </xf>
    <xf numFmtId="0" fontId="3" fillId="14" borderId="35" xfId="0" applyFont="1" applyFill="1" applyBorder="1" applyAlignment="1">
      <alignment horizontal="center" vertical="center"/>
    </xf>
    <xf numFmtId="0" fontId="3" fillId="14" borderId="36" xfId="0" applyFont="1" applyFill="1" applyBorder="1" applyAlignment="1">
      <alignment horizontal="center" vertical="center"/>
    </xf>
    <xf numFmtId="0" fontId="3" fillId="14" borderId="37" xfId="0" applyFont="1" applyFill="1" applyBorder="1" applyAlignment="1">
      <alignment horizontal="center" vertical="center"/>
    </xf>
    <xf numFmtId="0" fontId="3" fillId="14" borderId="38" xfId="0" applyFont="1" applyFill="1" applyBorder="1" applyAlignment="1">
      <alignment horizontal="center" vertical="center"/>
    </xf>
    <xf numFmtId="0" fontId="3" fillId="14" borderId="39" xfId="0" applyFont="1" applyFill="1" applyBorder="1" applyAlignment="1">
      <alignment horizontal="center" vertical="center"/>
    </xf>
    <xf numFmtId="0" fontId="3" fillId="14" borderId="6" xfId="0" applyFont="1" applyFill="1" applyBorder="1" applyAlignment="1">
      <alignment horizontal="center"/>
    </xf>
    <xf numFmtId="0" fontId="3" fillId="14" borderId="7" xfId="0" applyFont="1" applyFill="1" applyBorder="1" applyAlignment="1">
      <alignment horizontal="center"/>
    </xf>
    <xf numFmtId="164" fontId="14" fillId="14" borderId="31" xfId="0" applyNumberFormat="1" applyFont="1" applyFill="1" applyBorder="1" applyAlignment="1">
      <alignment horizontal="center" vertical="center" wrapText="1"/>
    </xf>
    <xf numFmtId="0" fontId="3" fillId="0" borderId="6" xfId="0" quotePrefix="1" applyFont="1" applyBorder="1" applyAlignment="1">
      <alignment horizontal="center" vertical="center"/>
    </xf>
    <xf numFmtId="0" fontId="3" fillId="0" borderId="7" xfId="0" applyFont="1" applyBorder="1" applyAlignment="1">
      <alignment horizontal="center" vertical="center"/>
    </xf>
    <xf numFmtId="0" fontId="3" fillId="0" borderId="14" xfId="0" applyFont="1" applyBorder="1" applyAlignment="1">
      <alignment horizontal="center" vertical="center"/>
    </xf>
    <xf numFmtId="0" fontId="3" fillId="14" borderId="7" xfId="0" applyFont="1" applyFill="1" applyBorder="1" applyAlignment="1">
      <alignment horizontal="center" vertical="center"/>
    </xf>
    <xf numFmtId="0" fontId="3" fillId="14" borderId="14" xfId="0" applyFont="1" applyFill="1" applyBorder="1" applyAlignment="1">
      <alignment horizontal="center" vertical="center"/>
    </xf>
    <xf numFmtId="0" fontId="3" fillId="14" borderId="14" xfId="0" applyFont="1" applyFill="1" applyBorder="1" applyAlignment="1">
      <alignment horizontal="center"/>
    </xf>
    <xf numFmtId="164" fontId="3" fillId="14" borderId="13" xfId="0" applyNumberFormat="1" applyFont="1" applyFill="1" applyBorder="1" applyAlignment="1">
      <alignment horizontal="center"/>
    </xf>
    <xf numFmtId="164" fontId="17" fillId="4" borderId="49" xfId="0" applyNumberFormat="1" applyFont="1" applyFill="1" applyBorder="1" applyAlignment="1">
      <alignment horizontal="center" vertical="center"/>
    </xf>
    <xf numFmtId="164" fontId="17" fillId="4" borderId="50" xfId="0" applyNumberFormat="1" applyFont="1" applyFill="1" applyBorder="1" applyAlignment="1">
      <alignment horizontal="center" vertical="center"/>
    </xf>
    <xf numFmtId="0" fontId="14" fillId="14" borderId="48" xfId="0" applyFont="1" applyFill="1" applyBorder="1" applyAlignment="1">
      <alignment horizontal="center" vertical="center" wrapText="1"/>
    </xf>
    <xf numFmtId="0" fontId="14" fillId="14" borderId="54" xfId="0" applyFont="1" applyFill="1" applyBorder="1" applyAlignment="1">
      <alignment horizontal="center" vertical="center" wrapText="1"/>
    </xf>
    <xf numFmtId="164" fontId="18" fillId="7" borderId="49" xfId="0" applyNumberFormat="1" applyFont="1" applyFill="1" applyBorder="1" applyAlignment="1">
      <alignment horizontal="center" vertical="center"/>
    </xf>
    <xf numFmtId="164" fontId="18" fillId="7" borderId="50" xfId="0" applyNumberFormat="1" applyFont="1" applyFill="1" applyBorder="1" applyAlignment="1">
      <alignment horizontal="center" vertical="center"/>
    </xf>
    <xf numFmtId="0" fontId="20" fillId="14" borderId="42" xfId="0" applyFont="1" applyFill="1" applyBorder="1" applyAlignment="1">
      <alignment horizontal="center" vertical="center"/>
    </xf>
    <xf numFmtId="0" fontId="20" fillId="14" borderId="16" xfId="0" applyFont="1" applyFill="1" applyBorder="1" applyAlignment="1">
      <alignment horizontal="center" vertical="center"/>
    </xf>
    <xf numFmtId="0" fontId="20" fillId="14" borderId="43" xfId="0" applyFont="1" applyFill="1" applyBorder="1" applyAlignment="1">
      <alignment horizontal="center" vertical="center"/>
    </xf>
    <xf numFmtId="0" fontId="20" fillId="14" borderId="53" xfId="0" applyFont="1" applyFill="1" applyBorder="1" applyAlignment="1">
      <alignment horizontal="center" vertical="center" wrapText="1"/>
    </xf>
    <xf numFmtId="0" fontId="20" fillId="14" borderId="48" xfId="0" applyFont="1" applyFill="1" applyBorder="1" applyAlignment="1">
      <alignment horizontal="center" vertical="center" wrapText="1"/>
    </xf>
    <xf numFmtId="0" fontId="20" fillId="14" borderId="54" xfId="0" applyFont="1" applyFill="1" applyBorder="1" applyAlignment="1">
      <alignment horizontal="center" vertical="center" wrapText="1"/>
    </xf>
    <xf numFmtId="0" fontId="3" fillId="0" borderId="55" xfId="0" applyFont="1" applyBorder="1" applyAlignment="1">
      <alignment horizontal="center" vertical="center"/>
    </xf>
    <xf numFmtId="0" fontId="3" fillId="0" borderId="40" xfId="0" applyFont="1" applyBorder="1" applyAlignment="1">
      <alignment horizontal="center" vertical="center"/>
    </xf>
    <xf numFmtId="0" fontId="3" fillId="6" borderId="55" xfId="0" applyFont="1" applyFill="1" applyBorder="1" applyAlignment="1">
      <alignment horizontal="center" vertical="center"/>
    </xf>
    <xf numFmtId="0" fontId="3" fillId="6" borderId="40" xfId="0" applyFont="1" applyFill="1" applyBorder="1" applyAlignment="1">
      <alignment horizontal="center" vertical="center"/>
    </xf>
    <xf numFmtId="0" fontId="19" fillId="0" borderId="0" xfId="0" applyFont="1" applyAlignment="1">
      <alignment horizontal="center" vertical="center" wrapText="1"/>
    </xf>
    <xf numFmtId="0" fontId="3" fillId="10" borderId="55" xfId="0" applyFont="1" applyFill="1" applyBorder="1" applyAlignment="1">
      <alignment horizontal="center" vertical="center"/>
    </xf>
    <xf numFmtId="0" fontId="3" fillId="10" borderId="40" xfId="0" applyFont="1" applyFill="1" applyBorder="1" applyAlignment="1">
      <alignment horizontal="center" vertical="center"/>
    </xf>
    <xf numFmtId="0" fontId="3" fillId="0" borderId="56" xfId="0" applyFont="1" applyBorder="1" applyAlignment="1">
      <alignment horizontal="center" vertical="center"/>
    </xf>
    <xf numFmtId="0" fontId="26" fillId="0" borderId="42" xfId="0" applyFont="1" applyBorder="1" applyAlignment="1">
      <alignment horizontal="left" vertical="center"/>
    </xf>
    <xf numFmtId="0" fontId="19" fillId="0" borderId="43" xfId="0" applyFont="1" applyBorder="1" applyAlignment="1">
      <alignment horizontal="left" vertical="center"/>
    </xf>
    <xf numFmtId="0" fontId="0" fillId="0" borderId="34" xfId="0" applyFont="1" applyBorder="1" applyAlignment="1">
      <alignment horizontal="center" vertical="top" wrapText="1"/>
    </xf>
    <xf numFmtId="0" fontId="0" fillId="0" borderId="35" xfId="0" applyFont="1" applyBorder="1" applyAlignment="1">
      <alignment horizontal="center" vertical="top" wrapText="1"/>
    </xf>
    <xf numFmtId="0" fontId="0" fillId="0" borderId="36" xfId="0" applyFont="1" applyBorder="1" applyAlignment="1">
      <alignment horizontal="center" vertical="top" wrapText="1"/>
    </xf>
    <xf numFmtId="0" fontId="0" fillId="0" borderId="56" xfId="0" applyFont="1" applyBorder="1" applyAlignment="1">
      <alignment horizontal="center" vertical="top" wrapText="1"/>
    </xf>
    <xf numFmtId="0" fontId="0" fillId="0" borderId="0" xfId="0" applyFont="1" applyBorder="1" applyAlignment="1">
      <alignment horizontal="center" vertical="top" wrapText="1"/>
    </xf>
    <xf numFmtId="0" fontId="0" fillId="0" borderId="57" xfId="0" applyFont="1" applyBorder="1" applyAlignment="1">
      <alignment horizontal="center" vertical="top" wrapText="1"/>
    </xf>
    <xf numFmtId="0" fontId="0" fillId="0" borderId="37" xfId="0" applyFont="1" applyBorder="1" applyAlignment="1">
      <alignment horizontal="center" vertical="top" wrapText="1"/>
    </xf>
    <xf numFmtId="0" fontId="0" fillId="0" borderId="38" xfId="0" applyFont="1" applyBorder="1" applyAlignment="1">
      <alignment horizontal="center" vertical="top" wrapText="1"/>
    </xf>
    <xf numFmtId="0" fontId="0" fillId="0" borderId="39" xfId="0" applyFont="1" applyBorder="1" applyAlignment="1">
      <alignment horizontal="center" vertical="top" wrapText="1"/>
    </xf>
    <xf numFmtId="164" fontId="18" fillId="4" borderId="49" xfId="0" applyNumberFormat="1" applyFont="1" applyFill="1" applyBorder="1" applyAlignment="1">
      <alignment horizontal="center" vertical="center"/>
    </xf>
    <xf numFmtId="164" fontId="18" fillId="4" borderId="50" xfId="0" applyNumberFormat="1" applyFont="1" applyFill="1" applyBorder="1" applyAlignment="1">
      <alignment horizontal="center" vertical="center"/>
    </xf>
    <xf numFmtId="164" fontId="17" fillId="4" borderId="51" xfId="0" applyNumberFormat="1" applyFont="1" applyFill="1" applyBorder="1" applyAlignment="1">
      <alignment horizontal="center" vertical="center"/>
    </xf>
    <xf numFmtId="0" fontId="3" fillId="0" borderId="55" xfId="0" applyFont="1" applyBorder="1" applyAlignment="1">
      <alignment horizontal="center" vertical="center" wrapText="1"/>
    </xf>
    <xf numFmtId="164" fontId="19" fillId="0" borderId="55" xfId="0" applyNumberFormat="1" applyFont="1" applyBorder="1" applyAlignment="1">
      <alignment horizontal="center" vertical="center"/>
    </xf>
    <xf numFmtId="164" fontId="19" fillId="0" borderId="37" xfId="0" applyNumberFormat="1" applyFont="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56" xfId="0" applyBorder="1" applyAlignment="1">
      <alignment horizontal="center" vertical="center" wrapText="1"/>
    </xf>
    <xf numFmtId="0" fontId="0" fillId="0" borderId="0" xfId="0" applyBorder="1" applyAlignment="1">
      <alignment horizontal="center" vertical="center" wrapText="1"/>
    </xf>
    <xf numFmtId="0" fontId="0" fillId="0" borderId="57" xfId="0" applyBorder="1" applyAlignment="1">
      <alignment horizontal="center" vertical="center" wrapText="1"/>
    </xf>
    <xf numFmtId="0" fontId="0" fillId="0" borderId="0" xfId="0" applyAlignment="1">
      <alignment horizontal="center" vertical="top" wrapText="1"/>
    </xf>
    <xf numFmtId="0" fontId="0" fillId="0" borderId="34" xfId="0" applyBorder="1" applyAlignment="1">
      <alignment horizontal="center" vertical="top" wrapText="1"/>
    </xf>
    <xf numFmtId="0" fontId="0" fillId="0" borderId="35" xfId="0" applyBorder="1" applyAlignment="1">
      <alignment horizontal="center" vertical="top" wrapText="1"/>
    </xf>
    <xf numFmtId="0" fontId="0" fillId="0" borderId="36" xfId="0" applyBorder="1" applyAlignment="1">
      <alignment horizontal="center" vertical="top" wrapText="1"/>
    </xf>
    <xf numFmtId="0" fontId="0" fillId="0" borderId="56" xfId="0" applyBorder="1" applyAlignment="1">
      <alignment horizontal="center" vertical="top" wrapText="1"/>
    </xf>
    <xf numFmtId="0" fontId="0" fillId="0" borderId="0" xfId="0" applyBorder="1" applyAlignment="1">
      <alignment horizontal="center" vertical="top" wrapText="1"/>
    </xf>
    <xf numFmtId="0" fontId="0" fillId="0" borderId="57" xfId="0" applyBorder="1" applyAlignment="1">
      <alignment horizontal="center" vertical="top" wrapText="1"/>
    </xf>
    <xf numFmtId="0" fontId="0" fillId="0" borderId="37" xfId="0" applyBorder="1" applyAlignment="1">
      <alignment horizontal="center" vertical="top" wrapText="1"/>
    </xf>
    <xf numFmtId="0" fontId="0" fillId="0" borderId="38" xfId="0" applyBorder="1" applyAlignment="1">
      <alignment horizontal="center" vertical="top" wrapText="1"/>
    </xf>
    <xf numFmtId="0" fontId="0" fillId="0" borderId="39" xfId="0" applyBorder="1" applyAlignment="1">
      <alignment horizontal="center" vertical="top" wrapText="1"/>
    </xf>
  </cellXfs>
  <cellStyles count="3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Good" xfId="35" builtinId="26"/>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Neutral" xfId="36" builtinId="28"/>
    <cellStyle name="Normal" xfId="0" builtinId="0"/>
  </cellStyles>
  <dxfs count="0"/>
  <tableStyles count="0" defaultTableStyle="TableStyleMedium9" defaultPivotStyle="PivotStyleMedium4"/>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45920</xdr:colOff>
      <xdr:row>56</xdr:row>
      <xdr:rowOff>160726</xdr:rowOff>
    </xdr:from>
    <xdr:to>
      <xdr:col>5</xdr:col>
      <xdr:colOff>2980356</xdr:colOff>
      <xdr:row>70</xdr:row>
      <xdr:rowOff>691</xdr:rowOff>
    </xdr:to>
    <xdr:pic>
      <xdr:nvPicPr>
        <xdr:cNvPr id="3" name="Picture 2"/>
        <xdr:cNvPicPr>
          <a:picLocks noChangeAspect="1"/>
        </xdr:cNvPicPr>
      </xdr:nvPicPr>
      <xdr:blipFill>
        <a:blip xmlns:r="http://schemas.openxmlformats.org/officeDocument/2006/relationships" r:embed="rId1"/>
        <a:stretch>
          <a:fillRect/>
        </a:stretch>
      </xdr:blipFill>
      <xdr:spPr>
        <a:xfrm>
          <a:off x="8296797" y="11937090"/>
          <a:ext cx="6026968" cy="2610874"/>
        </a:xfrm>
        <a:prstGeom prst="rect">
          <a:avLst/>
        </a:prstGeom>
      </xdr:spPr>
    </xdr:pic>
    <xdr:clientData/>
  </xdr:twoCellAnchor>
  <xdr:twoCellAnchor editAs="oneCell">
    <xdr:from>
      <xdr:col>0</xdr:col>
      <xdr:colOff>157218</xdr:colOff>
      <xdr:row>80</xdr:row>
      <xdr:rowOff>177967</xdr:rowOff>
    </xdr:from>
    <xdr:to>
      <xdr:col>3</xdr:col>
      <xdr:colOff>2880165</xdr:colOff>
      <xdr:row>111</xdr:row>
      <xdr:rowOff>19430</xdr:rowOff>
    </xdr:to>
    <xdr:pic>
      <xdr:nvPicPr>
        <xdr:cNvPr id="5" name="Picture 4"/>
        <xdr:cNvPicPr>
          <a:picLocks noChangeAspect="1"/>
        </xdr:cNvPicPr>
      </xdr:nvPicPr>
      <xdr:blipFill>
        <a:blip xmlns:r="http://schemas.openxmlformats.org/officeDocument/2006/relationships" r:embed="rId2"/>
        <a:stretch>
          <a:fillRect/>
        </a:stretch>
      </xdr:blipFill>
      <xdr:spPr>
        <a:xfrm>
          <a:off x="157218" y="16875292"/>
          <a:ext cx="7895022" cy="6042238"/>
        </a:xfrm>
        <a:prstGeom prst="rect">
          <a:avLst/>
        </a:prstGeom>
      </xdr:spPr>
    </xdr:pic>
    <xdr:clientData/>
  </xdr:twoCellAnchor>
  <xdr:twoCellAnchor editAs="oneCell">
    <xdr:from>
      <xdr:col>0</xdr:col>
      <xdr:colOff>142842</xdr:colOff>
      <xdr:row>55</xdr:row>
      <xdr:rowOff>5716</xdr:rowOff>
    </xdr:from>
    <xdr:to>
      <xdr:col>3</xdr:col>
      <xdr:colOff>3037452</xdr:colOff>
      <xdr:row>79</xdr:row>
      <xdr:rowOff>197440</xdr:rowOff>
    </xdr:to>
    <xdr:pic>
      <xdr:nvPicPr>
        <xdr:cNvPr id="6" name="Picture 5"/>
        <xdr:cNvPicPr>
          <a:picLocks noChangeAspect="1"/>
        </xdr:cNvPicPr>
      </xdr:nvPicPr>
      <xdr:blipFill>
        <a:blip xmlns:r="http://schemas.openxmlformats.org/officeDocument/2006/relationships" r:embed="rId3"/>
        <a:stretch>
          <a:fillRect/>
        </a:stretch>
      </xdr:blipFill>
      <xdr:spPr>
        <a:xfrm>
          <a:off x="142842" y="11579490"/>
          <a:ext cx="8070459" cy="493625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31"/>
  <sheetViews>
    <sheetView tabSelected="1" zoomScaleNormal="100" workbookViewId="0">
      <selection sqref="A1:P1"/>
    </sheetView>
  </sheetViews>
  <sheetFormatPr defaultColWidth="11" defaultRowHeight="15.75" x14ac:dyDescent="0.25"/>
  <cols>
    <col min="1" max="1" width="5" style="1" bestFit="1" customWidth="1"/>
    <col min="2" max="2" width="6.375" bestFit="1" customWidth="1"/>
    <col min="3" max="3" width="7.125" bestFit="1" customWidth="1"/>
    <col min="4" max="4" width="6.375" bestFit="1" customWidth="1"/>
    <col min="5" max="5" width="8.125" customWidth="1"/>
    <col min="6" max="6" width="9.25" customWidth="1"/>
    <col min="7" max="7" width="11.125" customWidth="1"/>
    <col min="8" max="8" width="11" customWidth="1"/>
    <col min="9" max="9" width="15.625" customWidth="1"/>
    <col min="10" max="10" width="15.625" style="1" customWidth="1"/>
    <col min="11" max="11" width="15.625" customWidth="1"/>
    <col min="12" max="12" width="15.625" style="1" customWidth="1"/>
    <col min="13" max="13" width="6.5" style="1" customWidth="1"/>
    <col min="14" max="14" width="8.25" style="1" customWidth="1"/>
    <col min="15" max="15" width="7.125" bestFit="1" customWidth="1"/>
    <col min="16" max="16" width="9.25" customWidth="1"/>
  </cols>
  <sheetData>
    <row r="1" spans="1:17" ht="16.5" thickBot="1" x14ac:dyDescent="0.3">
      <c r="A1" s="109" t="s">
        <v>57</v>
      </c>
      <c r="B1" s="110"/>
      <c r="C1" s="110"/>
      <c r="D1" s="110"/>
      <c r="E1" s="110"/>
      <c r="F1" s="110"/>
      <c r="G1" s="110"/>
      <c r="H1" s="110"/>
      <c r="I1" s="110"/>
      <c r="J1" s="110"/>
      <c r="K1" s="110"/>
      <c r="L1" s="110"/>
      <c r="M1" s="110"/>
      <c r="N1" s="110"/>
      <c r="O1" s="110"/>
      <c r="P1" s="111"/>
    </row>
    <row r="2" spans="1:17" ht="16.5" thickBot="1" x14ac:dyDescent="0.3">
      <c r="A2" s="109" t="s">
        <v>51</v>
      </c>
      <c r="B2" s="110"/>
      <c r="C2" s="110"/>
      <c r="D2" s="110"/>
      <c r="E2" s="110"/>
      <c r="F2" s="110"/>
      <c r="G2" s="110"/>
      <c r="H2" s="110"/>
      <c r="I2" s="110"/>
      <c r="J2" s="110"/>
      <c r="K2" s="110"/>
      <c r="L2" s="110"/>
      <c r="M2" s="110"/>
      <c r="N2" s="110"/>
      <c r="O2" s="110"/>
      <c r="P2" s="111"/>
    </row>
    <row r="3" spans="1:17" s="10" customFormat="1" ht="37.5" customHeight="1" thickBot="1" x14ac:dyDescent="0.3">
      <c r="A3" s="56" t="s">
        <v>0</v>
      </c>
      <c r="B3" s="115" t="s">
        <v>33</v>
      </c>
      <c r="C3" s="141"/>
      <c r="D3" s="116"/>
      <c r="E3" s="115" t="s">
        <v>32</v>
      </c>
      <c r="F3" s="141"/>
      <c r="G3" s="116"/>
      <c r="H3" s="115" t="s">
        <v>31</v>
      </c>
      <c r="I3" s="116"/>
      <c r="J3" s="34" t="s">
        <v>34</v>
      </c>
      <c r="K3" s="34" t="s">
        <v>35</v>
      </c>
      <c r="L3" s="34" t="s">
        <v>36</v>
      </c>
      <c r="M3" s="34"/>
      <c r="N3" s="35" t="s">
        <v>37</v>
      </c>
      <c r="O3" s="46" t="s">
        <v>12</v>
      </c>
      <c r="P3" s="35" t="s">
        <v>24</v>
      </c>
    </row>
    <row r="4" spans="1:17" s="13" customFormat="1" ht="31.5" customHeight="1" x14ac:dyDescent="0.25">
      <c r="A4" s="20"/>
      <c r="B4" s="38" t="s">
        <v>23</v>
      </c>
      <c r="C4" s="79" t="s">
        <v>38</v>
      </c>
      <c r="D4" s="39" t="s">
        <v>30</v>
      </c>
      <c r="E4" s="38" t="s">
        <v>1</v>
      </c>
      <c r="F4" s="79" t="s">
        <v>39</v>
      </c>
      <c r="G4" s="39" t="s">
        <v>40</v>
      </c>
      <c r="H4" s="40" t="s">
        <v>9</v>
      </c>
      <c r="I4" s="40" t="s">
        <v>10</v>
      </c>
      <c r="J4" s="41" t="s">
        <v>10</v>
      </c>
      <c r="K4" s="84" t="s">
        <v>10</v>
      </c>
      <c r="L4" s="42" t="s">
        <v>10</v>
      </c>
      <c r="M4" s="43" t="s">
        <v>0</v>
      </c>
      <c r="N4" s="37" t="s">
        <v>21</v>
      </c>
      <c r="O4" s="37" t="s">
        <v>13</v>
      </c>
      <c r="P4" s="57" t="s">
        <v>22</v>
      </c>
    </row>
    <row r="5" spans="1:17" s="1" customFormat="1" x14ac:dyDescent="0.25">
      <c r="A5" s="58" t="s">
        <v>11</v>
      </c>
      <c r="B5" s="6">
        <v>3.5</v>
      </c>
      <c r="C5" s="86">
        <v>3.75</v>
      </c>
      <c r="D5" s="7">
        <v>4</v>
      </c>
      <c r="E5" s="9">
        <f t="shared" ref="E5:E12" si="0">((468*(Velocity_Factor))/B5)/2</f>
        <v>64.851428571428571</v>
      </c>
      <c r="F5" s="73">
        <f t="shared" ref="F5:F12" si="1">((468*(Velocity_Factor))/C5)/2</f>
        <v>60.527999999999999</v>
      </c>
      <c r="G5" s="8">
        <f t="shared" ref="G5:G12" si="2">((468*(Velocity_Factor))/D5)/2</f>
        <v>56.744999999999997</v>
      </c>
      <c r="H5" s="5">
        <f t="shared" ref="H5:H12" si="3">((468*(Velocity_Factor))/B5)/2</f>
        <v>64.851428571428571</v>
      </c>
      <c r="I5" s="4" t="str">
        <f>INT(H5) &amp; " ft  " &amp;TEXT(MOD((H5),1)*12, "# -??/16") &amp; " in"</f>
        <v>64 ft  10 - 3/16 in</v>
      </c>
      <c r="J5" s="2" t="str">
        <f>INT(E5) &amp; " ft  " &amp;TEXT(MOD((E5),1)*12, "# -??/16") &amp; " in"</f>
        <v>64 ft  10 - 3/16 in</v>
      </c>
      <c r="K5" s="85" t="str">
        <f t="shared" ref="K5:L12" si="4">INT(F5) &amp; " ft  " &amp;TEXT(MOD((F5),1)*12, "# -??/16") &amp; " in"</f>
        <v>60 ft  6 - 5/16 in</v>
      </c>
      <c r="L5" s="3" t="str">
        <f t="shared" si="4"/>
        <v>56 ft  8 -15/16 in</v>
      </c>
      <c r="M5" s="44" t="s">
        <v>11</v>
      </c>
      <c r="N5" s="12">
        <f>(O5*12)/(P5/0.1)</f>
        <v>19.455428571428577</v>
      </c>
      <c r="O5" s="12">
        <f t="shared" ref="O5:O12" si="5">E5-G5</f>
        <v>8.1064285714285731</v>
      </c>
      <c r="P5" s="59">
        <f t="shared" ref="P5:P12" si="6">D5-B5</f>
        <v>0.5</v>
      </c>
      <c r="Q5" s="11"/>
    </row>
    <row r="6" spans="1:17" x14ac:dyDescent="0.25">
      <c r="A6" s="58" t="s">
        <v>2</v>
      </c>
      <c r="B6" s="6">
        <v>7</v>
      </c>
      <c r="C6" s="86">
        <v>7.15</v>
      </c>
      <c r="D6" s="7">
        <v>7.3</v>
      </c>
      <c r="E6" s="9">
        <f t="shared" si="0"/>
        <v>32.425714285714285</v>
      </c>
      <c r="F6" s="73">
        <f t="shared" si="1"/>
        <v>31.745454545454542</v>
      </c>
      <c r="G6" s="8">
        <f t="shared" si="2"/>
        <v>31.093150684931505</v>
      </c>
      <c r="H6" s="5">
        <f t="shared" si="3"/>
        <v>32.425714285714285</v>
      </c>
      <c r="I6" s="4" t="str">
        <f t="shared" ref="I6:I12" si="7">INT(E6) &amp; " ft  " &amp; TEXT(MOD(MROUND(H6,1/8),12),"#-#/##") &amp; """"</f>
        <v>32 ft  8-3/8"</v>
      </c>
      <c r="J6" s="2" t="str">
        <f t="shared" ref="J6:J12" si="8">INT(E6) &amp; " ft  " &amp;TEXT(MOD((E6),1)*12, "# -??/16") &amp; " in"</f>
        <v>32 ft  5 - 2/16 in</v>
      </c>
      <c r="K6" s="85" t="str">
        <f t="shared" si="4"/>
        <v>31 ft  8 -15/16 in</v>
      </c>
      <c r="L6" s="3" t="str">
        <f t="shared" si="4"/>
        <v>31 ft  1 - 2/16 in</v>
      </c>
      <c r="M6" s="44" t="s">
        <v>2</v>
      </c>
      <c r="N6" s="12">
        <f t="shared" ref="N6:N12" si="9">(O6*12)/(P6/0.1)</f>
        <v>5.330254403131125</v>
      </c>
      <c r="O6" s="12">
        <f t="shared" si="5"/>
        <v>1.3325636007827804</v>
      </c>
      <c r="P6" s="59">
        <f t="shared" si="6"/>
        <v>0.29999999999999982</v>
      </c>
      <c r="Q6" s="11"/>
    </row>
    <row r="7" spans="1:17" x14ac:dyDescent="0.25">
      <c r="A7" s="58" t="s">
        <v>3</v>
      </c>
      <c r="B7" s="6">
        <v>14</v>
      </c>
      <c r="C7" s="86">
        <v>14.175000000000001</v>
      </c>
      <c r="D7" s="7">
        <v>14.35</v>
      </c>
      <c r="E7" s="9">
        <f t="shared" si="0"/>
        <v>16.212857142857143</v>
      </c>
      <c r="F7" s="73">
        <f t="shared" si="1"/>
        <v>16.012698412698413</v>
      </c>
      <c r="G7" s="8">
        <f t="shared" si="2"/>
        <v>15.817421602787457</v>
      </c>
      <c r="H7" s="5">
        <f t="shared" si="3"/>
        <v>16.212857142857143</v>
      </c>
      <c r="I7" s="4" t="str">
        <f t="shared" si="7"/>
        <v>16 ft  4-1/4"</v>
      </c>
      <c r="J7" s="2" t="str">
        <f t="shared" si="8"/>
        <v>16 ft  2 - 9/16 in</v>
      </c>
      <c r="K7" s="85" t="str">
        <f t="shared" si="4"/>
        <v>16 ft     2/16 in</v>
      </c>
      <c r="L7" s="3" t="str">
        <f t="shared" si="4"/>
        <v>15 ft  9 -13/16 in</v>
      </c>
      <c r="M7" s="44" t="s">
        <v>3</v>
      </c>
      <c r="N7" s="12">
        <f t="shared" si="9"/>
        <v>1.3557789945246386</v>
      </c>
      <c r="O7" s="12">
        <f t="shared" si="5"/>
        <v>0.39543554006968584</v>
      </c>
      <c r="P7" s="59">
        <f t="shared" si="6"/>
        <v>0.34999999999999964</v>
      </c>
      <c r="Q7" s="11"/>
    </row>
    <row r="8" spans="1:17" x14ac:dyDescent="0.25">
      <c r="A8" s="58" t="s">
        <v>4</v>
      </c>
      <c r="B8" s="6">
        <v>18.068000000000001</v>
      </c>
      <c r="C8" s="86">
        <v>18.117999999999999</v>
      </c>
      <c r="D8" s="7">
        <v>18.167999999999999</v>
      </c>
      <c r="E8" s="9">
        <f t="shared" si="0"/>
        <v>12.56254150985167</v>
      </c>
      <c r="F8" s="73">
        <f t="shared" si="1"/>
        <v>12.527872833646098</v>
      </c>
      <c r="G8" s="8">
        <f t="shared" si="2"/>
        <v>12.49339498018494</v>
      </c>
      <c r="H8" s="5">
        <f t="shared" si="3"/>
        <v>12.56254150985167</v>
      </c>
      <c r="I8" s="4" t="str">
        <f t="shared" si="7"/>
        <v>12 ft  5/8"</v>
      </c>
      <c r="J8" s="2" t="str">
        <f t="shared" si="8"/>
        <v>12 ft  6 -12/16 in</v>
      </c>
      <c r="K8" s="85" t="str">
        <f t="shared" si="4"/>
        <v>12 ft  6 - 5/16 in</v>
      </c>
      <c r="L8" s="3" t="str">
        <f t="shared" si="4"/>
        <v>12 ft  5 -15/16 in</v>
      </c>
      <c r="M8" s="44" t="s">
        <v>4</v>
      </c>
      <c r="N8" s="12">
        <f t="shared" si="9"/>
        <v>0.82975835600077719</v>
      </c>
      <c r="O8" s="12">
        <f t="shared" si="5"/>
        <v>6.9146529666729961E-2</v>
      </c>
      <c r="P8" s="59">
        <f t="shared" si="6"/>
        <v>9.9999999999997868E-2</v>
      </c>
      <c r="Q8" s="11"/>
    </row>
    <row r="9" spans="1:17" x14ac:dyDescent="0.25">
      <c r="A9" s="60" t="s">
        <v>5</v>
      </c>
      <c r="B9" s="28">
        <v>21</v>
      </c>
      <c r="C9" s="87">
        <v>21.225000000000001</v>
      </c>
      <c r="D9" s="29">
        <v>21.45</v>
      </c>
      <c r="E9" s="9">
        <f t="shared" si="0"/>
        <v>10.808571428571428</v>
      </c>
      <c r="F9" s="73">
        <f t="shared" si="1"/>
        <v>10.693992932862189</v>
      </c>
      <c r="G9" s="8">
        <f t="shared" si="2"/>
        <v>10.581818181818182</v>
      </c>
      <c r="H9" s="5">
        <f t="shared" si="3"/>
        <v>10.808571428571428</v>
      </c>
      <c r="I9" s="4" t="str">
        <f t="shared" si="7"/>
        <v>10 ft  10-3/4"</v>
      </c>
      <c r="J9" s="2" t="str">
        <f t="shared" si="8"/>
        <v>10 ft  9 -11/16 in</v>
      </c>
      <c r="K9" s="85" t="str">
        <f t="shared" si="4"/>
        <v>10 ft  8 - 5/16 in</v>
      </c>
      <c r="L9" s="3" t="str">
        <f t="shared" si="4"/>
        <v>10 ft  7        in</v>
      </c>
      <c r="M9" s="45" t="s">
        <v>5</v>
      </c>
      <c r="N9" s="12">
        <f t="shared" si="9"/>
        <v>0.60467532467532314</v>
      </c>
      <c r="O9" s="12">
        <f t="shared" si="5"/>
        <v>0.22675324675324582</v>
      </c>
      <c r="P9" s="59">
        <f t="shared" si="6"/>
        <v>0.44999999999999929</v>
      </c>
      <c r="Q9" s="11"/>
    </row>
    <row r="10" spans="1:17" x14ac:dyDescent="0.25">
      <c r="A10" s="58" t="s">
        <v>6</v>
      </c>
      <c r="B10" s="6">
        <v>24.89</v>
      </c>
      <c r="C10" s="86">
        <v>24.94</v>
      </c>
      <c r="D10" s="7">
        <v>24.99</v>
      </c>
      <c r="E10" s="9">
        <f t="shared" si="0"/>
        <v>9.1193250301325826</v>
      </c>
      <c r="F10" s="73">
        <f t="shared" si="1"/>
        <v>9.1010425020048107</v>
      </c>
      <c r="G10" s="8">
        <f t="shared" si="2"/>
        <v>9.0828331332533008</v>
      </c>
      <c r="H10" s="5">
        <f t="shared" si="3"/>
        <v>9.1193250301325826</v>
      </c>
      <c r="I10" s="4" t="str">
        <f t="shared" si="7"/>
        <v>9 ft  9-1/8"</v>
      </c>
      <c r="J10" s="2" t="str">
        <f t="shared" si="8"/>
        <v>9 ft  1 - 7/16 in</v>
      </c>
      <c r="K10" s="85" t="str">
        <f t="shared" si="4"/>
        <v>9 ft  1 - 3/16 in</v>
      </c>
      <c r="L10" s="3" t="str">
        <f t="shared" si="4"/>
        <v>9 ft  1        in</v>
      </c>
      <c r="M10" s="44" t="s">
        <v>6</v>
      </c>
      <c r="N10" s="12">
        <f t="shared" si="9"/>
        <v>0.43790276255139071</v>
      </c>
      <c r="O10" s="12">
        <f t="shared" si="5"/>
        <v>3.6491896879281782E-2</v>
      </c>
      <c r="P10" s="59">
        <f t="shared" si="6"/>
        <v>9.9999999999997868E-2</v>
      </c>
      <c r="Q10" s="11"/>
    </row>
    <row r="11" spans="1:17" x14ac:dyDescent="0.25">
      <c r="A11" s="61" t="s">
        <v>7</v>
      </c>
      <c r="B11" s="30">
        <v>28</v>
      </c>
      <c r="C11" s="88">
        <v>28.85</v>
      </c>
      <c r="D11" s="31">
        <v>29.7</v>
      </c>
      <c r="E11" s="9">
        <f t="shared" si="0"/>
        <v>8.1064285714285713</v>
      </c>
      <c r="F11" s="73">
        <f t="shared" si="1"/>
        <v>7.8675909878682839</v>
      </c>
      <c r="G11" s="8">
        <f t="shared" si="2"/>
        <v>7.6424242424242426</v>
      </c>
      <c r="H11" s="5">
        <f t="shared" si="3"/>
        <v>8.1064285714285713</v>
      </c>
      <c r="I11" s="4" t="str">
        <f t="shared" si="7"/>
        <v>8 ft  8-1/8"</v>
      </c>
      <c r="J11" s="2" t="str">
        <f t="shared" si="8"/>
        <v>8 ft  1 - 4/16 in</v>
      </c>
      <c r="K11" s="85" t="str">
        <f t="shared" si="4"/>
        <v>7 ft  10 - 7/16 in</v>
      </c>
      <c r="L11" s="3" t="str">
        <f t="shared" si="4"/>
        <v>7 ft  7 -11/16 in</v>
      </c>
      <c r="M11" s="45" t="s">
        <v>7</v>
      </c>
      <c r="N11" s="12">
        <f t="shared" si="9"/>
        <v>0.32753246753246751</v>
      </c>
      <c r="O11" s="12">
        <f t="shared" si="5"/>
        <v>0.46400432900432875</v>
      </c>
      <c r="P11" s="59">
        <f t="shared" si="6"/>
        <v>1.6999999999999993</v>
      </c>
      <c r="Q11" s="11"/>
    </row>
    <row r="12" spans="1:17" ht="16.5" thickBot="1" x14ac:dyDescent="0.3">
      <c r="A12" s="58" t="s">
        <v>8</v>
      </c>
      <c r="B12" s="6">
        <v>50</v>
      </c>
      <c r="C12" s="86">
        <v>52</v>
      </c>
      <c r="D12" s="7">
        <v>54</v>
      </c>
      <c r="E12" s="9">
        <f t="shared" si="0"/>
        <v>4.5396000000000001</v>
      </c>
      <c r="F12" s="73">
        <f t="shared" si="1"/>
        <v>4.3650000000000002</v>
      </c>
      <c r="G12" s="8">
        <f t="shared" si="2"/>
        <v>4.2033333333333331</v>
      </c>
      <c r="H12" s="5">
        <f t="shared" si="3"/>
        <v>4.5396000000000001</v>
      </c>
      <c r="I12" s="4" t="str">
        <f t="shared" si="7"/>
        <v>4 ft  4-1/2"</v>
      </c>
      <c r="J12" s="2" t="str">
        <f t="shared" si="8"/>
        <v>4 ft  6 - 8/16 in</v>
      </c>
      <c r="K12" s="85" t="str">
        <f t="shared" si="4"/>
        <v>4 ft  4 - 6/16 in</v>
      </c>
      <c r="L12" s="3" t="str">
        <f t="shared" si="4"/>
        <v>4 ft  2 - 7/16 in</v>
      </c>
      <c r="M12" s="44" t="s">
        <v>8</v>
      </c>
      <c r="N12" s="12">
        <f t="shared" si="9"/>
        <v>0.10088000000000008</v>
      </c>
      <c r="O12" s="12">
        <f t="shared" si="5"/>
        <v>0.33626666666666694</v>
      </c>
      <c r="P12" s="59">
        <f t="shared" si="6"/>
        <v>4</v>
      </c>
      <c r="Q12" s="11"/>
    </row>
    <row r="13" spans="1:17" ht="18.75" x14ac:dyDescent="0.35">
      <c r="A13" s="142" t="s">
        <v>25</v>
      </c>
      <c r="B13" s="143"/>
      <c r="C13" s="143"/>
      <c r="D13" s="117" t="s">
        <v>49</v>
      </c>
      <c r="E13" s="118"/>
      <c r="F13" s="118"/>
      <c r="G13" s="118"/>
      <c r="H13" s="118"/>
      <c r="I13" s="118"/>
      <c r="J13" s="118"/>
      <c r="K13" s="118"/>
      <c r="L13" s="118"/>
      <c r="M13" s="118"/>
      <c r="N13" s="118"/>
      <c r="O13" s="118"/>
      <c r="P13" s="119"/>
    </row>
    <row r="14" spans="1:17" x14ac:dyDescent="0.25">
      <c r="A14" s="112">
        <v>0.97</v>
      </c>
      <c r="B14" s="113"/>
      <c r="C14" s="114"/>
      <c r="D14" s="120" t="s">
        <v>124</v>
      </c>
      <c r="E14" s="121"/>
      <c r="F14" s="121"/>
      <c r="G14" s="121"/>
      <c r="H14" s="121"/>
      <c r="I14" s="121"/>
      <c r="J14" s="121"/>
      <c r="K14" s="121"/>
      <c r="L14" s="121"/>
      <c r="M14" s="121"/>
      <c r="N14" s="121"/>
      <c r="O14" s="121"/>
      <c r="P14" s="122"/>
    </row>
    <row r="15" spans="1:17" ht="19.5" thickBot="1" x14ac:dyDescent="0.4">
      <c r="A15" s="138" t="s">
        <v>29</v>
      </c>
      <c r="B15" s="139"/>
      <c r="C15" s="140"/>
      <c r="D15" s="132" t="s">
        <v>125</v>
      </c>
      <c r="E15" s="133"/>
      <c r="F15" s="133"/>
      <c r="G15" s="133"/>
      <c r="H15" s="133"/>
      <c r="I15" s="133"/>
      <c r="J15" s="133"/>
      <c r="K15" s="133"/>
      <c r="L15" s="133"/>
      <c r="M15" s="133"/>
      <c r="N15" s="133"/>
      <c r="O15" s="133"/>
      <c r="P15" s="134"/>
    </row>
    <row r="16" spans="1:17" ht="16.5" thickBot="1" x14ac:dyDescent="0.3">
      <c r="A16" s="123"/>
      <c r="B16" s="123"/>
      <c r="C16" s="123"/>
      <c r="D16" s="123"/>
      <c r="E16" s="123"/>
      <c r="F16" s="123"/>
      <c r="G16" s="123"/>
      <c r="H16" s="123"/>
      <c r="I16" s="123"/>
      <c r="J16" s="123"/>
      <c r="K16" s="123"/>
      <c r="L16" s="123"/>
      <c r="M16" s="123"/>
      <c r="N16" s="123"/>
      <c r="O16" s="123"/>
      <c r="P16" s="123"/>
    </row>
    <row r="17" spans="1:16" ht="16.5" thickBot="1" x14ac:dyDescent="0.3">
      <c r="A17" s="109" t="s">
        <v>67</v>
      </c>
      <c r="B17" s="110"/>
      <c r="C17" s="110"/>
      <c r="D17" s="110"/>
      <c r="E17" s="110"/>
      <c r="F17" s="110"/>
      <c r="G17" s="110"/>
      <c r="H17" s="110"/>
      <c r="I17" s="110"/>
      <c r="J17" s="110"/>
      <c r="K17" s="110"/>
      <c r="L17" s="110"/>
      <c r="M17" s="110"/>
      <c r="N17" s="110"/>
      <c r="O17" s="110"/>
      <c r="P17" s="111"/>
    </row>
    <row r="18" spans="1:16" ht="16.5" thickBot="1" x14ac:dyDescent="0.3">
      <c r="A18" s="129" t="s">
        <v>50</v>
      </c>
      <c r="B18" s="130"/>
      <c r="C18" s="130"/>
      <c r="D18" s="130"/>
      <c r="E18" s="130"/>
      <c r="F18" s="130"/>
      <c r="G18" s="130"/>
      <c r="H18" s="130"/>
      <c r="I18" s="130"/>
      <c r="J18" s="130"/>
      <c r="K18" s="130"/>
      <c r="L18" s="130"/>
      <c r="M18" s="130"/>
      <c r="N18" s="130"/>
      <c r="O18" s="130"/>
      <c r="P18" s="131"/>
    </row>
    <row r="19" spans="1:16" ht="32.25" thickBot="1" x14ac:dyDescent="0.3">
      <c r="A19" s="62" t="s">
        <v>0</v>
      </c>
      <c r="B19" s="135" t="s">
        <v>33</v>
      </c>
      <c r="C19" s="136"/>
      <c r="D19" s="137"/>
      <c r="E19" s="135" t="s">
        <v>32</v>
      </c>
      <c r="F19" s="136"/>
      <c r="G19" s="137"/>
      <c r="H19" s="135" t="s">
        <v>31</v>
      </c>
      <c r="I19" s="137"/>
      <c r="J19" s="63" t="s">
        <v>34</v>
      </c>
      <c r="K19" s="63" t="s">
        <v>35</v>
      </c>
      <c r="L19" s="63" t="s">
        <v>36</v>
      </c>
      <c r="M19" s="63"/>
      <c r="N19" s="64" t="s">
        <v>37</v>
      </c>
      <c r="O19" s="65" t="s">
        <v>12</v>
      </c>
      <c r="P19" s="64" t="s">
        <v>24</v>
      </c>
    </row>
    <row r="20" spans="1:16" ht="31.5" x14ac:dyDescent="0.25">
      <c r="A20" s="20"/>
      <c r="B20" s="38" t="s">
        <v>23</v>
      </c>
      <c r="C20" s="79" t="s">
        <v>38</v>
      </c>
      <c r="D20" s="39" t="s">
        <v>30</v>
      </c>
      <c r="E20" s="38" t="s">
        <v>1</v>
      </c>
      <c r="F20" s="79" t="s">
        <v>39</v>
      </c>
      <c r="G20" s="39" t="s">
        <v>40</v>
      </c>
      <c r="H20" s="40" t="s">
        <v>9</v>
      </c>
      <c r="I20" s="40" t="s">
        <v>10</v>
      </c>
      <c r="J20" s="41" t="s">
        <v>10</v>
      </c>
      <c r="K20" s="89" t="s">
        <v>10</v>
      </c>
      <c r="L20" s="42" t="s">
        <v>10</v>
      </c>
      <c r="M20" s="43" t="s">
        <v>0</v>
      </c>
      <c r="N20" s="37" t="s">
        <v>21</v>
      </c>
      <c r="O20" s="37" t="s">
        <v>13</v>
      </c>
      <c r="P20" s="57" t="s">
        <v>22</v>
      </c>
    </row>
    <row r="21" spans="1:16" x14ac:dyDescent="0.25">
      <c r="A21" s="58" t="s">
        <v>11</v>
      </c>
      <c r="B21" s="6">
        <v>3.5</v>
      </c>
      <c r="C21" s="86">
        <v>3.75</v>
      </c>
      <c r="D21" s="7">
        <v>4</v>
      </c>
      <c r="E21" s="9">
        <f t="shared" ref="E21:E28" si="10">((468*(Inverted_V))/B21)/2</f>
        <v>61.60885714285714</v>
      </c>
      <c r="F21" s="73">
        <f t="shared" ref="F21:F28" si="11">((468*(Inverted_V))/C21)/2</f>
        <v>57.501600000000003</v>
      </c>
      <c r="G21" s="8">
        <f t="shared" ref="G21:G28" si="12">((468*(Inverted_V))/D21)/2</f>
        <v>53.90775</v>
      </c>
      <c r="H21" s="5">
        <f t="shared" ref="H21:H28" si="13">((468*(Inverted_V))/B21)/2</f>
        <v>61.60885714285714</v>
      </c>
      <c r="I21" s="4" t="str">
        <f>INT(H21) &amp; " ft  " &amp;TEXT(MOD((H21),1)*12, "# -??/16") &amp; " in"</f>
        <v>61 ft  7 - 5/16 in</v>
      </c>
      <c r="J21" s="2" t="str">
        <f>INT(E21) &amp; " ft  " &amp;TEXT(MOD((E21),1)*12, "# -??/16") &amp; " in"</f>
        <v>61 ft  7 - 5/16 in</v>
      </c>
      <c r="K21" s="85" t="str">
        <f t="shared" ref="K21:L21" si="14">INT(F21) &amp; " ft  " &amp;TEXT(MOD((F21),1)*12, "# -??/16") &amp; " in"</f>
        <v>57 ft  6        in</v>
      </c>
      <c r="L21" s="3" t="str">
        <f t="shared" si="14"/>
        <v>53 ft  10 -14/16 in</v>
      </c>
      <c r="M21" s="44" t="s">
        <v>11</v>
      </c>
      <c r="N21" s="12">
        <f>(O21*12)/(P21/0.1)</f>
        <v>18.482657142857136</v>
      </c>
      <c r="O21" s="12">
        <f t="shared" ref="O21:O28" si="15">E21-G21</f>
        <v>7.7011071428571398</v>
      </c>
      <c r="P21" s="59">
        <f t="shared" ref="P21:P28" si="16">D21-B21</f>
        <v>0.5</v>
      </c>
    </row>
    <row r="22" spans="1:16" x14ac:dyDescent="0.25">
      <c r="A22" s="58" t="s">
        <v>2</v>
      </c>
      <c r="B22" s="6">
        <v>7</v>
      </c>
      <c r="C22" s="86">
        <v>7.15</v>
      </c>
      <c r="D22" s="7">
        <v>7.3</v>
      </c>
      <c r="E22" s="9">
        <f t="shared" si="10"/>
        <v>30.80442857142857</v>
      </c>
      <c r="F22" s="73">
        <f t="shared" si="11"/>
        <v>30.158181818181816</v>
      </c>
      <c r="G22" s="8">
        <f t="shared" si="12"/>
        <v>29.538493150684932</v>
      </c>
      <c r="H22" s="5">
        <f t="shared" si="13"/>
        <v>30.80442857142857</v>
      </c>
      <c r="I22" s="4" t="str">
        <f t="shared" ref="I22:I28" si="17">INT(H22) &amp; " ft  " &amp;TEXT(MOD((H22),1)*12, "# -??/16") &amp; " in"</f>
        <v>30 ft  9 -10/16 in</v>
      </c>
      <c r="J22" s="2" t="str">
        <f t="shared" ref="J22:J28" si="18">INT(E22) &amp; " ft  " &amp;TEXT(MOD((E22),1)*12, "# -??/16") &amp; " in"</f>
        <v>30 ft  9 -10/16 in</v>
      </c>
      <c r="K22" s="85" t="str">
        <f t="shared" ref="K22:K28" si="19">INT(F22) &amp; " ft  " &amp;TEXT(MOD((F22),1)*12, "# -??/16") &amp; " in"</f>
        <v>30 ft  1 -14/16 in</v>
      </c>
      <c r="L22" s="3" t="str">
        <f t="shared" ref="L22:L28" si="20">INT(G22) &amp; " ft  " &amp;TEXT(MOD((G22),1)*12, "# -??/16") &amp; " in"</f>
        <v>29 ft  6 - 7/16 in</v>
      </c>
      <c r="M22" s="44" t="s">
        <v>2</v>
      </c>
      <c r="N22" s="12">
        <f t="shared" ref="N22:N28" si="21">(O22*12)/(P22/0.1)</f>
        <v>5.0637416829745545</v>
      </c>
      <c r="O22" s="12">
        <f t="shared" si="15"/>
        <v>1.265935420743638</v>
      </c>
      <c r="P22" s="59">
        <f t="shared" si="16"/>
        <v>0.29999999999999982</v>
      </c>
    </row>
    <row r="23" spans="1:16" x14ac:dyDescent="0.25">
      <c r="A23" s="58" t="s">
        <v>3</v>
      </c>
      <c r="B23" s="6">
        <v>14</v>
      </c>
      <c r="C23" s="86">
        <v>14.175000000000001</v>
      </c>
      <c r="D23" s="7">
        <v>14.35</v>
      </c>
      <c r="E23" s="9">
        <f t="shared" si="10"/>
        <v>15.402214285714285</v>
      </c>
      <c r="F23" s="73">
        <f t="shared" si="11"/>
        <v>15.212063492063491</v>
      </c>
      <c r="G23" s="8">
        <f t="shared" si="12"/>
        <v>15.026550522648083</v>
      </c>
      <c r="H23" s="5">
        <f t="shared" si="13"/>
        <v>15.402214285714285</v>
      </c>
      <c r="I23" s="4" t="str">
        <f t="shared" si="17"/>
        <v>15 ft  4 -13/16 in</v>
      </c>
      <c r="J23" s="2" t="str">
        <f t="shared" si="18"/>
        <v>15 ft  4 -13/16 in</v>
      </c>
      <c r="K23" s="85" t="str">
        <f t="shared" si="19"/>
        <v>15 ft  2 - 9/16 in</v>
      </c>
      <c r="L23" s="3" t="str">
        <f t="shared" si="20"/>
        <v>15 ft     5/16 in</v>
      </c>
      <c r="M23" s="44" t="s">
        <v>3</v>
      </c>
      <c r="N23" s="12">
        <f t="shared" si="21"/>
        <v>1.287990044798407</v>
      </c>
      <c r="O23" s="12">
        <f t="shared" si="15"/>
        <v>0.37566376306620164</v>
      </c>
      <c r="P23" s="59">
        <f t="shared" si="16"/>
        <v>0.34999999999999964</v>
      </c>
    </row>
    <row r="24" spans="1:16" x14ac:dyDescent="0.25">
      <c r="A24" s="58" t="s">
        <v>4</v>
      </c>
      <c r="B24" s="6">
        <v>18.068000000000001</v>
      </c>
      <c r="C24" s="86">
        <v>18.117999999999999</v>
      </c>
      <c r="D24" s="7">
        <v>18.167999999999999</v>
      </c>
      <c r="E24" s="9">
        <f t="shared" si="10"/>
        <v>11.934414434359088</v>
      </c>
      <c r="F24" s="73">
        <f t="shared" si="11"/>
        <v>11.901479191963794</v>
      </c>
      <c r="G24" s="8">
        <f t="shared" si="12"/>
        <v>11.868725231175693</v>
      </c>
      <c r="H24" s="5">
        <f t="shared" si="13"/>
        <v>11.934414434359088</v>
      </c>
      <c r="I24" s="4" t="str">
        <f t="shared" si="17"/>
        <v>11 ft  11 - 3/16 in</v>
      </c>
      <c r="J24" s="2" t="str">
        <f t="shared" si="18"/>
        <v>11 ft  11 - 3/16 in</v>
      </c>
      <c r="K24" s="85" t="str">
        <f t="shared" si="19"/>
        <v>11 ft  10 -13/16 in</v>
      </c>
      <c r="L24" s="3" t="str">
        <f t="shared" si="20"/>
        <v>11 ft  10 - 7/16 in</v>
      </c>
      <c r="M24" s="44" t="s">
        <v>4</v>
      </c>
      <c r="N24" s="12">
        <f t="shared" si="21"/>
        <v>0.78827043820075005</v>
      </c>
      <c r="O24" s="12">
        <f t="shared" si="15"/>
        <v>6.568920318339444E-2</v>
      </c>
      <c r="P24" s="59">
        <f t="shared" si="16"/>
        <v>9.9999999999997868E-2</v>
      </c>
    </row>
    <row r="25" spans="1:16" x14ac:dyDescent="0.25">
      <c r="A25" s="60" t="s">
        <v>5</v>
      </c>
      <c r="B25" s="28">
        <v>21</v>
      </c>
      <c r="C25" s="87">
        <v>21.225000000000001</v>
      </c>
      <c r="D25" s="29">
        <v>21.45</v>
      </c>
      <c r="E25" s="9">
        <f t="shared" si="10"/>
        <v>10.268142857142857</v>
      </c>
      <c r="F25" s="73">
        <f t="shared" si="11"/>
        <v>10.15929328621908</v>
      </c>
      <c r="G25" s="8">
        <f t="shared" si="12"/>
        <v>10.052727272727273</v>
      </c>
      <c r="H25" s="5">
        <f t="shared" si="13"/>
        <v>10.268142857142857</v>
      </c>
      <c r="I25" s="4" t="str">
        <f t="shared" si="17"/>
        <v>10 ft  3 - 3/16 in</v>
      </c>
      <c r="J25" s="2" t="str">
        <f t="shared" si="18"/>
        <v>10 ft  3 - 3/16 in</v>
      </c>
      <c r="K25" s="85" t="str">
        <f t="shared" si="19"/>
        <v>10 ft  1 -15/16 in</v>
      </c>
      <c r="L25" s="3" t="str">
        <f t="shared" si="20"/>
        <v>10 ft    10/16 in</v>
      </c>
      <c r="M25" s="45" t="s">
        <v>5</v>
      </c>
      <c r="N25" s="12">
        <f t="shared" si="21"/>
        <v>0.57444155844155964</v>
      </c>
      <c r="O25" s="12">
        <f t="shared" si="15"/>
        <v>0.2154155844155845</v>
      </c>
      <c r="P25" s="59">
        <f t="shared" si="16"/>
        <v>0.44999999999999929</v>
      </c>
    </row>
    <row r="26" spans="1:16" x14ac:dyDescent="0.25">
      <c r="A26" s="58" t="s">
        <v>6</v>
      </c>
      <c r="B26" s="6">
        <v>24.89</v>
      </c>
      <c r="C26" s="86">
        <v>24.94</v>
      </c>
      <c r="D26" s="7">
        <v>24.99</v>
      </c>
      <c r="E26" s="9">
        <f t="shared" si="10"/>
        <v>8.6633587786259536</v>
      </c>
      <c r="F26" s="73">
        <f t="shared" si="11"/>
        <v>8.645990376904571</v>
      </c>
      <c r="G26" s="8">
        <f t="shared" si="12"/>
        <v>8.6286914765906371</v>
      </c>
      <c r="H26" s="5">
        <f t="shared" si="13"/>
        <v>8.6633587786259536</v>
      </c>
      <c r="I26" s="4" t="str">
        <f t="shared" si="17"/>
        <v>8 ft  7 -15/16 in</v>
      </c>
      <c r="J26" s="2" t="str">
        <f t="shared" si="18"/>
        <v>8 ft  7 -15/16 in</v>
      </c>
      <c r="K26" s="85" t="str">
        <f t="shared" si="19"/>
        <v>8 ft  7 -12/16 in</v>
      </c>
      <c r="L26" s="3" t="str">
        <f t="shared" si="20"/>
        <v>8 ft  7 - 9/16 in</v>
      </c>
      <c r="M26" s="44" t="s">
        <v>6</v>
      </c>
      <c r="N26" s="12">
        <f t="shared" si="21"/>
        <v>0.41600762442380734</v>
      </c>
      <c r="O26" s="12">
        <f t="shared" si="15"/>
        <v>3.4667302035316538E-2</v>
      </c>
      <c r="P26" s="59">
        <f t="shared" si="16"/>
        <v>9.9999999999997868E-2</v>
      </c>
    </row>
    <row r="27" spans="1:16" x14ac:dyDescent="0.25">
      <c r="A27" s="61" t="s">
        <v>7</v>
      </c>
      <c r="B27" s="30">
        <v>28</v>
      </c>
      <c r="C27" s="88">
        <v>28.85</v>
      </c>
      <c r="D27" s="31">
        <v>29.7</v>
      </c>
      <c r="E27" s="9">
        <f t="shared" si="10"/>
        <v>7.7011071428571425</v>
      </c>
      <c r="F27" s="73">
        <f t="shared" si="11"/>
        <v>7.4742114384748692</v>
      </c>
      <c r="G27" s="8">
        <f t="shared" si="12"/>
        <v>7.2603030303030307</v>
      </c>
      <c r="H27" s="5">
        <f t="shared" si="13"/>
        <v>7.7011071428571425</v>
      </c>
      <c r="I27" s="4" t="str">
        <f t="shared" si="17"/>
        <v>7 ft  8 - 7/16 in</v>
      </c>
      <c r="J27" s="2" t="str">
        <f t="shared" si="18"/>
        <v>7 ft  8 - 7/16 in</v>
      </c>
      <c r="K27" s="85" t="str">
        <f t="shared" si="19"/>
        <v>7 ft  5 -11/16 in</v>
      </c>
      <c r="L27" s="3" t="str">
        <f t="shared" si="20"/>
        <v>7 ft  3 - 2/16 in</v>
      </c>
      <c r="M27" s="45" t="s">
        <v>7</v>
      </c>
      <c r="N27" s="12">
        <f t="shared" si="21"/>
        <v>0.31115584415584374</v>
      </c>
      <c r="O27" s="12">
        <f t="shared" si="15"/>
        <v>0.44080411255411178</v>
      </c>
      <c r="P27" s="59">
        <f t="shared" si="16"/>
        <v>1.6999999999999993</v>
      </c>
    </row>
    <row r="28" spans="1:16" ht="16.5" thickBot="1" x14ac:dyDescent="0.3">
      <c r="A28" s="58" t="s">
        <v>8</v>
      </c>
      <c r="B28" s="6">
        <v>50</v>
      </c>
      <c r="C28" s="86">
        <v>52</v>
      </c>
      <c r="D28" s="7">
        <v>54</v>
      </c>
      <c r="E28" s="9">
        <f t="shared" si="10"/>
        <v>4.3126199999999999</v>
      </c>
      <c r="F28" s="73">
        <f t="shared" si="11"/>
        <v>4.1467499999999999</v>
      </c>
      <c r="G28" s="8">
        <f t="shared" si="12"/>
        <v>3.9931666666666668</v>
      </c>
      <c r="H28" s="5">
        <f t="shared" si="13"/>
        <v>4.3126199999999999</v>
      </c>
      <c r="I28" s="4" t="str">
        <f t="shared" si="17"/>
        <v>4 ft  3 -12/16 in</v>
      </c>
      <c r="J28" s="2" t="str">
        <f t="shared" si="18"/>
        <v>4 ft  3 -12/16 in</v>
      </c>
      <c r="K28" s="85" t="str">
        <f t="shared" si="19"/>
        <v>4 ft  1 -12/16 in</v>
      </c>
      <c r="L28" s="3" t="str">
        <f t="shared" si="20"/>
        <v>3 ft  11 -15/16 in</v>
      </c>
      <c r="M28" s="44" t="s">
        <v>8</v>
      </c>
      <c r="N28" s="12">
        <f t="shared" si="21"/>
        <v>9.5835999999999949E-2</v>
      </c>
      <c r="O28" s="12">
        <f t="shared" si="15"/>
        <v>0.31945333333333314</v>
      </c>
      <c r="P28" s="59">
        <f t="shared" si="16"/>
        <v>4</v>
      </c>
    </row>
    <row r="29" spans="1:16" ht="18.75" x14ac:dyDescent="0.35">
      <c r="A29" s="125" t="s">
        <v>25</v>
      </c>
      <c r="B29" s="126"/>
      <c r="C29" s="126"/>
      <c r="D29" s="117" t="s">
        <v>49</v>
      </c>
      <c r="E29" s="118"/>
      <c r="F29" s="118"/>
      <c r="G29" s="118"/>
      <c r="H29" s="118"/>
      <c r="I29" s="118"/>
      <c r="J29" s="118"/>
      <c r="K29" s="118"/>
      <c r="L29" s="118"/>
      <c r="M29" s="118"/>
      <c r="N29" s="118"/>
      <c r="O29" s="118"/>
      <c r="P29" s="119"/>
    </row>
    <row r="30" spans="1:16" ht="16.5" thickBot="1" x14ac:dyDescent="0.3">
      <c r="A30" s="127">
        <f>Velocity_Factor-((Velocity_Factor)*0.05)</f>
        <v>0.92149999999999999</v>
      </c>
      <c r="B30" s="128"/>
      <c r="C30" s="128"/>
      <c r="D30" s="132" t="s">
        <v>124</v>
      </c>
      <c r="E30" s="133"/>
      <c r="F30" s="133"/>
      <c r="G30" s="133"/>
      <c r="H30" s="133"/>
      <c r="I30" s="133"/>
      <c r="J30" s="133"/>
      <c r="K30" s="133"/>
      <c r="L30" s="133"/>
      <c r="M30" s="133"/>
      <c r="N30" s="133"/>
      <c r="O30" s="133"/>
      <c r="P30" s="134"/>
    </row>
    <row r="31" spans="1:16" x14ac:dyDescent="0.25">
      <c r="A31" s="124"/>
      <c r="B31" s="124"/>
      <c r="C31" s="124"/>
    </row>
  </sheetData>
  <mergeCells count="22">
    <mergeCell ref="A1:P1"/>
    <mergeCell ref="A31:C31"/>
    <mergeCell ref="A29:C29"/>
    <mergeCell ref="A30:C30"/>
    <mergeCell ref="A18:P18"/>
    <mergeCell ref="D29:P29"/>
    <mergeCell ref="D30:P30"/>
    <mergeCell ref="B19:D19"/>
    <mergeCell ref="E19:G19"/>
    <mergeCell ref="H19:I19"/>
    <mergeCell ref="A2:P2"/>
    <mergeCell ref="A15:C15"/>
    <mergeCell ref="D15:P15"/>
    <mergeCell ref="E3:G3"/>
    <mergeCell ref="B3:D3"/>
    <mergeCell ref="A13:C13"/>
    <mergeCell ref="A17:P17"/>
    <mergeCell ref="A14:C14"/>
    <mergeCell ref="H3:I3"/>
    <mergeCell ref="D13:P13"/>
    <mergeCell ref="D14:P14"/>
    <mergeCell ref="A16:P16"/>
  </mergeCells>
  <printOptions horizontalCentered="1" verticalCentered="1"/>
  <pageMargins left="0.75" right="0.75" top="1" bottom="1" header="0.5" footer="0.5"/>
  <pageSetup scale="70" orientation="landscape" horizontalDpi="4294967295" verticalDpi="4294967295" r:id="rId1"/>
  <headerFooter>
    <oddHeader>&amp;CAE2A Dipole Calculator Tool</oddHeader>
  </headerFooter>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zoomScaleNormal="100" workbookViewId="0">
      <selection activeCell="A13" sqref="A13"/>
    </sheetView>
  </sheetViews>
  <sheetFormatPr defaultRowHeight="15.75" x14ac:dyDescent="0.25"/>
  <cols>
    <col min="1" max="1" width="9" style="18"/>
    <col min="2" max="2" width="14.125" style="18" customWidth="1"/>
    <col min="3" max="3" width="10.375" style="18" customWidth="1"/>
    <col min="4" max="5" width="9" style="18"/>
    <col min="6" max="6" width="18.125" style="18" customWidth="1"/>
    <col min="7" max="9" width="18.125" style="17" customWidth="1"/>
    <col min="10" max="10" width="9" style="18"/>
    <col min="11" max="11" width="17.875" style="18" customWidth="1"/>
    <col min="12" max="16384" width="9" style="18"/>
  </cols>
  <sheetData>
    <row r="1" spans="1:11" ht="16.5" thickBot="1" x14ac:dyDescent="0.3">
      <c r="A1" s="109" t="s">
        <v>66</v>
      </c>
      <c r="B1" s="110"/>
      <c r="C1" s="110"/>
      <c r="D1" s="110"/>
      <c r="E1" s="110"/>
      <c r="F1" s="110"/>
      <c r="G1" s="110"/>
      <c r="H1" s="110"/>
      <c r="I1" s="111"/>
    </row>
    <row r="2" spans="1:11" ht="16.5" thickBot="1" x14ac:dyDescent="0.3">
      <c r="A2" s="156" t="s">
        <v>55</v>
      </c>
      <c r="B2" s="157"/>
      <c r="C2" s="157"/>
      <c r="D2" s="145" t="s">
        <v>16</v>
      </c>
      <c r="E2" s="145"/>
      <c r="F2" s="74" t="s">
        <v>17</v>
      </c>
      <c r="G2" s="162" t="s">
        <v>10</v>
      </c>
      <c r="H2" s="162"/>
      <c r="I2" s="163"/>
    </row>
    <row r="3" spans="1:11" ht="63.75" thickBot="1" x14ac:dyDescent="0.3">
      <c r="A3" s="75" t="s">
        <v>0</v>
      </c>
      <c r="B3" s="76" t="s">
        <v>48</v>
      </c>
      <c r="C3" s="76" t="s">
        <v>14</v>
      </c>
      <c r="D3" s="158" t="s">
        <v>18</v>
      </c>
      <c r="E3" s="158"/>
      <c r="F3" s="76" t="s">
        <v>65</v>
      </c>
      <c r="G3" s="76" t="s">
        <v>41</v>
      </c>
      <c r="H3" s="77" t="s">
        <v>47</v>
      </c>
      <c r="I3" s="78" t="s">
        <v>56</v>
      </c>
    </row>
    <row r="4" spans="1:11" ht="24.95" customHeight="1" x14ac:dyDescent="0.25">
      <c r="A4" s="20" t="s">
        <v>11</v>
      </c>
      <c r="B4" s="23">
        <f>('Dipole - "V" Calculator'!E5)</f>
        <v>64.851428571428571</v>
      </c>
      <c r="C4" s="24">
        <v>3.75</v>
      </c>
      <c r="D4" s="66">
        <f>'Dipole - "V" Calculator'!N5</f>
        <v>19.455428571428577</v>
      </c>
      <c r="E4" s="67" t="s">
        <v>15</v>
      </c>
      <c r="F4" s="68">
        <f>B4+((D4/12)*3)</f>
        <v>69.715285714285713</v>
      </c>
      <c r="G4" s="22" t="str">
        <f>INT(F4+0.125) &amp; " ft  " &amp;TEXT(MOD((F4+0.125),1)*12, "# -??/16") &amp; " in"</f>
        <v>69 ft  10 - 1/16 in</v>
      </c>
      <c r="H4" s="21" t="str">
        <f>INT(D4/12) &amp; " ft  " &amp;TEXT(MOD((D4/12),1)*12, "# -??/16") &amp; " in"</f>
        <v>1 ft  7 - 7/16 in</v>
      </c>
      <c r="I4" s="83" t="str">
        <f>INT(B4) &amp; " ft  " &amp;TEXT(MOD((B4),1)*12, "# -??/16") &amp; " in"</f>
        <v>64 ft  10 - 3/16 in</v>
      </c>
      <c r="K4" s="27"/>
    </row>
    <row r="5" spans="1:11" ht="24.95" customHeight="1" x14ac:dyDescent="0.25">
      <c r="A5" s="16" t="s">
        <v>2</v>
      </c>
      <c r="B5" s="23">
        <f>('Dipole - "V" Calculator'!E6)</f>
        <v>32.425714285714285</v>
      </c>
      <c r="C5" s="25">
        <v>7.15</v>
      </c>
      <c r="D5" s="71">
        <f>'Dipole - "V" Calculator'!N6</f>
        <v>5.330254403131125</v>
      </c>
      <c r="E5" s="69" t="s">
        <v>15</v>
      </c>
      <c r="F5" s="68">
        <f t="shared" ref="F5:F11" si="0">B5+((D5/12)*3)</f>
        <v>33.758277886497069</v>
      </c>
      <c r="G5" s="22" t="str">
        <f t="shared" ref="G5:G11" si="1">INT(F5+0.125) &amp; " ft  " &amp;TEXT(MOD((F5+0.125),1)*12, "# -??/16") &amp; " in"</f>
        <v>33 ft  10 -10/16 in</v>
      </c>
      <c r="H5" s="21" t="str">
        <f t="shared" ref="H5:H11" si="2">INT(D5/12) &amp; " ft  " &amp;TEXT(MOD((D5/12),1)*12, "# -??/16") &amp; " in"</f>
        <v>0 ft  5 - 5/16 in</v>
      </c>
      <c r="I5" s="83" t="str">
        <f t="shared" ref="I5:I11" si="3">INT(B5) &amp; " ft  " &amp;TEXT(MOD((B5),1)*12, "# -??/16") &amp; " in"</f>
        <v>32 ft  5 - 2/16 in</v>
      </c>
    </row>
    <row r="6" spans="1:11" ht="24.95" customHeight="1" x14ac:dyDescent="0.25">
      <c r="A6" s="16" t="s">
        <v>3</v>
      </c>
      <c r="B6" s="23">
        <f>('Dipole - "V" Calculator'!E7)</f>
        <v>16.212857142857143</v>
      </c>
      <c r="C6" s="25">
        <v>14.2</v>
      </c>
      <c r="D6" s="71">
        <f>'Dipole - "V" Calculator'!N7</f>
        <v>1.3557789945246386</v>
      </c>
      <c r="E6" s="69" t="s">
        <v>15</v>
      </c>
      <c r="F6" s="68">
        <f t="shared" si="0"/>
        <v>16.551801891488303</v>
      </c>
      <c r="G6" s="22" t="str">
        <f t="shared" si="1"/>
        <v>16 ft  8 - 2/16 in</v>
      </c>
      <c r="H6" s="21" t="str">
        <f t="shared" si="2"/>
        <v>0 ft  1 - 6/16 in</v>
      </c>
      <c r="I6" s="83" t="str">
        <f t="shared" si="3"/>
        <v>16 ft  2 - 9/16 in</v>
      </c>
    </row>
    <row r="7" spans="1:11" ht="24.95" customHeight="1" x14ac:dyDescent="0.25">
      <c r="A7" s="16" t="s">
        <v>4</v>
      </c>
      <c r="B7" s="23">
        <f>('Dipole - "V" Calculator'!E8)</f>
        <v>12.56254150985167</v>
      </c>
      <c r="C7" s="25">
        <v>18.100000000000001</v>
      </c>
      <c r="D7" s="71">
        <v>0.84390570306978341</v>
      </c>
      <c r="E7" s="69" t="s">
        <v>15</v>
      </c>
      <c r="F7" s="68">
        <f t="shared" si="0"/>
        <v>12.773517935619116</v>
      </c>
      <c r="G7" s="22" t="str">
        <f t="shared" si="1"/>
        <v>12 ft  10 -13/16 in</v>
      </c>
      <c r="H7" s="21" t="str">
        <f t="shared" si="2"/>
        <v>0 ft    14/16 in</v>
      </c>
      <c r="I7" s="83" t="str">
        <f t="shared" si="3"/>
        <v>12 ft  6 -12/16 in</v>
      </c>
    </row>
    <row r="8" spans="1:11" ht="24.95" customHeight="1" x14ac:dyDescent="0.25">
      <c r="A8" s="16" t="s">
        <v>5</v>
      </c>
      <c r="B8" s="23">
        <f>('Dipole - "V" Calculator'!E9)</f>
        <v>10.808571428571428</v>
      </c>
      <c r="C8" s="25">
        <v>21.25</v>
      </c>
      <c r="D8" s="71">
        <f>'Dipole - "V" Calculator'!N9</f>
        <v>0.60467532467532314</v>
      </c>
      <c r="E8" s="69" t="s">
        <v>15</v>
      </c>
      <c r="F8" s="68">
        <f t="shared" si="0"/>
        <v>10.959740259740258</v>
      </c>
      <c r="G8" s="22" t="str">
        <f t="shared" si="1"/>
        <v>11 ft  1        in</v>
      </c>
      <c r="H8" s="21" t="str">
        <f t="shared" si="2"/>
        <v>0 ft    10/16 in</v>
      </c>
      <c r="I8" s="83" t="str">
        <f t="shared" si="3"/>
        <v>10 ft  9 -11/16 in</v>
      </c>
    </row>
    <row r="9" spans="1:11" ht="24.95" customHeight="1" x14ac:dyDescent="0.25">
      <c r="A9" s="16" t="s">
        <v>6</v>
      </c>
      <c r="B9" s="23">
        <f>('Dipole - "V" Calculator'!E10)</f>
        <v>9.1193250301325826</v>
      </c>
      <c r="C9" s="25">
        <v>24.8</v>
      </c>
      <c r="D9" s="71">
        <f>'Dipole - "V" Calculator'!N10</f>
        <v>0.43790276255139071</v>
      </c>
      <c r="E9" s="69" t="s">
        <v>15</v>
      </c>
      <c r="F9" s="68">
        <f t="shared" si="0"/>
        <v>9.2288007207704297</v>
      </c>
      <c r="G9" s="22" t="str">
        <f t="shared" si="1"/>
        <v>9 ft  4 - 4/16 in</v>
      </c>
      <c r="H9" s="21" t="str">
        <f t="shared" si="2"/>
        <v>0 ft     7/16 in</v>
      </c>
      <c r="I9" s="83" t="str">
        <f t="shared" si="3"/>
        <v>9 ft  1 - 7/16 in</v>
      </c>
    </row>
    <row r="10" spans="1:11" ht="24.95" customHeight="1" x14ac:dyDescent="0.25">
      <c r="A10" s="16" t="s">
        <v>7</v>
      </c>
      <c r="B10" s="23">
        <f>('Dipole - "V" Calculator'!E11)</f>
        <v>8.1064285714285713</v>
      </c>
      <c r="C10" s="25">
        <v>28.5</v>
      </c>
      <c r="D10" s="71">
        <v>0.33311688311688331</v>
      </c>
      <c r="E10" s="69" t="s">
        <v>15</v>
      </c>
      <c r="F10" s="68">
        <f t="shared" si="0"/>
        <v>8.189707792207793</v>
      </c>
      <c r="G10" s="22" t="str">
        <f t="shared" si="1"/>
        <v>8 ft  3 -12/16 in</v>
      </c>
      <c r="H10" s="21" t="str">
        <f t="shared" si="2"/>
        <v>0 ft     5/16 in</v>
      </c>
      <c r="I10" s="83" t="str">
        <f t="shared" si="3"/>
        <v>8 ft  1 - 4/16 in</v>
      </c>
    </row>
    <row r="11" spans="1:11" ht="24.95" customHeight="1" thickBot="1" x14ac:dyDescent="0.3">
      <c r="A11" s="19" t="s">
        <v>8</v>
      </c>
      <c r="B11" s="23">
        <f>('Dipole - "V" Calculator'!E12)</f>
        <v>4.5396000000000001</v>
      </c>
      <c r="C11" s="26">
        <v>50</v>
      </c>
      <c r="D11" s="72">
        <f>'Dipole - "V" Calculator'!N12</f>
        <v>0.10088000000000008</v>
      </c>
      <c r="E11" s="70" t="s">
        <v>15</v>
      </c>
      <c r="F11" s="68">
        <f t="shared" si="0"/>
        <v>4.5648200000000001</v>
      </c>
      <c r="G11" s="22" t="str">
        <f t="shared" si="1"/>
        <v>4 ft  8 - 4/16 in</v>
      </c>
      <c r="H11" s="21" t="str">
        <f t="shared" si="2"/>
        <v>0 ft     2/16 in</v>
      </c>
      <c r="I11" s="83" t="str">
        <f t="shared" si="3"/>
        <v>4 ft  6 - 8/16 in</v>
      </c>
    </row>
    <row r="12" spans="1:11" ht="24.95" customHeight="1" thickBot="1" x14ac:dyDescent="0.3">
      <c r="A12" s="159" t="str">
        <f>"Calculated at Velocity Factor from Tab #1  "&amp;(Velocity_Factor)</f>
        <v>Calculated at Velocity Factor from Tab #1  0.97</v>
      </c>
      <c r="B12" s="160"/>
      <c r="C12" s="160"/>
      <c r="D12" s="160"/>
      <c r="E12" s="160"/>
      <c r="F12" s="160"/>
      <c r="G12" s="160"/>
      <c r="H12" s="160"/>
      <c r="I12" s="161"/>
    </row>
    <row r="13" spans="1:11" ht="16.5" thickBot="1" x14ac:dyDescent="0.3"/>
    <row r="14" spans="1:11" ht="79.5" customHeight="1" thickBot="1" x14ac:dyDescent="0.3">
      <c r="C14" s="144" t="s">
        <v>64</v>
      </c>
      <c r="D14" s="145"/>
      <c r="E14" s="145"/>
      <c r="F14" s="145"/>
      <c r="G14" s="145"/>
      <c r="H14" s="146"/>
    </row>
    <row r="15" spans="1:11" ht="47.25" x14ac:dyDescent="0.25">
      <c r="C15" s="147" t="s">
        <v>42</v>
      </c>
      <c r="D15" s="148"/>
      <c r="E15" s="149"/>
      <c r="F15" s="47" t="s">
        <v>26</v>
      </c>
      <c r="G15" s="48" t="s">
        <v>63</v>
      </c>
      <c r="H15" s="51" t="s">
        <v>19</v>
      </c>
    </row>
    <row r="16" spans="1:11" ht="63" x14ac:dyDescent="0.25">
      <c r="C16" s="16" t="s">
        <v>0</v>
      </c>
      <c r="D16" s="14" t="s">
        <v>46</v>
      </c>
      <c r="E16" s="14" t="s">
        <v>14</v>
      </c>
      <c r="F16" s="33" t="s">
        <v>43</v>
      </c>
      <c r="G16" s="32" t="s">
        <v>28</v>
      </c>
      <c r="H16" s="52" t="s">
        <v>20</v>
      </c>
    </row>
    <row r="17" spans="3:8" x14ac:dyDescent="0.25">
      <c r="C17" s="16" t="s">
        <v>11</v>
      </c>
      <c r="D17" s="55">
        <f>B4</f>
        <v>64.851428571428571</v>
      </c>
      <c r="E17" s="6">
        <f>'Dipole - "V" Calculator'!B5</f>
        <v>3.5</v>
      </c>
      <c r="F17" s="15">
        <f>'Dipole - "V" Calculator'!N5</f>
        <v>19.455428571428577</v>
      </c>
      <c r="G17" s="36" t="str">
        <f>INT(F4+0.125) &amp; " ft  " &amp;TEXT(MOD((F4+0.125),1)*12, "# -??/16") &amp; " in"</f>
        <v>69 ft  10 - 1/16 in</v>
      </c>
      <c r="H17" s="53">
        <v>0.125</v>
      </c>
    </row>
    <row r="18" spans="3:8" x14ac:dyDescent="0.25">
      <c r="C18" s="16" t="s">
        <v>2</v>
      </c>
      <c r="D18" s="55">
        <f t="shared" ref="D18:D24" si="4">B5</f>
        <v>32.425714285714285</v>
      </c>
      <c r="E18" s="6">
        <f>'Dipole - "V" Calculator'!B6</f>
        <v>7</v>
      </c>
      <c r="F18" s="15">
        <f>'Dipole - "V" Calculator'!N6</f>
        <v>5.330254403131125</v>
      </c>
      <c r="G18" s="36" t="str">
        <f t="shared" ref="G18:G24" si="5">INT(F5+0.125) &amp; " ft  " &amp;TEXT(MOD((F5+0.125),1)*12, "# -??/16") &amp; " in"</f>
        <v>33 ft  10 -10/16 in</v>
      </c>
      <c r="H18" s="53">
        <v>0.125</v>
      </c>
    </row>
    <row r="19" spans="3:8" x14ac:dyDescent="0.25">
      <c r="C19" s="16" t="s">
        <v>3</v>
      </c>
      <c r="D19" s="55">
        <f t="shared" si="4"/>
        <v>16.212857142857143</v>
      </c>
      <c r="E19" s="6">
        <f>'Dipole - "V" Calculator'!B7</f>
        <v>14</v>
      </c>
      <c r="F19" s="15">
        <f>'Dipole - "V" Calculator'!N7</f>
        <v>1.3557789945246386</v>
      </c>
      <c r="G19" s="36" t="str">
        <f t="shared" si="5"/>
        <v>16 ft  8 - 2/16 in</v>
      </c>
      <c r="H19" s="53">
        <v>0.125</v>
      </c>
    </row>
    <row r="20" spans="3:8" x14ac:dyDescent="0.25">
      <c r="C20" s="16" t="s">
        <v>4</v>
      </c>
      <c r="D20" s="55">
        <f t="shared" si="4"/>
        <v>12.56254150985167</v>
      </c>
      <c r="E20" s="6">
        <f>'Dipole - "V" Calculator'!B8</f>
        <v>18.068000000000001</v>
      </c>
      <c r="F20" s="15">
        <f>'Dipole - "V" Calculator'!N8</f>
        <v>0.82975835600077719</v>
      </c>
      <c r="G20" s="36" t="str">
        <f t="shared" si="5"/>
        <v>12 ft  10 -13/16 in</v>
      </c>
      <c r="H20" s="53">
        <v>0.125</v>
      </c>
    </row>
    <row r="21" spans="3:8" x14ac:dyDescent="0.25">
      <c r="C21" s="16" t="s">
        <v>5</v>
      </c>
      <c r="D21" s="55">
        <f t="shared" si="4"/>
        <v>10.808571428571428</v>
      </c>
      <c r="E21" s="6">
        <f>'Dipole - "V" Calculator'!B9</f>
        <v>21</v>
      </c>
      <c r="F21" s="15">
        <f>'Dipole - "V" Calculator'!N9</f>
        <v>0.60467532467532314</v>
      </c>
      <c r="G21" s="36" t="str">
        <f t="shared" si="5"/>
        <v>11 ft  1        in</v>
      </c>
      <c r="H21" s="53">
        <v>0.125</v>
      </c>
    </row>
    <row r="22" spans="3:8" x14ac:dyDescent="0.25">
      <c r="C22" s="16" t="s">
        <v>6</v>
      </c>
      <c r="D22" s="55">
        <f t="shared" si="4"/>
        <v>9.1193250301325826</v>
      </c>
      <c r="E22" s="6">
        <f>'Dipole - "V" Calculator'!B10</f>
        <v>24.89</v>
      </c>
      <c r="F22" s="15">
        <f>'Dipole - "V" Calculator'!N10</f>
        <v>0.43790276255139071</v>
      </c>
      <c r="G22" s="36" t="str">
        <f t="shared" si="5"/>
        <v>9 ft  4 - 4/16 in</v>
      </c>
      <c r="H22" s="53">
        <v>0.125</v>
      </c>
    </row>
    <row r="23" spans="3:8" x14ac:dyDescent="0.25">
      <c r="C23" s="16" t="s">
        <v>7</v>
      </c>
      <c r="D23" s="55">
        <f t="shared" si="4"/>
        <v>8.1064285714285713</v>
      </c>
      <c r="E23" s="6">
        <f>'Dipole - "V" Calculator'!B11</f>
        <v>28</v>
      </c>
      <c r="F23" s="15">
        <f>'Dipole - "V" Calculator'!N11</f>
        <v>0.32753246753246751</v>
      </c>
      <c r="G23" s="36" t="str">
        <f t="shared" si="5"/>
        <v>8 ft  3 -12/16 in</v>
      </c>
      <c r="H23" s="53">
        <v>0.125</v>
      </c>
    </row>
    <row r="24" spans="3:8" ht="16.5" thickBot="1" x14ac:dyDescent="0.3">
      <c r="C24" s="19" t="s">
        <v>8</v>
      </c>
      <c r="D24" s="55">
        <f t="shared" si="4"/>
        <v>4.5396000000000001</v>
      </c>
      <c r="E24" s="6">
        <f>'Dipole - "V" Calculator'!B12</f>
        <v>50</v>
      </c>
      <c r="F24" s="50">
        <f>'Dipole - "V" Calculator'!N12</f>
        <v>0.10088000000000008</v>
      </c>
      <c r="G24" s="36" t="str">
        <f t="shared" si="5"/>
        <v>4 ft  8 - 4/16 in</v>
      </c>
      <c r="H24" s="54">
        <v>0.125</v>
      </c>
    </row>
    <row r="25" spans="3:8" x14ac:dyDescent="0.25">
      <c r="C25" s="150" t="s">
        <v>44</v>
      </c>
      <c r="D25" s="151"/>
      <c r="E25" s="151"/>
      <c r="F25" s="151"/>
      <c r="G25" s="151"/>
      <c r="H25" s="152"/>
    </row>
    <row r="26" spans="3:8" ht="16.5" thickBot="1" x14ac:dyDescent="0.3">
      <c r="C26" s="153"/>
      <c r="D26" s="154"/>
      <c r="E26" s="154"/>
      <c r="F26" s="154"/>
      <c r="G26" s="154"/>
      <c r="H26" s="155"/>
    </row>
  </sheetData>
  <mergeCells count="9">
    <mergeCell ref="A1:I1"/>
    <mergeCell ref="C14:H14"/>
    <mergeCell ref="C15:E15"/>
    <mergeCell ref="C25:H26"/>
    <mergeCell ref="A2:C2"/>
    <mergeCell ref="D2:E2"/>
    <mergeCell ref="D3:E3"/>
    <mergeCell ref="A12:I12"/>
    <mergeCell ref="G2:I2"/>
  </mergeCells>
  <printOptions horizontalCentered="1" verticalCentered="1"/>
  <pageMargins left="0.7" right="0.7" top="0.75" bottom="0.75" header="0.3" footer="0.3"/>
  <pageSetup scale="72" orientation="landscape" r:id="rId1"/>
  <headerFooter>
    <oddHeader>&amp;CAE2A Dipole Calculator</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topLeftCell="A13" zoomScaleNormal="100" workbookViewId="0">
      <selection activeCell="C27" sqref="C27"/>
    </sheetView>
  </sheetViews>
  <sheetFormatPr defaultRowHeight="15.75" x14ac:dyDescent="0.25"/>
  <cols>
    <col min="2" max="2" width="14.125" customWidth="1"/>
    <col min="3" max="3" width="9.75" customWidth="1"/>
    <col min="6" max="9" width="18.125" customWidth="1"/>
  </cols>
  <sheetData>
    <row r="1" spans="1:9" ht="16.5" thickBot="1" x14ac:dyDescent="0.3">
      <c r="A1" s="154" t="s">
        <v>53</v>
      </c>
      <c r="B1" s="154"/>
      <c r="C1" s="154"/>
      <c r="D1" s="154"/>
      <c r="E1" s="154"/>
      <c r="F1" s="154"/>
      <c r="G1" s="154"/>
      <c r="H1" s="154"/>
      <c r="I1" s="154"/>
    </row>
    <row r="2" spans="1:9" ht="16.5" thickBot="1" x14ac:dyDescent="0.3">
      <c r="A2" s="156" t="s">
        <v>54</v>
      </c>
      <c r="B2" s="157"/>
      <c r="C2" s="164"/>
      <c r="D2" s="165" t="s">
        <v>16</v>
      </c>
      <c r="E2" s="145"/>
      <c r="F2" s="74" t="s">
        <v>17</v>
      </c>
      <c r="G2" s="162" t="s">
        <v>10</v>
      </c>
      <c r="H2" s="162"/>
      <c r="I2" s="163"/>
    </row>
    <row r="3" spans="1:9" ht="63.75" customHeight="1" thickBot="1" x14ac:dyDescent="0.3">
      <c r="A3" s="75" t="s">
        <v>0</v>
      </c>
      <c r="B3" s="76" t="s">
        <v>48</v>
      </c>
      <c r="C3" s="76" t="s">
        <v>14</v>
      </c>
      <c r="D3" s="158" t="s">
        <v>18</v>
      </c>
      <c r="E3" s="158"/>
      <c r="F3" s="76" t="s">
        <v>59</v>
      </c>
      <c r="G3" s="82" t="s">
        <v>58</v>
      </c>
      <c r="H3" s="77" t="s">
        <v>47</v>
      </c>
      <c r="I3" s="76" t="s">
        <v>60</v>
      </c>
    </row>
    <row r="4" spans="1:9" ht="24.95" customHeight="1" x14ac:dyDescent="0.25">
      <c r="A4" s="20" t="s">
        <v>11</v>
      </c>
      <c r="B4" s="23">
        <f>'Dipole - "V" Calculator'!H21</f>
        <v>61.60885714285714</v>
      </c>
      <c r="C4" s="24">
        <v>3.75</v>
      </c>
      <c r="D4" s="66">
        <f>'Dipole - "V" Calculator'!N21</f>
        <v>18.482657142857136</v>
      </c>
      <c r="E4" s="67" t="s">
        <v>15</v>
      </c>
      <c r="F4" s="68">
        <f>'Dipole - "V" Calculator'!E21+(3*D4/12)</f>
        <v>66.229521428571417</v>
      </c>
      <c r="G4" s="22" t="str">
        <f>INT(B4) &amp; " ft  " &amp;TEXT(MOD((B4),1)*12, "# -??/16") &amp; " in"</f>
        <v>61 ft  7 - 5/16 in</v>
      </c>
      <c r="H4" s="21" t="str">
        <f>INT(D4/12) &amp; " ft  " &amp;TEXT(MOD((D4/12),1)*12, "# -??/16") &amp; " in"</f>
        <v>1 ft  6 - 8/16 in</v>
      </c>
      <c r="I4" s="22" t="str">
        <f>INT(F4) &amp; " ft  " &amp;TEXT(MOD((F4),1)*12, "# -??/16") &amp; " in"</f>
        <v>66 ft  2 -12/16 in</v>
      </c>
    </row>
    <row r="5" spans="1:9" ht="24.95" customHeight="1" x14ac:dyDescent="0.25">
      <c r="A5" s="16" t="s">
        <v>2</v>
      </c>
      <c r="B5" s="23">
        <f>'Dipole - "V" Calculator'!H22</f>
        <v>30.80442857142857</v>
      </c>
      <c r="C5" s="25">
        <v>7.15</v>
      </c>
      <c r="D5" s="66">
        <f>'Dipole - "V" Calculator'!N22</f>
        <v>5.0637416829745545</v>
      </c>
      <c r="E5" s="69" t="s">
        <v>15</v>
      </c>
      <c r="F5" s="68">
        <f>'Dipole - "V" Calculator'!E22+(3*D5/12)</f>
        <v>32.070363992172211</v>
      </c>
      <c r="G5" s="22" t="str">
        <f t="shared" ref="G5:G11" si="0">INT(B5) &amp; " ft  " &amp;TEXT(MOD((B5),1)*12, "# -??/16") &amp; " in"</f>
        <v>30 ft  9 -10/16 in</v>
      </c>
      <c r="H5" s="21" t="str">
        <f t="shared" ref="H5:H11" si="1">INT(D5/12) &amp; " ft  " &amp;TEXT(MOD((D5/12),1)*12, "# -??/16") &amp; " in"</f>
        <v>0 ft  5 - 1/16 in</v>
      </c>
      <c r="I5" s="22" t="str">
        <f t="shared" ref="I5:I11" si="2">INT(F5) &amp; " ft  " &amp;TEXT(MOD((F5),1)*12, "# -??/16") &amp; " in"</f>
        <v>32 ft    14/16 in</v>
      </c>
    </row>
    <row r="6" spans="1:9" ht="24.95" customHeight="1" x14ac:dyDescent="0.25">
      <c r="A6" s="16" t="s">
        <v>3</v>
      </c>
      <c r="B6" s="23">
        <f>'Dipole - "V" Calculator'!H23</f>
        <v>15.402214285714285</v>
      </c>
      <c r="C6" s="25">
        <v>14.2</v>
      </c>
      <c r="D6" s="66">
        <f>'Dipole - "V" Calculator'!N23</f>
        <v>1.287990044798407</v>
      </c>
      <c r="E6" s="69" t="s">
        <v>15</v>
      </c>
      <c r="F6" s="68">
        <f>'Dipole - "V" Calculator'!E23+(3*D6/12)</f>
        <v>15.724211796913886</v>
      </c>
      <c r="G6" s="22" t="str">
        <f t="shared" si="0"/>
        <v>15 ft  4 -13/16 in</v>
      </c>
      <c r="H6" s="21" t="str">
        <f t="shared" si="1"/>
        <v>0 ft  1 - 5/16 in</v>
      </c>
      <c r="I6" s="22" t="str">
        <f t="shared" si="2"/>
        <v>15 ft  8 -11/16 in</v>
      </c>
    </row>
    <row r="7" spans="1:9" ht="24.95" customHeight="1" x14ac:dyDescent="0.25">
      <c r="A7" s="16" t="s">
        <v>4</v>
      </c>
      <c r="B7" s="23">
        <f>'Dipole - "V" Calculator'!H24</f>
        <v>11.934414434359088</v>
      </c>
      <c r="C7" s="25">
        <v>18.100000000000001</v>
      </c>
      <c r="D7" s="66">
        <f>'Dipole - "V" Calculator'!N24</f>
        <v>0.78827043820075005</v>
      </c>
      <c r="E7" s="69" t="s">
        <v>15</v>
      </c>
      <c r="F7" s="68">
        <f>'Dipole - "V" Calculator'!E24+(3*D7/12)</f>
        <v>12.131482043909275</v>
      </c>
      <c r="G7" s="22" t="str">
        <f t="shared" si="0"/>
        <v>11 ft  11 - 3/16 in</v>
      </c>
      <c r="H7" s="21" t="str">
        <f t="shared" si="1"/>
        <v>0 ft    13/16 in</v>
      </c>
      <c r="I7" s="22" t="str">
        <f t="shared" si="2"/>
        <v>12 ft  1 - 9/16 in</v>
      </c>
    </row>
    <row r="8" spans="1:9" ht="24.95" customHeight="1" x14ac:dyDescent="0.25">
      <c r="A8" s="16" t="s">
        <v>5</v>
      </c>
      <c r="B8" s="23">
        <f>'Dipole - "V" Calculator'!H25</f>
        <v>10.268142857142857</v>
      </c>
      <c r="C8" s="25">
        <v>21.25</v>
      </c>
      <c r="D8" s="66">
        <f>'Dipole - "V" Calculator'!N25</f>
        <v>0.57444155844155964</v>
      </c>
      <c r="E8" s="69" t="s">
        <v>15</v>
      </c>
      <c r="F8" s="68">
        <f>'Dipole - "V" Calculator'!E25+(3*D8/12)</f>
        <v>10.411753246753246</v>
      </c>
      <c r="G8" s="22" t="str">
        <f t="shared" si="0"/>
        <v>10 ft  3 - 3/16 in</v>
      </c>
      <c r="H8" s="21" t="str">
        <f t="shared" si="1"/>
        <v>0 ft     9/16 in</v>
      </c>
      <c r="I8" s="22" t="str">
        <f t="shared" si="2"/>
        <v>10 ft  4 -15/16 in</v>
      </c>
    </row>
    <row r="9" spans="1:9" ht="24.95" customHeight="1" x14ac:dyDescent="0.25">
      <c r="A9" s="16" t="s">
        <v>6</v>
      </c>
      <c r="B9" s="23">
        <f>'Dipole - "V" Calculator'!H26</f>
        <v>8.6633587786259536</v>
      </c>
      <c r="C9" s="25">
        <v>24.8</v>
      </c>
      <c r="D9" s="66">
        <f>'Dipole - "V" Calculator'!N26</f>
        <v>0.41600762442380734</v>
      </c>
      <c r="E9" s="69" t="s">
        <v>15</v>
      </c>
      <c r="F9" s="68">
        <f>'Dipole - "V" Calculator'!E26+(3*D9/12)</f>
        <v>8.767360684731905</v>
      </c>
      <c r="G9" s="22" t="str">
        <f t="shared" si="0"/>
        <v>8 ft  7 -15/16 in</v>
      </c>
      <c r="H9" s="21" t="str">
        <f t="shared" si="1"/>
        <v>0 ft     7/16 in</v>
      </c>
      <c r="I9" s="22" t="str">
        <f t="shared" si="2"/>
        <v>8 ft  9 - 3/16 in</v>
      </c>
    </row>
    <row r="10" spans="1:9" ht="24.95" customHeight="1" x14ac:dyDescent="0.25">
      <c r="A10" s="16" t="s">
        <v>7</v>
      </c>
      <c r="B10" s="23">
        <f>'Dipole - "V" Calculator'!H27</f>
        <v>7.7011071428571425</v>
      </c>
      <c r="C10" s="25">
        <v>28.5</v>
      </c>
      <c r="D10" s="66">
        <f>'Dipole - "V" Calculator'!N27</f>
        <v>0.31115584415584374</v>
      </c>
      <c r="E10" s="69" t="s">
        <v>15</v>
      </c>
      <c r="F10" s="68">
        <f>'Dipole - "V" Calculator'!E27+(3*D10/12)</f>
        <v>7.7788961038961038</v>
      </c>
      <c r="G10" s="22" t="str">
        <f t="shared" si="0"/>
        <v>7 ft  8 - 7/16 in</v>
      </c>
      <c r="H10" s="21" t="str">
        <f t="shared" si="1"/>
        <v>0 ft     5/16 in</v>
      </c>
      <c r="I10" s="22" t="str">
        <f t="shared" si="2"/>
        <v>7 ft  9 - 6/16 in</v>
      </c>
    </row>
    <row r="11" spans="1:9" ht="24.95" customHeight="1" thickBot="1" x14ac:dyDescent="0.3">
      <c r="A11" s="19" t="s">
        <v>8</v>
      </c>
      <c r="B11" s="23">
        <f>'Dipole - "V" Calculator'!H28</f>
        <v>4.3126199999999999</v>
      </c>
      <c r="C11" s="26">
        <v>50</v>
      </c>
      <c r="D11" s="66">
        <f>'Dipole - "V" Calculator'!N28</f>
        <v>9.5835999999999949E-2</v>
      </c>
      <c r="E11" s="70" t="s">
        <v>15</v>
      </c>
      <c r="F11" s="68">
        <f>'Dipole - "V" Calculator'!E28+(3*D11/12)</f>
        <v>4.3365789999999995</v>
      </c>
      <c r="G11" s="22" t="str">
        <f t="shared" si="0"/>
        <v>4 ft  3 -12/16 in</v>
      </c>
      <c r="H11" s="21" t="str">
        <f t="shared" si="1"/>
        <v>0 ft     2/16 in</v>
      </c>
      <c r="I11" s="22" t="str">
        <f t="shared" si="2"/>
        <v>4 ft  4 - 1/16 in</v>
      </c>
    </row>
    <row r="12" spans="1:9" ht="24.95" customHeight="1" thickBot="1" x14ac:dyDescent="0.3">
      <c r="A12" s="159" t="str">
        <f>"Calculated at Velocity Factor  "&amp;(Velocity_Factor)-((Velocity_Factor)*0.05)</f>
        <v>Calculated at Velocity Factor  0.9215</v>
      </c>
      <c r="B12" s="160"/>
      <c r="C12" s="160"/>
      <c r="D12" s="160"/>
      <c r="E12" s="160"/>
      <c r="F12" s="160"/>
      <c r="G12" s="160"/>
      <c r="H12" s="160"/>
      <c r="I12" s="161"/>
    </row>
    <row r="13" spans="1:9" ht="16.5" thickBot="1" x14ac:dyDescent="0.3">
      <c r="A13" s="18"/>
      <c r="B13" s="18"/>
      <c r="C13" s="18"/>
      <c r="D13" s="18"/>
      <c r="E13" s="18"/>
      <c r="F13" s="18"/>
      <c r="G13" s="17"/>
      <c r="H13" s="17"/>
      <c r="I13" s="17"/>
    </row>
    <row r="14" spans="1:9" ht="79.5" customHeight="1" thickBot="1" x14ac:dyDescent="0.3">
      <c r="A14" s="18"/>
      <c r="B14" s="18"/>
      <c r="C14" s="144" t="s">
        <v>45</v>
      </c>
      <c r="D14" s="145"/>
      <c r="E14" s="145"/>
      <c r="F14" s="145"/>
      <c r="G14" s="145"/>
      <c r="H14" s="146"/>
      <c r="I14" s="17"/>
    </row>
    <row r="15" spans="1:9" ht="47.25" customHeight="1" x14ac:dyDescent="0.25">
      <c r="A15" s="18"/>
      <c r="B15" s="18"/>
      <c r="C15" s="147" t="s">
        <v>42</v>
      </c>
      <c r="D15" s="148"/>
      <c r="E15" s="149"/>
      <c r="F15" s="47" t="s">
        <v>26</v>
      </c>
      <c r="G15" s="48" t="s">
        <v>27</v>
      </c>
      <c r="H15" s="51" t="s">
        <v>19</v>
      </c>
      <c r="I15" s="17"/>
    </row>
    <row r="16" spans="1:9" ht="63" customHeight="1" x14ac:dyDescent="0.25">
      <c r="A16" s="18"/>
      <c r="B16" s="18"/>
      <c r="C16" s="16" t="s">
        <v>0</v>
      </c>
      <c r="D16" s="14" t="s">
        <v>46</v>
      </c>
      <c r="E16" s="14" t="s">
        <v>14</v>
      </c>
      <c r="F16" s="33" t="s">
        <v>43</v>
      </c>
      <c r="G16" s="32" t="s">
        <v>61</v>
      </c>
      <c r="H16" s="52" t="s">
        <v>62</v>
      </c>
      <c r="I16" s="17"/>
    </row>
    <row r="17" spans="1:9" x14ac:dyDescent="0.25">
      <c r="A17" s="18"/>
      <c r="B17" s="18"/>
      <c r="C17" s="16" t="s">
        <v>11</v>
      </c>
      <c r="D17" s="55">
        <f>'Dipole - "V" Calculator'!E21</f>
        <v>61.60885714285714</v>
      </c>
      <c r="E17" s="6">
        <v>3.5</v>
      </c>
      <c r="F17" s="15">
        <f>'Dipole - "V" Calculator'!N21</f>
        <v>18.482657142857136</v>
      </c>
      <c r="G17" s="36">
        <f>'Dipole - "V" Calculator'!E21+(3*(F17/12))</f>
        <v>66.229521428571417</v>
      </c>
      <c r="H17" s="53">
        <v>0.125</v>
      </c>
      <c r="I17" s="17"/>
    </row>
    <row r="18" spans="1:9" x14ac:dyDescent="0.25">
      <c r="A18" s="18"/>
      <c r="B18" s="18"/>
      <c r="C18" s="16" t="s">
        <v>2</v>
      </c>
      <c r="D18" s="55">
        <f>'Dipole - "V" Calculator'!E22</f>
        <v>30.80442857142857</v>
      </c>
      <c r="E18" s="6">
        <v>7</v>
      </c>
      <c r="F18" s="15">
        <f>'Dipole - "V" Calculator'!N22</f>
        <v>5.0637416829745545</v>
      </c>
      <c r="G18" s="36">
        <f>'Dipole - "V" Calculator'!E22+(3*(F18/12))</f>
        <v>32.070363992172211</v>
      </c>
      <c r="H18" s="53">
        <v>0.125</v>
      </c>
      <c r="I18" s="17"/>
    </row>
    <row r="19" spans="1:9" x14ac:dyDescent="0.25">
      <c r="A19" s="18"/>
      <c r="B19" s="18"/>
      <c r="C19" s="16" t="s">
        <v>3</v>
      </c>
      <c r="D19" s="55">
        <f>'Dipole - "V" Calculator'!E23</f>
        <v>15.402214285714285</v>
      </c>
      <c r="E19" s="6">
        <v>14</v>
      </c>
      <c r="F19" s="15">
        <f>'Dipole - "V" Calculator'!N23</f>
        <v>1.287990044798407</v>
      </c>
      <c r="G19" s="36">
        <f>'Dipole - "V" Calculator'!E23+(3*(F19/12))</f>
        <v>15.724211796913886</v>
      </c>
      <c r="H19" s="53">
        <v>0.125</v>
      </c>
      <c r="I19" s="17"/>
    </row>
    <row r="20" spans="1:9" x14ac:dyDescent="0.25">
      <c r="A20" s="18"/>
      <c r="B20" s="18"/>
      <c r="C20" s="16" t="s">
        <v>4</v>
      </c>
      <c r="D20" s="55">
        <f>'Dipole - "V" Calculator'!E24</f>
        <v>11.934414434359088</v>
      </c>
      <c r="E20" s="6">
        <v>18.068000000000001</v>
      </c>
      <c r="F20" s="15">
        <f>'Dipole - "V" Calculator'!N24</f>
        <v>0.78827043820075005</v>
      </c>
      <c r="G20" s="36">
        <f>'Dipole - "V" Calculator'!E24+(3*(F20/12))</f>
        <v>12.131482043909275</v>
      </c>
      <c r="H20" s="53">
        <v>0.125</v>
      </c>
      <c r="I20" s="17"/>
    </row>
    <row r="21" spans="1:9" x14ac:dyDescent="0.25">
      <c r="A21" s="18"/>
      <c r="B21" s="18"/>
      <c r="C21" s="16" t="s">
        <v>5</v>
      </c>
      <c r="D21" s="55">
        <f>'Dipole - "V" Calculator'!E25</f>
        <v>10.268142857142857</v>
      </c>
      <c r="E21" s="28">
        <v>21</v>
      </c>
      <c r="F21" s="15">
        <f>'Dipole - "V" Calculator'!N25</f>
        <v>0.57444155844155964</v>
      </c>
      <c r="G21" s="36">
        <f>'Dipole - "V" Calculator'!E25+(3*(F21/12))</f>
        <v>10.411753246753246</v>
      </c>
      <c r="H21" s="53">
        <v>0.125</v>
      </c>
      <c r="I21" s="17"/>
    </row>
    <row r="22" spans="1:9" x14ac:dyDescent="0.25">
      <c r="A22" s="18"/>
      <c r="B22" s="18"/>
      <c r="C22" s="16" t="s">
        <v>6</v>
      </c>
      <c r="D22" s="55">
        <f>'Dipole - "V" Calculator'!E26</f>
        <v>8.6633587786259536</v>
      </c>
      <c r="E22" s="6">
        <v>24.89</v>
      </c>
      <c r="F22" s="15">
        <f>'Dipole - "V" Calculator'!N26</f>
        <v>0.41600762442380734</v>
      </c>
      <c r="G22" s="36">
        <f>'Dipole - "V" Calculator'!E26+(3*(F22/12))</f>
        <v>8.767360684731905</v>
      </c>
      <c r="H22" s="53">
        <v>0.125</v>
      </c>
      <c r="I22" s="17"/>
    </row>
    <row r="23" spans="1:9" x14ac:dyDescent="0.25">
      <c r="A23" s="18"/>
      <c r="B23" s="18"/>
      <c r="C23" s="16" t="s">
        <v>7</v>
      </c>
      <c r="D23" s="55">
        <f>'Dipole - "V" Calculator'!E27</f>
        <v>7.7011071428571425</v>
      </c>
      <c r="E23" s="30">
        <v>28</v>
      </c>
      <c r="F23" s="15">
        <f>'Dipole - "V" Calculator'!N27</f>
        <v>0.31115584415584374</v>
      </c>
      <c r="G23" s="36">
        <f>'Dipole - "V" Calculator'!E27+(3*(F23/12))</f>
        <v>7.7788961038961038</v>
      </c>
      <c r="H23" s="53">
        <v>0.125</v>
      </c>
      <c r="I23" s="17"/>
    </row>
    <row r="24" spans="1:9" ht="16.5" thickBot="1" x14ac:dyDescent="0.3">
      <c r="A24" s="18"/>
      <c r="B24" s="18"/>
      <c r="C24" s="19" t="s">
        <v>8</v>
      </c>
      <c r="D24" s="55">
        <f>'Dipole - "V" Calculator'!E28</f>
        <v>4.3126199999999999</v>
      </c>
      <c r="E24" s="49">
        <v>50</v>
      </c>
      <c r="F24" s="15">
        <f>'Dipole - "V" Calculator'!N28</f>
        <v>9.5835999999999949E-2</v>
      </c>
      <c r="G24" s="36">
        <f>'Dipole - "V" Calculator'!E28+(3*(F24/12))</f>
        <v>4.3365789999999995</v>
      </c>
      <c r="H24" s="54">
        <v>0.125</v>
      </c>
      <c r="I24" s="17"/>
    </row>
    <row r="25" spans="1:9" ht="15.75" customHeight="1" x14ac:dyDescent="0.25">
      <c r="A25" s="18"/>
      <c r="B25" s="18"/>
      <c r="C25" s="150" t="s">
        <v>126</v>
      </c>
      <c r="D25" s="151"/>
      <c r="E25" s="151"/>
      <c r="F25" s="151"/>
      <c r="G25" s="151"/>
      <c r="H25" s="152"/>
      <c r="I25" s="17"/>
    </row>
    <row r="26" spans="1:9" ht="16.5" thickBot="1" x14ac:dyDescent="0.3">
      <c r="A26" s="18"/>
      <c r="B26" s="18"/>
      <c r="C26" s="153"/>
      <c r="D26" s="154"/>
      <c r="E26" s="154"/>
      <c r="F26" s="154"/>
      <c r="G26" s="154"/>
      <c r="H26" s="155"/>
      <c r="I26" s="17"/>
    </row>
  </sheetData>
  <mergeCells count="9">
    <mergeCell ref="A1:I1"/>
    <mergeCell ref="C15:E15"/>
    <mergeCell ref="C25:H26"/>
    <mergeCell ref="A2:C2"/>
    <mergeCell ref="D2:E2"/>
    <mergeCell ref="G2:I2"/>
    <mergeCell ref="D3:E3"/>
    <mergeCell ref="A12:I12"/>
    <mergeCell ref="C14:H14"/>
  </mergeCells>
  <printOptions horizontalCentered="1" verticalCentered="1"/>
  <pageMargins left="0.7" right="0.7" top="0.75" bottom="0.75" header="0.3" footer="0.3"/>
  <pageSetup scale="68" orientation="landscape" horizontalDpi="300"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29"/>
  <sheetViews>
    <sheetView zoomScaleNormal="100" zoomScaleSheetLayoutView="77" workbookViewId="0">
      <selection activeCell="F3" sqref="F3"/>
    </sheetView>
  </sheetViews>
  <sheetFormatPr defaultRowHeight="15.75" x14ac:dyDescent="0.25"/>
  <cols>
    <col min="1" max="1" width="16.625" customWidth="1"/>
    <col min="2" max="2" width="10.625" customWidth="1"/>
    <col min="3" max="6" width="40.625" customWidth="1"/>
    <col min="7" max="7" width="9" style="91"/>
  </cols>
  <sheetData>
    <row r="1" spans="1:7" ht="21.75" thickBot="1" x14ac:dyDescent="0.3">
      <c r="A1" s="172" t="s">
        <v>120</v>
      </c>
      <c r="B1" s="173"/>
      <c r="C1" s="173"/>
      <c r="D1" s="173"/>
      <c r="E1" s="173"/>
      <c r="F1" s="174"/>
    </row>
    <row r="2" spans="1:7" ht="46.5" customHeight="1" thickBot="1" x14ac:dyDescent="0.3">
      <c r="A2" s="94"/>
      <c r="B2" s="102" t="s">
        <v>104</v>
      </c>
      <c r="C2" s="100" t="s">
        <v>102</v>
      </c>
      <c r="D2" s="100" t="s">
        <v>103</v>
      </c>
      <c r="E2" s="95" t="s">
        <v>105</v>
      </c>
      <c r="F2" s="35" t="s">
        <v>127</v>
      </c>
      <c r="G2" s="104" t="s">
        <v>109</v>
      </c>
    </row>
    <row r="3" spans="1:7" ht="31.5" x14ac:dyDescent="0.25">
      <c r="A3" s="101" t="s">
        <v>0</v>
      </c>
      <c r="B3" s="96" t="s">
        <v>38</v>
      </c>
      <c r="C3" s="79" t="s">
        <v>108</v>
      </c>
      <c r="D3" s="96" t="s">
        <v>101</v>
      </c>
      <c r="E3" s="80" t="s">
        <v>52</v>
      </c>
      <c r="F3" s="80" t="s">
        <v>52</v>
      </c>
      <c r="G3" s="105" t="s">
        <v>116</v>
      </c>
    </row>
    <row r="4" spans="1:7" x14ac:dyDescent="0.25">
      <c r="A4" s="178" t="s">
        <v>11</v>
      </c>
      <c r="B4" s="166">
        <v>3.8</v>
      </c>
      <c r="C4" s="107">
        <f>(468/B4)</f>
        <v>123.15789473684211</v>
      </c>
      <c r="D4" s="108">
        <f>(468/B4)*$A$22</f>
        <v>100.98947368421052</v>
      </c>
      <c r="E4" s="108">
        <f>D4/2</f>
        <v>50.494736842105262</v>
      </c>
      <c r="F4" s="108">
        <f>(C4-D4)/2</f>
        <v>11.084210526315793</v>
      </c>
      <c r="G4" s="103">
        <f>C4-((2*E4)+(2*F4))</f>
        <v>0</v>
      </c>
    </row>
    <row r="5" spans="1:7" ht="15.75" customHeight="1" x14ac:dyDescent="0.25">
      <c r="A5" s="179"/>
      <c r="B5" s="167"/>
      <c r="C5" s="73" t="str">
        <f t="shared" ref="C5" si="0">INT(C4) &amp; " ft  " &amp;TEXT(MOD((C4),1)*12, "# -??/16") &amp; " in"</f>
        <v>123 ft  1 -14/16 in</v>
      </c>
      <c r="D5" s="81" t="str">
        <f t="shared" ref="D5" si="1">INT(D4) &amp; " ft  " &amp;TEXT(MOD((D4),1)*12, "# -??/16") &amp; " in"</f>
        <v>100 ft  11 -14/16 in</v>
      </c>
      <c r="E5" s="81" t="str">
        <f t="shared" ref="E5" si="2">INT(E4) &amp; " ft  " &amp;TEXT(MOD((E4),1)*12, "# -??/16") &amp; " in"</f>
        <v>50 ft  5 -15/16 in</v>
      </c>
      <c r="F5" s="81" t="str">
        <f t="shared" ref="F5" si="3">INT(F4) &amp; " ft  " &amp;TEXT(MOD((F4),1)*12, "# -??/16") &amp; " in"</f>
        <v>11 ft  1        in</v>
      </c>
    </row>
    <row r="6" spans="1:7" x14ac:dyDescent="0.25">
      <c r="A6" s="178" t="s">
        <v>2</v>
      </c>
      <c r="B6" s="166">
        <v>7.15</v>
      </c>
      <c r="C6" s="107">
        <f>(468/B6)</f>
        <v>65.454545454545453</v>
      </c>
      <c r="D6" s="108">
        <f>(468/B6)*$A$22</f>
        <v>53.672727272727272</v>
      </c>
      <c r="E6" s="108">
        <f>D6/2</f>
        <v>26.836363636363636</v>
      </c>
      <c r="F6" s="108">
        <f>(C6-D6)/2</f>
        <v>5.8909090909090907</v>
      </c>
      <c r="G6" s="103">
        <f>C6-((2*E6)+(2*F6))</f>
        <v>0</v>
      </c>
    </row>
    <row r="7" spans="1:7" ht="15.75" customHeight="1" x14ac:dyDescent="0.25">
      <c r="A7" s="179"/>
      <c r="B7" s="167"/>
      <c r="C7" s="73" t="str">
        <f t="shared" ref="C7" si="4">INT(C6) &amp; " ft  " &amp;TEXT(MOD((C6),1)*12, "# -??/16") &amp; " in"</f>
        <v>65 ft  5 - 7/16 in</v>
      </c>
      <c r="D7" s="81" t="str">
        <f t="shared" ref="D7" si="5">INT(D6) &amp; " ft  " &amp;TEXT(MOD((D6),1)*12, "# -??/16") &amp; " in"</f>
        <v>53 ft  8 - 1/16 in</v>
      </c>
      <c r="E7" s="81" t="str">
        <f t="shared" ref="E7" si="6">INT(E6) &amp; " ft  " &amp;TEXT(MOD((E6),1)*12, "# -??/16") &amp; " in"</f>
        <v>26 ft  10 - 1/16 in</v>
      </c>
      <c r="F7" s="81" t="str">
        <f t="shared" ref="F7" si="7">INT(F6) &amp; " ft  " &amp;TEXT(MOD((F6),1)*12, "# -??/16") &amp; " in"</f>
        <v>5 ft  10 -11/16 in</v>
      </c>
    </row>
    <row r="8" spans="1:7" x14ac:dyDescent="0.25">
      <c r="A8" s="178" t="s">
        <v>3</v>
      </c>
      <c r="B8" s="166">
        <v>14.175000000000001</v>
      </c>
      <c r="C8" s="107">
        <f>(468/B8)</f>
        <v>33.015873015873012</v>
      </c>
      <c r="D8" s="108">
        <f>(468/B8)*$A$22</f>
        <v>27.073015873015869</v>
      </c>
      <c r="E8" s="108">
        <f>D8/2</f>
        <v>13.536507936507935</v>
      </c>
      <c r="F8" s="108">
        <f>(C8-D8)/2</f>
        <v>2.9714285714285715</v>
      </c>
      <c r="G8" s="103">
        <f>C8-((2*E8)+(2*F8))</f>
        <v>0</v>
      </c>
    </row>
    <row r="9" spans="1:7" x14ac:dyDescent="0.25">
      <c r="A9" s="179"/>
      <c r="B9" s="167"/>
      <c r="C9" s="73" t="str">
        <f t="shared" ref="C9" si="8">INT(C8) &amp; " ft  " &amp;TEXT(MOD((C8),1)*12, "# -??/16") &amp; " in"</f>
        <v>33 ft     3/16 in</v>
      </c>
      <c r="D9" s="81" t="str">
        <f t="shared" ref="D9" si="9">INT(D8) &amp; " ft  " &amp;TEXT(MOD((D8),1)*12, "# -??/16") &amp; " in"</f>
        <v>27 ft    14/16 in</v>
      </c>
      <c r="E9" s="81" t="str">
        <f t="shared" ref="E9" si="10">INT(E8) &amp; " ft  " &amp;TEXT(MOD((E8),1)*12, "# -??/16") &amp; " in"</f>
        <v>13 ft  6 - 7/16 in</v>
      </c>
      <c r="F9" s="81" t="str">
        <f t="shared" ref="F9" si="11">INT(F8) &amp; " ft  " &amp;TEXT(MOD((F8),1)*12, "# -??/16") &amp; " in"</f>
        <v>2 ft  11 -11/16 in</v>
      </c>
    </row>
    <row r="10" spans="1:7" x14ac:dyDescent="0.25">
      <c r="A10" s="178" t="s">
        <v>4</v>
      </c>
      <c r="B10" s="166">
        <v>18.117999999999999</v>
      </c>
      <c r="C10" s="107">
        <f>(468/B10)</f>
        <v>25.83066563638371</v>
      </c>
      <c r="D10" s="108">
        <f>(468/B10)*$A$22</f>
        <v>21.18114582183464</v>
      </c>
      <c r="E10" s="108">
        <f>D10/2</f>
        <v>10.59057291091732</v>
      </c>
      <c r="F10" s="108">
        <f>(C10-D10)/2</f>
        <v>2.3247599072745349</v>
      </c>
      <c r="G10" s="103">
        <f>C10-((2*E10)+(2*F10))</f>
        <v>0</v>
      </c>
    </row>
    <row r="11" spans="1:7" x14ac:dyDescent="0.25">
      <c r="A11" s="179"/>
      <c r="B11" s="167"/>
      <c r="C11" s="73" t="str">
        <f t="shared" ref="C11" si="12">INT(C10) &amp; " ft  " &amp;TEXT(MOD((C10),1)*12, "# -??/16") &amp; " in"</f>
        <v>25 ft  9 -15/16 in</v>
      </c>
      <c r="D11" s="81" t="str">
        <f t="shared" ref="D11" si="13">INT(D10) &amp; " ft  " &amp;TEXT(MOD((D10),1)*12, "# -??/16") &amp; " in"</f>
        <v>21 ft  2 - 3/16 in</v>
      </c>
      <c r="E11" s="81" t="str">
        <f t="shared" ref="E11" si="14">INT(E10) &amp; " ft  " &amp;TEXT(MOD((E10),1)*12, "# -??/16") &amp; " in"</f>
        <v>10 ft  7 - 1/16 in</v>
      </c>
      <c r="F11" s="81" t="str">
        <f t="shared" ref="F11" si="15">INT(F10) &amp; " ft  " &amp;TEXT(MOD((F10),1)*12, "# -??/16") &amp; " in"</f>
        <v>2 ft  3 -14/16 in</v>
      </c>
    </row>
    <row r="12" spans="1:7" x14ac:dyDescent="0.25">
      <c r="A12" s="180" t="s">
        <v>5</v>
      </c>
      <c r="B12" s="170">
        <v>21.225000000000001</v>
      </c>
      <c r="C12" s="107">
        <f>(468/B12)</f>
        <v>22.049469964664308</v>
      </c>
      <c r="D12" s="108">
        <f>(468/B12)*$A$22</f>
        <v>18.080565371024733</v>
      </c>
      <c r="E12" s="108">
        <f>D12/2</f>
        <v>9.0402826855123664</v>
      </c>
      <c r="F12" s="108">
        <f>(C12-D12)/2</f>
        <v>1.9844522968197875</v>
      </c>
      <c r="G12" s="103">
        <f>C12-((2*E12)+(2*F12))</f>
        <v>0</v>
      </c>
    </row>
    <row r="13" spans="1:7" ht="15.75" customHeight="1" x14ac:dyDescent="0.25">
      <c r="A13" s="181"/>
      <c r="B13" s="171"/>
      <c r="C13" s="73" t="str">
        <f t="shared" ref="C13" si="16">INT(C12) &amp; " ft  " &amp;TEXT(MOD((C12),1)*12, "# -??/16") &amp; " in"</f>
        <v>22 ft     9/16 in</v>
      </c>
      <c r="D13" s="81" t="str">
        <f t="shared" ref="D13" si="17">INT(D12) &amp; " ft  " &amp;TEXT(MOD((D12),1)*12, "# -??/16") &amp; " in"</f>
        <v>18 ft    15/16 in</v>
      </c>
      <c r="E13" s="81" t="str">
        <f t="shared" ref="E13" si="18">INT(E12) &amp; " ft  " &amp;TEXT(MOD((E12),1)*12, "# -??/16") &amp; " in"</f>
        <v>9 ft     8/16 in</v>
      </c>
      <c r="F13" s="81" t="str">
        <f t="shared" ref="F13" si="19">INT(F12) &amp; " ft  " &amp;TEXT(MOD((F12),1)*12, "# -??/16") &amp; " in"</f>
        <v>1 ft  11 -13/16 in</v>
      </c>
    </row>
    <row r="14" spans="1:7" x14ac:dyDescent="0.25">
      <c r="A14" s="178" t="s">
        <v>6</v>
      </c>
      <c r="B14" s="166">
        <v>24.94</v>
      </c>
      <c r="C14" s="107">
        <f>(468/B14)</f>
        <v>18.765036086607857</v>
      </c>
      <c r="D14" s="108">
        <f>(468/B14)*$A$22</f>
        <v>15.387329591018442</v>
      </c>
      <c r="E14" s="108">
        <f>D14/2</f>
        <v>7.6936647955092212</v>
      </c>
      <c r="F14" s="108">
        <f>(C14-D14)/2</f>
        <v>1.6888532477947074</v>
      </c>
      <c r="G14" s="103">
        <f>C14-((2*E14)+(2*F14))</f>
        <v>0</v>
      </c>
    </row>
    <row r="15" spans="1:7" x14ac:dyDescent="0.25">
      <c r="A15" s="179"/>
      <c r="B15" s="167"/>
      <c r="C15" s="73" t="str">
        <f t="shared" ref="C15" si="20">INT(C14) &amp; " ft  " &amp;TEXT(MOD((C14),1)*12, "# -??/16") &amp; " in"</f>
        <v>18 ft  9 - 3/16 in</v>
      </c>
      <c r="D15" s="81" t="str">
        <f t="shared" ref="D15" si="21">INT(D14) &amp; " ft  " &amp;TEXT(MOD((D14),1)*12, "# -??/16") &amp; " in"</f>
        <v>15 ft  4 -10/16 in</v>
      </c>
      <c r="E15" s="81" t="str">
        <f t="shared" ref="E15" si="22">INT(E14) &amp; " ft  " &amp;TEXT(MOD((E14),1)*12, "# -??/16") &amp; " in"</f>
        <v>7 ft  8 - 5/16 in</v>
      </c>
      <c r="F15" s="81" t="str">
        <f t="shared" ref="F15" si="23">INT(F14) &amp; " ft  " &amp;TEXT(MOD((F14),1)*12, "# -??/16") &amp; " in"</f>
        <v>1 ft  8 - 4/16 in</v>
      </c>
    </row>
    <row r="16" spans="1:7" x14ac:dyDescent="0.25">
      <c r="A16" s="183" t="s">
        <v>7</v>
      </c>
      <c r="B16" s="197">
        <v>28.85</v>
      </c>
      <c r="C16" s="107">
        <f>(468/B16)</f>
        <v>16.221837088388213</v>
      </c>
      <c r="D16" s="108">
        <f>(468/B16)*$A$22</f>
        <v>13.301906412478333</v>
      </c>
      <c r="E16" s="108">
        <f>D16/2</f>
        <v>6.6509532062391665</v>
      </c>
      <c r="F16" s="108">
        <f>(C16-D16)/2</f>
        <v>1.45996533795494</v>
      </c>
      <c r="G16" s="103">
        <f>C16-((2*E16)+(2*F16))</f>
        <v>0</v>
      </c>
    </row>
    <row r="17" spans="1:7" x14ac:dyDescent="0.25">
      <c r="A17" s="184"/>
      <c r="B17" s="198"/>
      <c r="C17" s="73" t="str">
        <f t="shared" ref="C17" si="24">INT(C16) &amp; " ft  " &amp;TEXT(MOD((C16),1)*12, "# -??/16") &amp; " in"</f>
        <v>16 ft  2 -11/16 in</v>
      </c>
      <c r="D17" s="81" t="str">
        <f t="shared" ref="D17" si="25">INT(D16) &amp; " ft  " &amp;TEXT(MOD((D16),1)*12, "# -??/16") &amp; " in"</f>
        <v>13 ft  3 -10/16 in</v>
      </c>
      <c r="E17" s="81" t="str">
        <f t="shared" ref="E17" si="26">INT(E16) &amp; " ft  " &amp;TEXT(MOD((E16),1)*12, "# -??/16") &amp; " in"</f>
        <v>6 ft  7 -13/16 in</v>
      </c>
      <c r="F17" s="81" t="str">
        <f t="shared" ref="F17" si="27">INT(F16) &amp; " ft  " &amp;TEXT(MOD((F16),1)*12, "# -??/16") &amp; " in"</f>
        <v>1 ft  5 - 8/16 in</v>
      </c>
    </row>
    <row r="18" spans="1:7" x14ac:dyDescent="0.25">
      <c r="A18" s="178" t="s">
        <v>8</v>
      </c>
      <c r="B18" s="166">
        <v>52</v>
      </c>
      <c r="C18" s="107">
        <f>(468/B18)</f>
        <v>9</v>
      </c>
      <c r="D18" s="108">
        <f>(468/B18)*$A$22</f>
        <v>7.38</v>
      </c>
      <c r="E18" s="108">
        <f>D18/2</f>
        <v>3.69</v>
      </c>
      <c r="F18" s="108">
        <f>(C18-D18)/2</f>
        <v>0.81</v>
      </c>
      <c r="G18" s="103">
        <f>C18-((2*E18)+(2*F18))</f>
        <v>0</v>
      </c>
    </row>
    <row r="19" spans="1:7" ht="16.5" thickBot="1" x14ac:dyDescent="0.3">
      <c r="A19" s="185"/>
      <c r="B19" s="199"/>
      <c r="C19" s="97" t="str">
        <f t="shared" ref="C19" si="28">INT(C18) &amp; " ft  " &amp;TEXT(MOD((C18),1)*12, "# -??/16") &amp; " in"</f>
        <v>9 ft  0        in</v>
      </c>
      <c r="D19" s="98" t="str">
        <f t="shared" ref="D19" si="29">INT(D18) &amp; " ft  " &amp;TEXT(MOD((D18),1)*12, "# -??/16") &amp; " in"</f>
        <v>7 ft  4 - 9/16 in</v>
      </c>
      <c r="E19" s="98" t="str">
        <f t="shared" ref="E19" si="30">INT(E18) &amp; " ft  " &amp;TEXT(MOD((E18),1)*12, "# -??/16") &amp; " in"</f>
        <v>3 ft  8 - 4/16 in</v>
      </c>
      <c r="F19" s="98" t="str">
        <f t="shared" ref="F19" si="31">INT(F18) &amp; " ft  " &amp;TEXT(MOD((F18),1)*12, "# -??/16") &amp; " in"</f>
        <v>0 ft  9 -12/16 in</v>
      </c>
    </row>
    <row r="20" spans="1:7" ht="15.75" customHeight="1" x14ac:dyDescent="0.25">
      <c r="A20" s="200" t="s">
        <v>114</v>
      </c>
      <c r="B20" s="168" t="s">
        <v>106</v>
      </c>
      <c r="C20" s="175" t="s">
        <v>110</v>
      </c>
      <c r="D20" s="175" t="s">
        <v>111</v>
      </c>
      <c r="E20" s="175" t="s">
        <v>112</v>
      </c>
      <c r="F20" s="175" t="s">
        <v>113</v>
      </c>
    </row>
    <row r="21" spans="1:7" x14ac:dyDescent="0.25">
      <c r="A21" s="179"/>
      <c r="B21" s="168"/>
      <c r="C21" s="176"/>
      <c r="D21" s="176"/>
      <c r="E21" s="176"/>
      <c r="F21" s="176"/>
    </row>
    <row r="22" spans="1:7" x14ac:dyDescent="0.25">
      <c r="A22" s="201">
        <f>VLOOKUP('Double-Triple Bazooka'!A24,'COAX Velocity Factors'!A2:B33,2,FALSE)</f>
        <v>0.82</v>
      </c>
      <c r="B22" s="168"/>
      <c r="C22" s="176"/>
      <c r="D22" s="176"/>
      <c r="E22" s="176"/>
      <c r="F22" s="176"/>
    </row>
    <row r="23" spans="1:7" ht="16.5" thickBot="1" x14ac:dyDescent="0.3">
      <c r="A23" s="202"/>
      <c r="B23" s="169"/>
      <c r="C23" s="177"/>
      <c r="D23" s="177"/>
      <c r="E23" s="177"/>
      <c r="F23" s="177"/>
    </row>
    <row r="24" spans="1:7" ht="15.75" customHeight="1" thickBot="1" x14ac:dyDescent="0.3">
      <c r="A24" s="106" t="s">
        <v>72</v>
      </c>
      <c r="B24" s="186" t="s">
        <v>115</v>
      </c>
      <c r="C24" s="187"/>
      <c r="D24" s="203" t="s">
        <v>119</v>
      </c>
      <c r="E24" s="204"/>
      <c r="F24" s="205"/>
    </row>
    <row r="25" spans="1:7" x14ac:dyDescent="0.25">
      <c r="A25" s="210" t="s">
        <v>117</v>
      </c>
      <c r="B25" s="211"/>
      <c r="C25" s="212"/>
      <c r="D25" s="206"/>
      <c r="E25" s="207"/>
      <c r="F25" s="208"/>
    </row>
    <row r="26" spans="1:7" x14ac:dyDescent="0.25">
      <c r="A26" s="213"/>
      <c r="B26" s="214"/>
      <c r="C26" s="215"/>
      <c r="D26" s="206"/>
      <c r="E26" s="207"/>
      <c r="F26" s="208"/>
    </row>
    <row r="27" spans="1:7" ht="16.5" thickBot="1" x14ac:dyDescent="0.3">
      <c r="A27" s="216"/>
      <c r="B27" s="217"/>
      <c r="C27" s="218"/>
      <c r="D27" s="206"/>
      <c r="E27" s="207"/>
      <c r="F27" s="208"/>
    </row>
    <row r="28" spans="1:7" ht="15.75" customHeight="1" x14ac:dyDescent="0.25">
      <c r="A28" s="188" t="s">
        <v>118</v>
      </c>
      <c r="B28" s="189"/>
      <c r="C28" s="189"/>
      <c r="D28" s="189"/>
      <c r="E28" s="189"/>
      <c r="F28" s="190"/>
    </row>
    <row r="29" spans="1:7" ht="15.75" customHeight="1" x14ac:dyDescent="0.25">
      <c r="A29" s="191"/>
      <c r="B29" s="192"/>
      <c r="C29" s="192"/>
      <c r="D29" s="192"/>
      <c r="E29" s="192"/>
      <c r="F29" s="193"/>
    </row>
    <row r="30" spans="1:7" ht="15.75" customHeight="1" x14ac:dyDescent="0.25">
      <c r="A30" s="191"/>
      <c r="B30" s="192"/>
      <c r="C30" s="192"/>
      <c r="D30" s="192"/>
      <c r="E30" s="192"/>
      <c r="F30" s="193"/>
    </row>
    <row r="31" spans="1:7" ht="15.75" customHeight="1" x14ac:dyDescent="0.25">
      <c r="A31" s="191"/>
      <c r="B31" s="192"/>
      <c r="C31" s="192"/>
      <c r="D31" s="192"/>
      <c r="E31" s="192"/>
      <c r="F31" s="193"/>
    </row>
    <row r="32" spans="1:7" ht="15.75" customHeight="1" x14ac:dyDescent="0.25">
      <c r="A32" s="191"/>
      <c r="B32" s="192"/>
      <c r="C32" s="192"/>
      <c r="D32" s="192"/>
      <c r="E32" s="192"/>
      <c r="F32" s="193"/>
    </row>
    <row r="33" spans="1:6" ht="15.75" customHeight="1" x14ac:dyDescent="0.25">
      <c r="A33" s="191"/>
      <c r="B33" s="192"/>
      <c r="C33" s="192"/>
      <c r="D33" s="192"/>
      <c r="E33" s="192"/>
      <c r="F33" s="193"/>
    </row>
    <row r="34" spans="1:6" ht="15.75" customHeight="1" x14ac:dyDescent="0.25">
      <c r="A34" s="191"/>
      <c r="B34" s="192"/>
      <c r="C34" s="192"/>
      <c r="D34" s="192"/>
      <c r="E34" s="192"/>
      <c r="F34" s="193"/>
    </row>
    <row r="35" spans="1:6" ht="15.75" customHeight="1" x14ac:dyDescent="0.25">
      <c r="A35" s="191"/>
      <c r="B35" s="192"/>
      <c r="C35" s="192"/>
      <c r="D35" s="192"/>
      <c r="E35" s="192"/>
      <c r="F35" s="193"/>
    </row>
    <row r="36" spans="1:6" ht="15.75" customHeight="1" x14ac:dyDescent="0.25">
      <c r="A36" s="191"/>
      <c r="B36" s="192"/>
      <c r="C36" s="192"/>
      <c r="D36" s="192"/>
      <c r="E36" s="192"/>
      <c r="F36" s="193"/>
    </row>
    <row r="37" spans="1:6" ht="15.75" customHeight="1" x14ac:dyDescent="0.25">
      <c r="A37" s="191"/>
      <c r="B37" s="192"/>
      <c r="C37" s="192"/>
      <c r="D37" s="192"/>
      <c r="E37" s="192"/>
      <c r="F37" s="193"/>
    </row>
    <row r="38" spans="1:6" ht="15.75" customHeight="1" x14ac:dyDescent="0.25">
      <c r="A38" s="191"/>
      <c r="B38" s="192"/>
      <c r="C38" s="192"/>
      <c r="D38" s="192"/>
      <c r="E38" s="192"/>
      <c r="F38" s="193"/>
    </row>
    <row r="39" spans="1:6" ht="15.75" customHeight="1" x14ac:dyDescent="0.25">
      <c r="A39" s="191"/>
      <c r="B39" s="192"/>
      <c r="C39" s="192"/>
      <c r="D39" s="192"/>
      <c r="E39" s="192"/>
      <c r="F39" s="193"/>
    </row>
    <row r="40" spans="1:6" ht="15.75" customHeight="1" x14ac:dyDescent="0.25">
      <c r="A40" s="191"/>
      <c r="B40" s="192"/>
      <c r="C40" s="192"/>
      <c r="D40" s="192"/>
      <c r="E40" s="192"/>
      <c r="F40" s="193"/>
    </row>
    <row r="41" spans="1:6" ht="15.75" customHeight="1" x14ac:dyDescent="0.25">
      <c r="A41" s="191"/>
      <c r="B41" s="192"/>
      <c r="C41" s="192"/>
      <c r="D41" s="192"/>
      <c r="E41" s="192"/>
      <c r="F41" s="193"/>
    </row>
    <row r="42" spans="1:6" ht="15.75" customHeight="1" x14ac:dyDescent="0.25">
      <c r="A42" s="191"/>
      <c r="B42" s="192"/>
      <c r="C42" s="192"/>
      <c r="D42" s="192"/>
      <c r="E42" s="192"/>
      <c r="F42" s="193"/>
    </row>
    <row r="43" spans="1:6" ht="15.75" customHeight="1" x14ac:dyDescent="0.25">
      <c r="A43" s="191"/>
      <c r="B43" s="192"/>
      <c r="C43" s="192"/>
      <c r="D43" s="192"/>
      <c r="E43" s="192"/>
      <c r="F43" s="193"/>
    </row>
    <row r="44" spans="1:6" ht="15.75" customHeight="1" x14ac:dyDescent="0.25">
      <c r="A44" s="191"/>
      <c r="B44" s="192"/>
      <c r="C44" s="192"/>
      <c r="D44" s="192"/>
      <c r="E44" s="192"/>
      <c r="F44" s="193"/>
    </row>
    <row r="45" spans="1:6" ht="15.75" customHeight="1" x14ac:dyDescent="0.25">
      <c r="A45" s="191"/>
      <c r="B45" s="192"/>
      <c r="C45" s="192"/>
      <c r="D45" s="192"/>
      <c r="E45" s="192"/>
      <c r="F45" s="193"/>
    </row>
    <row r="46" spans="1:6" ht="15.75" customHeight="1" x14ac:dyDescent="0.25">
      <c r="A46" s="191"/>
      <c r="B46" s="192"/>
      <c r="C46" s="192"/>
      <c r="D46" s="192"/>
      <c r="E46" s="192"/>
      <c r="F46" s="193"/>
    </row>
    <row r="47" spans="1:6" ht="15.75" customHeight="1" x14ac:dyDescent="0.25">
      <c r="A47" s="191"/>
      <c r="B47" s="192"/>
      <c r="C47" s="192"/>
      <c r="D47" s="192"/>
      <c r="E47" s="192"/>
      <c r="F47" s="193"/>
    </row>
    <row r="48" spans="1:6" ht="15.75" customHeight="1" x14ac:dyDescent="0.25">
      <c r="A48" s="191"/>
      <c r="B48" s="192"/>
      <c r="C48" s="192"/>
      <c r="D48" s="192"/>
      <c r="E48" s="192"/>
      <c r="F48" s="193"/>
    </row>
    <row r="49" spans="1:6" ht="15.75" customHeight="1" x14ac:dyDescent="0.25">
      <c r="A49" s="191"/>
      <c r="B49" s="192"/>
      <c r="C49" s="192"/>
      <c r="D49" s="192"/>
      <c r="E49" s="192"/>
      <c r="F49" s="193"/>
    </row>
    <row r="50" spans="1:6" ht="15.75" customHeight="1" x14ac:dyDescent="0.25">
      <c r="A50" s="191"/>
      <c r="B50" s="192"/>
      <c r="C50" s="192"/>
      <c r="D50" s="192"/>
      <c r="E50" s="192"/>
      <c r="F50" s="193"/>
    </row>
    <row r="51" spans="1:6" ht="15.75" customHeight="1" x14ac:dyDescent="0.25">
      <c r="A51" s="191"/>
      <c r="B51" s="192"/>
      <c r="C51" s="192"/>
      <c r="D51" s="192"/>
      <c r="E51" s="192"/>
      <c r="F51" s="193"/>
    </row>
    <row r="52" spans="1:6" ht="15.75" customHeight="1" thickBot="1" x14ac:dyDescent="0.3">
      <c r="A52" s="194"/>
      <c r="B52" s="195"/>
      <c r="C52" s="195"/>
      <c r="D52" s="195"/>
      <c r="E52" s="195"/>
      <c r="F52" s="196"/>
    </row>
    <row r="53" spans="1:6" ht="15.75" customHeight="1" x14ac:dyDescent="0.25">
      <c r="A53" s="99"/>
      <c r="B53" s="99"/>
      <c r="C53" s="99"/>
      <c r="D53" s="99"/>
      <c r="E53" s="99"/>
      <c r="F53" s="99"/>
    </row>
    <row r="54" spans="1:6" ht="15.75" customHeight="1" x14ac:dyDescent="0.25">
      <c r="A54" s="99"/>
      <c r="B54" s="99"/>
      <c r="C54" s="99"/>
      <c r="D54" s="99"/>
      <c r="E54" s="99"/>
      <c r="F54" s="99"/>
    </row>
    <row r="55" spans="1:6" ht="15.75" customHeight="1" x14ac:dyDescent="0.25">
      <c r="A55" s="99"/>
      <c r="B55" s="99"/>
      <c r="C55" s="99"/>
      <c r="D55" s="99"/>
      <c r="E55" s="99"/>
      <c r="F55" s="99"/>
    </row>
    <row r="56" spans="1:6" ht="15.75" customHeight="1" x14ac:dyDescent="0.25">
      <c r="A56" s="99"/>
      <c r="B56" s="99"/>
      <c r="C56" s="99"/>
      <c r="D56" s="99"/>
      <c r="E56" s="99"/>
      <c r="F56" s="99"/>
    </row>
    <row r="57" spans="1:6" ht="15.75" customHeight="1" x14ac:dyDescent="0.25">
      <c r="A57" s="99"/>
      <c r="B57" s="99"/>
      <c r="C57" s="99"/>
      <c r="D57" s="99"/>
      <c r="E57" s="99"/>
      <c r="F57" s="99"/>
    </row>
    <row r="58" spans="1:6" ht="15.75" customHeight="1" x14ac:dyDescent="0.25">
      <c r="A58" s="99"/>
      <c r="B58" s="99"/>
      <c r="C58" s="99"/>
      <c r="D58" s="99"/>
      <c r="E58" s="99"/>
      <c r="F58" s="99"/>
    </row>
    <row r="59" spans="1:6" ht="15.75" customHeight="1" x14ac:dyDescent="0.25">
      <c r="A59" s="99"/>
      <c r="B59" s="99"/>
      <c r="C59" s="99"/>
      <c r="D59" s="99"/>
      <c r="E59" s="99"/>
      <c r="F59" s="99"/>
    </row>
    <row r="60" spans="1:6" ht="15.75" customHeight="1" x14ac:dyDescent="0.25">
      <c r="A60" s="99"/>
      <c r="B60" s="99"/>
      <c r="C60" s="99"/>
      <c r="D60" s="99"/>
      <c r="E60" s="99"/>
      <c r="F60" s="99"/>
    </row>
    <row r="61" spans="1:6" ht="15.75" customHeight="1" x14ac:dyDescent="0.25">
      <c r="A61" s="99"/>
      <c r="B61" s="99"/>
      <c r="C61" s="99"/>
      <c r="D61" s="99"/>
      <c r="E61" s="99"/>
      <c r="F61" s="99"/>
    </row>
    <row r="62" spans="1:6" ht="15.75" customHeight="1" x14ac:dyDescent="0.25">
      <c r="A62" s="99"/>
      <c r="B62" s="99"/>
      <c r="C62" s="99"/>
      <c r="D62" s="99"/>
      <c r="E62" s="99"/>
      <c r="F62" s="99"/>
    </row>
    <row r="63" spans="1:6" ht="15.75" customHeight="1" x14ac:dyDescent="0.25">
      <c r="A63" s="99"/>
      <c r="B63" s="99"/>
      <c r="C63" s="99"/>
      <c r="D63" s="99"/>
      <c r="E63" s="99"/>
      <c r="F63" s="99"/>
    </row>
    <row r="64" spans="1:6" ht="15.75" customHeight="1" x14ac:dyDescent="0.25">
      <c r="A64" s="99"/>
      <c r="B64" s="99"/>
      <c r="C64" s="99"/>
      <c r="D64" s="99"/>
      <c r="E64" s="99"/>
      <c r="F64" s="99"/>
    </row>
    <row r="65" spans="1:6" ht="15.75" customHeight="1" x14ac:dyDescent="0.25">
      <c r="A65" s="99"/>
      <c r="B65" s="99"/>
      <c r="C65" s="99"/>
      <c r="D65" s="99"/>
      <c r="E65" s="99"/>
      <c r="F65" s="99"/>
    </row>
    <row r="66" spans="1:6" ht="15.75" customHeight="1" x14ac:dyDescent="0.25">
      <c r="A66" s="99"/>
      <c r="B66" s="99"/>
      <c r="C66" s="99"/>
      <c r="D66" s="99"/>
      <c r="E66" s="99"/>
      <c r="F66" s="99"/>
    </row>
    <row r="67" spans="1:6" ht="15.75" customHeight="1" x14ac:dyDescent="0.25">
      <c r="A67" s="99"/>
      <c r="B67" s="99"/>
      <c r="C67" s="99"/>
      <c r="D67" s="99"/>
      <c r="E67" s="99"/>
      <c r="F67" s="99"/>
    </row>
    <row r="72" spans="1:6" x14ac:dyDescent="0.25">
      <c r="E72" s="209" t="s">
        <v>107</v>
      </c>
      <c r="F72" s="209"/>
    </row>
    <row r="73" spans="1:6" x14ac:dyDescent="0.25">
      <c r="E73" s="209"/>
      <c r="F73" s="209"/>
    </row>
    <row r="74" spans="1:6" x14ac:dyDescent="0.25">
      <c r="E74" s="209"/>
      <c r="F74" s="209"/>
    </row>
    <row r="75" spans="1:6" x14ac:dyDescent="0.25">
      <c r="E75" s="209"/>
      <c r="F75" s="209"/>
    </row>
    <row r="76" spans="1:6" x14ac:dyDescent="0.25">
      <c r="E76" s="209"/>
      <c r="F76" s="209"/>
    </row>
    <row r="77" spans="1:6" x14ac:dyDescent="0.25">
      <c r="E77" s="209"/>
      <c r="F77" s="209"/>
    </row>
    <row r="78" spans="1:6" x14ac:dyDescent="0.25">
      <c r="E78" s="209"/>
      <c r="F78" s="209"/>
    </row>
    <row r="79" spans="1:6" x14ac:dyDescent="0.25">
      <c r="E79" s="209"/>
      <c r="F79" s="209"/>
    </row>
    <row r="80" spans="1:6" x14ac:dyDescent="0.25">
      <c r="E80" s="209"/>
      <c r="F80" s="209"/>
    </row>
    <row r="81" spans="5:6" x14ac:dyDescent="0.25">
      <c r="E81" s="209"/>
      <c r="F81" s="209"/>
    </row>
    <row r="82" spans="5:6" x14ac:dyDescent="0.25">
      <c r="E82" s="209"/>
      <c r="F82" s="209"/>
    </row>
    <row r="83" spans="5:6" x14ac:dyDescent="0.25">
      <c r="E83" s="209"/>
      <c r="F83" s="209"/>
    </row>
    <row r="84" spans="5:6" x14ac:dyDescent="0.25">
      <c r="E84" s="209"/>
      <c r="F84" s="209"/>
    </row>
    <row r="85" spans="5:6" x14ac:dyDescent="0.25">
      <c r="E85" s="209"/>
      <c r="F85" s="209"/>
    </row>
    <row r="86" spans="5:6" x14ac:dyDescent="0.25">
      <c r="E86" s="209"/>
      <c r="F86" s="209"/>
    </row>
    <row r="87" spans="5:6" x14ac:dyDescent="0.25">
      <c r="E87" s="209"/>
      <c r="F87" s="209"/>
    </row>
    <row r="88" spans="5:6" x14ac:dyDescent="0.25">
      <c r="E88" s="209"/>
      <c r="F88" s="209"/>
    </row>
    <row r="89" spans="5:6" x14ac:dyDescent="0.25">
      <c r="E89" s="209"/>
      <c r="F89" s="209"/>
    </row>
    <row r="90" spans="5:6" x14ac:dyDescent="0.25">
      <c r="E90" s="209"/>
      <c r="F90" s="209"/>
    </row>
    <row r="91" spans="5:6" x14ac:dyDescent="0.25">
      <c r="E91" s="209"/>
      <c r="F91" s="209"/>
    </row>
    <row r="92" spans="5:6" x14ac:dyDescent="0.25">
      <c r="E92" s="209"/>
      <c r="F92" s="209"/>
    </row>
    <row r="93" spans="5:6" x14ac:dyDescent="0.25">
      <c r="E93" s="209"/>
      <c r="F93" s="209"/>
    </row>
    <row r="94" spans="5:6" x14ac:dyDescent="0.25">
      <c r="E94" s="209"/>
      <c r="F94" s="209"/>
    </row>
    <row r="95" spans="5:6" x14ac:dyDescent="0.25">
      <c r="E95" s="209"/>
      <c r="F95" s="209"/>
    </row>
    <row r="96" spans="5:6" x14ac:dyDescent="0.25">
      <c r="E96" s="209"/>
      <c r="F96" s="209"/>
    </row>
    <row r="97" spans="5:6" x14ac:dyDescent="0.25">
      <c r="E97" s="209"/>
      <c r="F97" s="209"/>
    </row>
    <row r="98" spans="5:6" x14ac:dyDescent="0.25">
      <c r="E98" s="209"/>
      <c r="F98" s="209"/>
    </row>
    <row r="99" spans="5:6" x14ac:dyDescent="0.25">
      <c r="E99" s="209"/>
      <c r="F99" s="209"/>
    </row>
    <row r="100" spans="5:6" x14ac:dyDescent="0.25">
      <c r="E100" s="209"/>
      <c r="F100" s="209"/>
    </row>
    <row r="101" spans="5:6" x14ac:dyDescent="0.25">
      <c r="E101" s="209"/>
      <c r="F101" s="209"/>
    </row>
    <row r="102" spans="5:6" x14ac:dyDescent="0.25">
      <c r="E102" s="209"/>
      <c r="F102" s="209"/>
    </row>
    <row r="103" spans="5:6" x14ac:dyDescent="0.25">
      <c r="E103" s="209"/>
      <c r="F103" s="209"/>
    </row>
    <row r="104" spans="5:6" x14ac:dyDescent="0.25">
      <c r="E104" s="209"/>
      <c r="F104" s="209"/>
    </row>
    <row r="105" spans="5:6" x14ac:dyDescent="0.25">
      <c r="E105" s="209"/>
      <c r="F105" s="209"/>
    </row>
    <row r="106" spans="5:6" x14ac:dyDescent="0.25">
      <c r="E106" s="209"/>
      <c r="F106" s="209"/>
    </row>
    <row r="107" spans="5:6" x14ac:dyDescent="0.25">
      <c r="E107" s="209"/>
      <c r="F107" s="209"/>
    </row>
    <row r="108" spans="5:6" x14ac:dyDescent="0.25">
      <c r="E108" s="209"/>
      <c r="F108" s="209"/>
    </row>
    <row r="109" spans="5:6" x14ac:dyDescent="0.25">
      <c r="E109" s="209"/>
      <c r="F109" s="209"/>
    </row>
    <row r="110" spans="5:6" x14ac:dyDescent="0.25">
      <c r="E110" s="209"/>
      <c r="F110" s="209"/>
    </row>
    <row r="111" spans="5:6" x14ac:dyDescent="0.25">
      <c r="E111" s="209"/>
      <c r="F111" s="209"/>
    </row>
    <row r="124" spans="1:6" x14ac:dyDescent="0.25">
      <c r="A124" s="182"/>
      <c r="B124" s="182"/>
      <c r="C124" s="182"/>
      <c r="D124" s="182"/>
      <c r="E124" s="182"/>
      <c r="F124" s="182"/>
    </row>
    <row r="125" spans="1:6" x14ac:dyDescent="0.25">
      <c r="A125" s="182"/>
      <c r="B125" s="182"/>
      <c r="C125" s="182"/>
      <c r="D125" s="182"/>
      <c r="E125" s="182"/>
      <c r="F125" s="182"/>
    </row>
    <row r="126" spans="1:6" x14ac:dyDescent="0.25">
      <c r="A126" s="182"/>
      <c r="B126" s="182"/>
      <c r="C126" s="182"/>
      <c r="D126" s="182"/>
      <c r="E126" s="182"/>
      <c r="F126" s="182"/>
    </row>
    <row r="127" spans="1:6" x14ac:dyDescent="0.25">
      <c r="A127" s="182"/>
      <c r="B127" s="182"/>
      <c r="C127" s="182"/>
      <c r="D127" s="182"/>
      <c r="E127" s="182"/>
      <c r="F127" s="182"/>
    </row>
    <row r="128" spans="1:6" x14ac:dyDescent="0.25">
      <c r="A128" s="182"/>
      <c r="B128" s="182"/>
      <c r="C128" s="182"/>
      <c r="D128" s="182"/>
      <c r="E128" s="182"/>
      <c r="F128" s="182"/>
    </row>
    <row r="129" spans="1:6" x14ac:dyDescent="0.25">
      <c r="A129" s="182"/>
      <c r="B129" s="182"/>
      <c r="C129" s="182"/>
      <c r="D129" s="182"/>
      <c r="E129" s="182"/>
      <c r="F129" s="182"/>
    </row>
  </sheetData>
  <mergeCells count="30">
    <mergeCell ref="A12:A13"/>
    <mergeCell ref="A124:F129"/>
    <mergeCell ref="A14:A15"/>
    <mergeCell ref="A16:A17"/>
    <mergeCell ref="A18:A19"/>
    <mergeCell ref="B24:C24"/>
    <mergeCell ref="A28:F52"/>
    <mergeCell ref="B16:B17"/>
    <mergeCell ref="B18:B19"/>
    <mergeCell ref="A20:A21"/>
    <mergeCell ref="A22:A23"/>
    <mergeCell ref="D24:F27"/>
    <mergeCell ref="E72:F111"/>
    <mergeCell ref="A25:C27"/>
    <mergeCell ref="B4:B5"/>
    <mergeCell ref="B20:B23"/>
    <mergeCell ref="B12:B13"/>
    <mergeCell ref="B14:B15"/>
    <mergeCell ref="A1:F1"/>
    <mergeCell ref="E20:E23"/>
    <mergeCell ref="D20:D23"/>
    <mergeCell ref="F20:F23"/>
    <mergeCell ref="C20:C23"/>
    <mergeCell ref="B6:B7"/>
    <mergeCell ref="B8:B9"/>
    <mergeCell ref="B10:B11"/>
    <mergeCell ref="A4:A5"/>
    <mergeCell ref="A6:A7"/>
    <mergeCell ref="A8:A9"/>
    <mergeCell ref="A10:A11"/>
  </mergeCells>
  <dataValidations count="1">
    <dataValidation type="list" allowBlank="1" showInputMessage="1" showErrorMessage="1" sqref="A24">
      <formula1>SELECT_COAX</formula1>
    </dataValidation>
  </dataValidations>
  <printOptions horizontalCentered="1" verticalCentered="1"/>
  <pageMargins left="0.7" right="0.7" top="0.75" bottom="0.75" header="0.3" footer="0.3"/>
  <pageSetup scale="54" fitToHeight="2" orientation="landscape" r:id="rId1"/>
  <rowBreaks count="1" manualBreakCount="1">
    <brk id="54" max="5"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7"/>
  <sheetViews>
    <sheetView workbookViewId="0">
      <selection activeCell="A5" sqref="A5"/>
    </sheetView>
  </sheetViews>
  <sheetFormatPr defaultRowHeight="15.75" x14ac:dyDescent="0.25"/>
  <cols>
    <col min="1" max="1" width="16.5" customWidth="1"/>
  </cols>
  <sheetData>
    <row r="1" spans="1:2" ht="18.75" x14ac:dyDescent="0.25">
      <c r="A1" s="92" t="s">
        <v>69</v>
      </c>
      <c r="B1" s="92" t="s">
        <v>68</v>
      </c>
    </row>
    <row r="2" spans="1:2" x14ac:dyDescent="0.25">
      <c r="A2" s="92" t="s">
        <v>90</v>
      </c>
      <c r="B2" s="92">
        <v>1</v>
      </c>
    </row>
    <row r="3" spans="1:2" x14ac:dyDescent="0.25">
      <c r="A3" s="92" t="s">
        <v>100</v>
      </c>
      <c r="B3" s="93">
        <v>1</v>
      </c>
    </row>
    <row r="4" spans="1:2" x14ac:dyDescent="0.25">
      <c r="A4" s="92" t="s">
        <v>123</v>
      </c>
      <c r="B4" s="93">
        <v>0.87</v>
      </c>
    </row>
    <row r="5" spans="1:2" x14ac:dyDescent="0.25">
      <c r="A5" s="92" t="s">
        <v>122</v>
      </c>
      <c r="B5" s="93">
        <v>0.83</v>
      </c>
    </row>
    <row r="6" spans="1:2" x14ac:dyDescent="0.25">
      <c r="A6" s="92" t="s">
        <v>72</v>
      </c>
      <c r="B6" s="93">
        <v>0.82</v>
      </c>
    </row>
    <row r="7" spans="1:2" x14ac:dyDescent="0.25">
      <c r="A7" s="92" t="s">
        <v>97</v>
      </c>
      <c r="B7" s="93">
        <v>0.84</v>
      </c>
    </row>
    <row r="8" spans="1:2" x14ac:dyDescent="0.25">
      <c r="A8" s="92" t="s">
        <v>70</v>
      </c>
      <c r="B8" s="93">
        <v>0.66</v>
      </c>
    </row>
    <row r="9" spans="1:2" x14ac:dyDescent="0.25">
      <c r="A9" s="92" t="s">
        <v>77</v>
      </c>
      <c r="B9" s="93">
        <v>0.84</v>
      </c>
    </row>
    <row r="10" spans="1:2" x14ac:dyDescent="0.25">
      <c r="A10" s="92" t="s">
        <v>76</v>
      </c>
      <c r="B10" s="93">
        <v>0.82</v>
      </c>
    </row>
    <row r="11" spans="1:2" x14ac:dyDescent="0.25">
      <c r="A11" s="92" t="s">
        <v>74</v>
      </c>
      <c r="B11" s="93">
        <v>0.66</v>
      </c>
    </row>
    <row r="12" spans="1:2" x14ac:dyDescent="0.25">
      <c r="A12" s="92" t="s">
        <v>84</v>
      </c>
      <c r="B12" s="93">
        <v>0.69499999999999995</v>
      </c>
    </row>
    <row r="13" spans="1:2" x14ac:dyDescent="0.25">
      <c r="A13" s="92" t="s">
        <v>83</v>
      </c>
      <c r="B13" s="93">
        <v>0.79</v>
      </c>
    </row>
    <row r="14" spans="1:2" x14ac:dyDescent="0.25">
      <c r="A14" s="92" t="s">
        <v>82</v>
      </c>
      <c r="B14" s="93">
        <v>0.66</v>
      </c>
    </row>
    <row r="15" spans="1:2" x14ac:dyDescent="0.25">
      <c r="A15" s="92" t="s">
        <v>81</v>
      </c>
      <c r="B15" s="93">
        <v>0.66</v>
      </c>
    </row>
    <row r="16" spans="1:2" x14ac:dyDescent="0.25">
      <c r="A16" s="92" t="s">
        <v>80</v>
      </c>
      <c r="B16" s="93">
        <v>0.66</v>
      </c>
    </row>
    <row r="17" spans="1:2" x14ac:dyDescent="0.25">
      <c r="A17" s="92" t="s">
        <v>79</v>
      </c>
      <c r="B17" s="93">
        <v>0.66</v>
      </c>
    </row>
    <row r="18" spans="1:2" x14ac:dyDescent="0.25">
      <c r="A18" s="92" t="s">
        <v>78</v>
      </c>
      <c r="B18" s="93">
        <v>0.66</v>
      </c>
    </row>
    <row r="19" spans="1:2" x14ac:dyDescent="0.25">
      <c r="A19" s="92" t="s">
        <v>73</v>
      </c>
      <c r="B19" s="93">
        <v>0.75</v>
      </c>
    </row>
    <row r="20" spans="1:2" x14ac:dyDescent="0.25">
      <c r="A20" s="92" t="s">
        <v>85</v>
      </c>
      <c r="B20" s="93">
        <v>0.86</v>
      </c>
    </row>
    <row r="21" spans="1:2" x14ac:dyDescent="0.25">
      <c r="A21" s="92" t="s">
        <v>121</v>
      </c>
      <c r="B21" s="93">
        <v>0.85</v>
      </c>
    </row>
    <row r="22" spans="1:2" x14ac:dyDescent="0.25">
      <c r="A22" s="92" t="s">
        <v>95</v>
      </c>
      <c r="B22" s="93">
        <v>0.85</v>
      </c>
    </row>
    <row r="23" spans="1:2" x14ac:dyDescent="0.25">
      <c r="A23" s="92" t="s">
        <v>71</v>
      </c>
      <c r="B23" s="93">
        <v>0.85</v>
      </c>
    </row>
    <row r="24" spans="1:2" x14ac:dyDescent="0.25">
      <c r="A24" s="92" t="s">
        <v>96</v>
      </c>
      <c r="B24" s="93">
        <v>0.84</v>
      </c>
    </row>
    <row r="25" spans="1:2" x14ac:dyDescent="0.25">
      <c r="A25" s="92" t="s">
        <v>94</v>
      </c>
      <c r="B25" s="93">
        <v>0.84</v>
      </c>
    </row>
    <row r="26" spans="1:2" x14ac:dyDescent="0.25">
      <c r="A26" s="92" t="s">
        <v>75</v>
      </c>
      <c r="B26" s="93">
        <v>0.83</v>
      </c>
    </row>
    <row r="27" spans="1:2" x14ac:dyDescent="0.25">
      <c r="A27" s="92" t="s">
        <v>87</v>
      </c>
      <c r="B27" s="93">
        <v>0.88</v>
      </c>
    </row>
    <row r="28" spans="1:2" x14ac:dyDescent="0.25">
      <c r="A28" s="92" t="s">
        <v>86</v>
      </c>
      <c r="B28" s="93">
        <v>8</v>
      </c>
    </row>
    <row r="29" spans="1:2" x14ac:dyDescent="0.25">
      <c r="A29" s="92" t="s">
        <v>99</v>
      </c>
      <c r="B29" s="93">
        <v>0.91</v>
      </c>
    </row>
    <row r="30" spans="1:2" x14ac:dyDescent="0.25">
      <c r="A30" s="92" t="s">
        <v>98</v>
      </c>
      <c r="B30" s="93">
        <v>0.8</v>
      </c>
    </row>
    <row r="31" spans="1:2" x14ac:dyDescent="0.25">
      <c r="A31" s="92" t="s">
        <v>93</v>
      </c>
      <c r="B31" s="93">
        <v>0.84</v>
      </c>
    </row>
    <row r="32" spans="1:2" x14ac:dyDescent="0.25">
      <c r="A32" s="92" t="s">
        <v>92</v>
      </c>
      <c r="B32" s="93">
        <v>0.84</v>
      </c>
    </row>
    <row r="33" spans="1:2" x14ac:dyDescent="0.25">
      <c r="A33" s="92" t="s">
        <v>91</v>
      </c>
      <c r="B33" s="93">
        <v>0.84</v>
      </c>
    </row>
    <row r="34" spans="1:2" x14ac:dyDescent="0.25">
      <c r="A34" s="92" t="s">
        <v>89</v>
      </c>
      <c r="B34" s="93">
        <v>0.81</v>
      </c>
    </row>
    <row r="35" spans="1:2" x14ac:dyDescent="0.25">
      <c r="A35" s="92" t="s">
        <v>88</v>
      </c>
      <c r="B35" s="93">
        <v>0.81</v>
      </c>
    </row>
    <row r="36" spans="1:2" x14ac:dyDescent="0.25">
      <c r="A36" s="90"/>
      <c r="B36" s="90"/>
    </row>
    <row r="37" spans="1:2" x14ac:dyDescent="0.25">
      <c r="A37" s="90"/>
      <c r="B37" s="90"/>
    </row>
  </sheetData>
  <sortState ref="A3:B35">
    <sortCondition descending="1" ref="A3:A35"/>
  </sortState>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Dipole - "V" Calculator</vt:lpstr>
      <vt:lpstr>Simplified</vt:lpstr>
      <vt:lpstr>Inverted "V"</vt:lpstr>
      <vt:lpstr>Double-Triple Bazooka</vt:lpstr>
      <vt:lpstr>COAX Velocity Factors</vt:lpstr>
      <vt:lpstr>Inverted_V</vt:lpstr>
      <vt:lpstr>'Dipole - "V" Calculator'!Print_Area</vt:lpstr>
      <vt:lpstr>'Double-Triple Bazooka'!Print_Area</vt:lpstr>
      <vt:lpstr>Simplified!Print_Area</vt:lpstr>
      <vt:lpstr>SELECT_COAX</vt:lpstr>
      <vt:lpstr>Velocity_Factor</vt:lpstr>
    </vt:vector>
  </TitlesOfParts>
  <Company>***NONE***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Mitchel Baum</dc:creator>
  <cp:lastModifiedBy>Mitch</cp:lastModifiedBy>
  <cp:lastPrinted>2016-11-23T18:30:53Z</cp:lastPrinted>
  <dcterms:created xsi:type="dcterms:W3CDTF">2014-09-14T16:24:56Z</dcterms:created>
  <dcterms:modified xsi:type="dcterms:W3CDTF">2017-12-20T14:56:12Z</dcterms:modified>
</cp:coreProperties>
</file>