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Budget" sheetId="1" r:id="rId4"/>
    <sheet state="visible" name="Playground Budget" sheetId="2" r:id="rId5"/>
  </sheets>
  <definedNames/>
  <calcPr/>
</workbook>
</file>

<file path=xl/sharedStrings.xml><?xml version="1.0" encoding="utf-8"?>
<sst xmlns="http://schemas.openxmlformats.org/spreadsheetml/2006/main" count="115" uniqueCount="89">
  <si>
    <t>NEWPORT ELEMENTARY PTO</t>
  </si>
  <si>
    <t>PROPOSED BUDGET 2024-2025</t>
  </si>
  <si>
    <t>2023 - 2024 Budget</t>
  </si>
  <si>
    <t>Actual</t>
  </si>
  <si>
    <t>Variance</t>
  </si>
  <si>
    <t>2024-2025 Proposed Budget</t>
  </si>
  <si>
    <t>NOTES</t>
  </si>
  <si>
    <t>BALANCE ON HAND from previous year</t>
  </si>
  <si>
    <t>INCOME (RECEIPTS)</t>
  </si>
  <si>
    <t>Direct Donations</t>
  </si>
  <si>
    <t>T-Shirt Sales</t>
  </si>
  <si>
    <t>Unsure about 2024-2025</t>
  </si>
  <si>
    <t>No Sale (Opt Out)</t>
  </si>
  <si>
    <t>Fall Fundraiser -- Mr Sticky's</t>
  </si>
  <si>
    <t>Restaurant Nights -- Harshbargers</t>
  </si>
  <si>
    <t>Not Continuing</t>
  </si>
  <si>
    <t>Winter Fundraiser -- No Common Scents</t>
  </si>
  <si>
    <t>Santa Workshop</t>
  </si>
  <si>
    <t>Santa Breakfast</t>
  </si>
  <si>
    <t>Not continuing</t>
  </si>
  <si>
    <t>Spring Fundraiser -- Marianna's</t>
  </si>
  <si>
    <t>Roses Fundraiser</t>
  </si>
  <si>
    <t>Read A Thon (Bookopoly)</t>
  </si>
  <si>
    <t>School Store</t>
  </si>
  <si>
    <t>TOTAL RECEIPTS</t>
  </si>
  <si>
    <t>EXPENSES (DISBURSEMENTS)</t>
  </si>
  <si>
    <t>Copy Paper</t>
  </si>
  <si>
    <t>Insurance</t>
  </si>
  <si>
    <t>Printing/Supplies/Ink</t>
  </si>
  <si>
    <t>Miscellaneous -- Officer's Supplies</t>
  </si>
  <si>
    <t>Officer's Reimbursement (NOT Supplies; i.e. parking, etc.)</t>
  </si>
  <si>
    <t>Postage/P.O. Box Fee</t>
  </si>
  <si>
    <t>Bank Fees (Chargeback, Account fees, etc)</t>
  </si>
  <si>
    <t>Advertisement (Website, Time to sign up, etc.)</t>
  </si>
  <si>
    <t>Mr. Sticky's</t>
  </si>
  <si>
    <t>No Common Scents</t>
  </si>
  <si>
    <t>Marianna's</t>
  </si>
  <si>
    <t>Roses</t>
  </si>
  <si>
    <t>Total Operating Expenses</t>
  </si>
  <si>
    <t>Program Expenses</t>
  </si>
  <si>
    <t>Hospitality</t>
  </si>
  <si>
    <t>First Day Breakfast</t>
  </si>
  <si>
    <t>Parent Teacher Conferences</t>
  </si>
  <si>
    <t>Custodians Gift</t>
  </si>
  <si>
    <t>Included in year round gifts for 2024-2025</t>
  </si>
  <si>
    <t>Sneaky Santa</t>
  </si>
  <si>
    <t>Leap Day</t>
  </si>
  <si>
    <t>Once every four years</t>
  </si>
  <si>
    <t>Valentine</t>
  </si>
  <si>
    <t>Easter</t>
  </si>
  <si>
    <t>Rock Paper Scissors</t>
  </si>
  <si>
    <t>Stay A Float</t>
  </si>
  <si>
    <t>Total Hospitality</t>
  </si>
  <si>
    <t>Percentage of Budget</t>
  </si>
  <si>
    <t>Talent Show</t>
  </si>
  <si>
    <t>Fifth Grade Gift</t>
  </si>
  <si>
    <t>Little Buffs Day</t>
  </si>
  <si>
    <t>Kindergarten Registration Gift</t>
  </si>
  <si>
    <t>Marianna's Volunteer Dinner</t>
  </si>
  <si>
    <t>Penny Wars Winner Lunch</t>
  </si>
  <si>
    <t>Field Trips</t>
  </si>
  <si>
    <t>Mini Thon</t>
  </si>
  <si>
    <t>PTO Covers Kids</t>
  </si>
  <si>
    <t>Chalk the Walk</t>
  </si>
  <si>
    <t>Senior Scholarship</t>
  </si>
  <si>
    <t>Total Program Expenses</t>
  </si>
  <si>
    <t>TOTAL DISBURSEMENTS</t>
  </si>
  <si>
    <t>TOTAL INCOME VERSUS EXPENSES</t>
  </si>
  <si>
    <t>RESERVES</t>
  </si>
  <si>
    <t>Allocated:  Kids Donation</t>
  </si>
  <si>
    <t>Allocated:  School Store</t>
  </si>
  <si>
    <t>BALANCE ON HAND</t>
  </si>
  <si>
    <t>PROPOSED PLAYGROUND BUDGET 2024-2025</t>
  </si>
  <si>
    <t>PROPOSED PLAYGROUND COST (2023 PRICE QUOTES)</t>
  </si>
  <si>
    <t>K-2</t>
  </si>
  <si>
    <t>Installation (shipment, removal, etc)</t>
  </si>
  <si>
    <t>Freight truck fees</t>
  </si>
  <si>
    <t>Surfacing</t>
  </si>
  <si>
    <t>Rubber Matting</t>
  </si>
  <si>
    <t>ESTIMATED TOTAL</t>
  </si>
  <si>
    <t>Penny Wars</t>
  </si>
  <si>
    <t>5K Fundraiser</t>
  </si>
  <si>
    <t>Printing/Supplies/Ink (Hot Frog)</t>
  </si>
  <si>
    <t>Postage</t>
  </si>
  <si>
    <t>Advertisement (5K Signs, 5K TShirts)</t>
  </si>
  <si>
    <t>Little Buffalo Rental</t>
  </si>
  <si>
    <t>5K Awards</t>
  </si>
  <si>
    <t>Grant Fees</t>
  </si>
  <si>
    <t>5K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</si>
</sst>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$-409]#,##0.00;[Red]\-[$$-409]#,##0.00"/>
    <numFmt numFmtId="165" formatCode="&quot;$&quot;#,##0.00_);[Red]\(&quot;$&quot;#,##0.00\)"/>
    <numFmt numFmtId="166" formatCode="m-d"/>
  </numFmts>
  <fonts count="15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2.0"/>
      <color rgb="FF000000"/>
      <name val="Arial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color theme="1"/>
      <name val="Arial"/>
    </font>
    <font>
      <sz val="12.0"/>
      <color theme="1"/>
      <name val="Arial"/>
    </font>
    <font>
      <sz val="12.0"/>
      <color rgb="FF000000"/>
      <name val="Arial"/>
    </font>
    <font>
      <b/>
      <sz val="12.0"/>
      <color theme="1"/>
      <name val="Arial"/>
    </font>
    <font>
      <sz val="12.0"/>
      <color rgb="FFFF0000"/>
      <name val="Arial"/>
    </font>
    <font>
      <i/>
      <sz val="12.0"/>
      <color theme="1"/>
      <name val="Arial"/>
    </font>
    <font>
      <b/>
      <i/>
      <sz val="12.0"/>
      <color theme="1"/>
      <name val="Arial"/>
    </font>
    <font>
      <b/>
      <sz val="14.0"/>
      <color theme="1"/>
      <name val="Arial"/>
    </font>
    <font>
      <b/>
      <sz val="14.0"/>
      <color rgb="FF000000"/>
      <name val="Arial"/>
    </font>
    <font>
      <b/>
      <sz val="14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2" numFmtId="0" xfId="0" applyAlignment="1" applyFill="1" applyFont="1">
      <alignment horizontal="center" readingOrder="0" shrinkToFit="0" wrapText="1"/>
    </xf>
    <xf borderId="0" fillId="2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readingOrder="0"/>
    </xf>
    <xf borderId="0" fillId="2" fontId="2" numFmtId="0" xfId="0" applyAlignment="1" applyFont="1">
      <alignment horizontal="left"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3" numFmtId="8" xfId="0" applyAlignment="1" applyFont="1" applyNumberFormat="1">
      <alignment readingOrder="0"/>
    </xf>
    <xf borderId="0" fillId="0" fontId="4" numFmtId="8" xfId="0" applyFont="1" applyNumberFormat="1"/>
    <xf borderId="0" fillId="0" fontId="5" numFmtId="0" xfId="0" applyAlignment="1" applyFont="1">
      <alignment vertical="bottom"/>
    </xf>
    <xf borderId="0" fillId="0" fontId="6" numFmtId="0" xfId="0" applyAlignment="1" applyFont="1">
      <alignment readingOrder="0" shrinkToFit="0" vertical="bottom" wrapText="0"/>
    </xf>
    <xf borderId="0" fillId="0" fontId="5" numFmtId="164" xfId="0" applyAlignment="1" applyFont="1" applyNumberFormat="1">
      <alignment vertical="bottom"/>
    </xf>
    <xf borderId="0" fillId="0" fontId="6" numFmtId="165" xfId="0" applyAlignment="1" applyFont="1" applyNumberFormat="1">
      <alignment horizontal="right" readingOrder="0" vertical="bottom"/>
    </xf>
    <xf borderId="0" fillId="0" fontId="7" numFmtId="165" xfId="0" applyAlignment="1" applyFont="1" applyNumberFormat="1">
      <alignment horizontal="right" vertical="bottom"/>
    </xf>
    <xf borderId="0" fillId="0" fontId="8" numFmtId="165" xfId="0" applyAlignment="1" applyFont="1" applyNumberFormat="1">
      <alignment horizontal="right" readingOrder="0" vertical="bottom"/>
    </xf>
    <xf borderId="0" fillId="0" fontId="6" numFmtId="0" xfId="0" applyAlignment="1" applyFont="1">
      <alignment horizontal="right" readingOrder="0" vertical="bottom"/>
    </xf>
    <xf borderId="0" fillId="0" fontId="5" numFmtId="0" xfId="0" applyAlignment="1" applyFont="1">
      <alignment vertical="bottom"/>
    </xf>
    <xf borderId="0" fillId="0" fontId="9" numFmtId="8" xfId="0" applyAlignment="1" applyFont="1" applyNumberFormat="1">
      <alignment horizontal="right" vertical="bottom"/>
    </xf>
    <xf borderId="0" fillId="0" fontId="6" numFmtId="165" xfId="0" applyAlignment="1" applyFont="1" applyNumberFormat="1">
      <alignment horizontal="right" vertical="bottom"/>
    </xf>
    <xf borderId="0" fillId="0" fontId="9" numFmtId="165" xfId="0" applyAlignment="1" applyFont="1" applyNumberFormat="1">
      <alignment horizontal="right" vertical="bottom"/>
    </xf>
    <xf borderId="0" fillId="0" fontId="5" numFmtId="165" xfId="0" applyAlignment="1" applyFont="1" applyNumberFormat="1">
      <alignment vertical="bottom"/>
    </xf>
    <xf borderId="0" fillId="0" fontId="5" numFmtId="0" xfId="0" applyAlignment="1" applyFont="1">
      <alignment shrinkToFit="0" vertical="bottom" wrapText="0"/>
    </xf>
    <xf borderId="0" fillId="2" fontId="2" numFmtId="0" xfId="0" applyAlignment="1" applyFont="1">
      <alignment horizontal="right" readingOrder="0"/>
    </xf>
    <xf borderId="0" fillId="0" fontId="8" numFmtId="165" xfId="0" applyAlignment="1" applyFont="1" applyNumberFormat="1">
      <alignment horizontal="right" vertical="bottom"/>
    </xf>
    <xf borderId="0" fillId="0" fontId="2" numFmtId="165" xfId="0" applyAlignment="1" applyFont="1" applyNumberFormat="1">
      <alignment horizontal="right" vertical="bottom"/>
    </xf>
    <xf borderId="0" fillId="0" fontId="8" numFmtId="0" xfId="0" applyAlignment="1" applyFont="1">
      <alignment shrinkToFit="0" vertical="bottom" wrapText="0"/>
    </xf>
    <xf borderId="0" fillId="0" fontId="5" numFmtId="12" xfId="0" applyAlignment="1" applyFont="1" applyNumberFormat="1">
      <alignment vertical="bottom"/>
    </xf>
    <xf borderId="0" fillId="0" fontId="6" numFmtId="0" xfId="0" applyAlignment="1" applyFont="1">
      <alignment shrinkToFit="0" vertical="bottom" wrapText="0"/>
    </xf>
    <xf borderId="0" fillId="0" fontId="8" numFmtId="164" xfId="0" applyAlignment="1" applyFont="1" applyNumberFormat="1">
      <alignment horizontal="right" vertical="bottom"/>
    </xf>
    <xf borderId="0" fillId="0" fontId="8" numFmtId="164" xfId="0" applyAlignment="1" applyFont="1" applyNumberFormat="1">
      <alignment horizontal="right" readingOrder="0" vertical="bottom"/>
    </xf>
    <xf borderId="0" fillId="0" fontId="6" numFmtId="0" xfId="0" applyAlignment="1" applyFont="1">
      <alignment readingOrder="0" vertical="bottom"/>
    </xf>
    <xf borderId="0" fillId="0" fontId="6" numFmtId="0" xfId="0" applyAlignment="1" applyFont="1">
      <alignment vertical="bottom"/>
    </xf>
    <xf borderId="0" fillId="0" fontId="6" numFmtId="164" xfId="0" applyAlignment="1" applyFont="1" applyNumberFormat="1">
      <alignment vertical="bottom"/>
    </xf>
    <xf borderId="0" fillId="0" fontId="6" numFmtId="165" xfId="0" applyAlignment="1" applyFont="1" applyNumberFormat="1">
      <alignment readingOrder="0" vertical="bottom"/>
    </xf>
    <xf borderId="0" fillId="0" fontId="8" numFmtId="164" xfId="0" applyAlignment="1" applyFont="1" applyNumberFormat="1">
      <alignment readingOrder="0" vertical="bottom"/>
    </xf>
    <xf borderId="0" fillId="0" fontId="8" numFmtId="164" xfId="0" applyAlignment="1" applyFont="1" applyNumberFormat="1">
      <alignment shrinkToFit="0" vertical="bottom" wrapText="0"/>
    </xf>
    <xf borderId="0" fillId="0" fontId="6" numFmtId="164" xfId="0" applyAlignment="1" applyFont="1" applyNumberFormat="1">
      <alignment horizontal="right" vertical="bottom"/>
    </xf>
    <xf borderId="0" fillId="0" fontId="10" numFmtId="0" xfId="0" applyAlignment="1" applyFont="1">
      <alignment readingOrder="0" shrinkToFit="0" vertical="bottom" wrapText="0"/>
    </xf>
    <xf borderId="0" fillId="0" fontId="6" numFmtId="0" xfId="0" applyAlignment="1" applyFont="1">
      <alignment horizontal="center" vertical="bottom"/>
    </xf>
    <xf borderId="0" fillId="0" fontId="10" numFmtId="0" xfId="0" applyAlignment="1" applyFont="1">
      <alignment readingOrder="0" vertical="bottom"/>
    </xf>
    <xf borderId="1" fillId="0" fontId="5" numFmtId="165" xfId="0" applyAlignment="1" applyBorder="1" applyFont="1" applyNumberFormat="1">
      <alignment vertical="bottom"/>
    </xf>
    <xf borderId="1" fillId="0" fontId="5" numFmtId="164" xfId="0" applyAlignment="1" applyBorder="1" applyFont="1" applyNumberFormat="1">
      <alignment vertical="bottom"/>
    </xf>
    <xf borderId="1" fillId="0" fontId="5" numFmtId="0" xfId="0" applyAlignment="1" applyBorder="1" applyFont="1">
      <alignment vertical="bottom"/>
    </xf>
    <xf borderId="2" fillId="0" fontId="5" numFmtId="165" xfId="0" applyAlignment="1" applyBorder="1" applyFont="1" applyNumberFormat="1">
      <alignment vertical="bottom"/>
    </xf>
    <xf borderId="0" fillId="0" fontId="11" numFmtId="0" xfId="0" applyAlignment="1" applyFont="1">
      <alignment horizontal="right" vertical="bottom"/>
    </xf>
    <xf borderId="2" fillId="0" fontId="11" numFmtId="164" xfId="0" applyAlignment="1" applyBorder="1" applyFont="1" applyNumberFormat="1">
      <alignment vertical="bottom"/>
    </xf>
    <xf borderId="1" fillId="0" fontId="11" numFmtId="0" xfId="0" applyAlignment="1" applyBorder="1" applyFont="1">
      <alignment horizontal="right" shrinkToFit="0" vertical="bottom" wrapText="0"/>
    </xf>
    <xf borderId="3" fillId="0" fontId="11" numFmtId="10" xfId="0" applyAlignment="1" applyBorder="1" applyFont="1" applyNumberFormat="1">
      <alignment vertical="bottom"/>
    </xf>
    <xf borderId="0" fillId="0" fontId="12" numFmtId="0" xfId="0" applyAlignment="1" applyFont="1">
      <alignment shrinkToFit="0" vertical="bottom" wrapText="0"/>
    </xf>
    <xf borderId="0" fillId="0" fontId="13" numFmtId="165" xfId="0" applyAlignment="1" applyFont="1" applyNumberFormat="1">
      <alignment horizontal="right" vertical="bottom"/>
    </xf>
    <xf borderId="0" fillId="0" fontId="12" numFmtId="165" xfId="0" applyAlignment="1" applyFont="1" applyNumberFormat="1">
      <alignment horizontal="right" vertical="bottom"/>
    </xf>
    <xf borderId="0" fillId="0" fontId="14" numFmtId="165" xfId="0" applyAlignment="1" applyFont="1" applyNumberFormat="1">
      <alignment horizontal="right" vertical="bottom"/>
    </xf>
    <xf borderId="0" fillId="0" fontId="4" numFmtId="8" xfId="0" applyAlignment="1" applyFont="1" applyNumberFormat="1">
      <alignment readingOrder="0"/>
    </xf>
    <xf borderId="0" fillId="0" fontId="4" numFmtId="166" xfId="0" applyAlignment="1" applyFont="1" applyNumberFormat="1">
      <alignment horizontal="left" readingOrder="0"/>
    </xf>
    <xf borderId="0" fillId="0" fontId="4" numFmtId="0" xfId="0" applyAlignment="1" applyFont="1">
      <alignment readingOrder="0" shrinkToFit="0" wrapText="1"/>
    </xf>
    <xf borderId="0" fillId="0" fontId="3" numFmtId="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38"/>
    <col customWidth="1" min="2" max="2" width="5.88"/>
    <col customWidth="1" min="3" max="3" width="11.63"/>
    <col customWidth="1" min="4" max="4" width="43.0"/>
    <col customWidth="1" min="5" max="5" width="5.63"/>
    <col customWidth="1" min="6" max="9" width="17.75"/>
    <col customWidth="1" min="10" max="10" width="39.88"/>
  </cols>
  <sheetData>
    <row r="1">
      <c r="A1" s="1" t="s">
        <v>0</v>
      </c>
    </row>
    <row r="2">
      <c r="A2" s="1" t="s">
        <v>1</v>
      </c>
    </row>
    <row r="4" ht="32.25" customHeight="1">
      <c r="F4" s="2" t="s">
        <v>2</v>
      </c>
      <c r="G4" s="3" t="s">
        <v>3</v>
      </c>
      <c r="H4" s="3" t="s">
        <v>4</v>
      </c>
      <c r="I4" s="4" t="s">
        <v>5</v>
      </c>
      <c r="J4" s="5" t="s">
        <v>6</v>
      </c>
    </row>
    <row r="5">
      <c r="A5" s="6"/>
      <c r="F5" s="7"/>
      <c r="G5" s="7"/>
      <c r="H5" s="8"/>
      <c r="I5" s="8"/>
    </row>
    <row r="6">
      <c r="A6" s="6" t="s">
        <v>7</v>
      </c>
      <c r="F6" s="9">
        <v>1720.87</v>
      </c>
      <c r="G6" s="9">
        <v>1720.87</v>
      </c>
      <c r="H6" s="10"/>
      <c r="I6" s="9">
        <v>0.0</v>
      </c>
    </row>
    <row r="7">
      <c r="F7" s="8"/>
    </row>
    <row r="8">
      <c r="A8" s="6" t="s">
        <v>8</v>
      </c>
      <c r="F8" s="8"/>
    </row>
    <row r="9">
      <c r="F9" s="8"/>
    </row>
    <row r="10">
      <c r="A10" s="11"/>
      <c r="B10" s="12" t="s">
        <v>9</v>
      </c>
      <c r="D10" s="11"/>
      <c r="E10" s="13"/>
      <c r="F10" s="14">
        <v>0.0</v>
      </c>
      <c r="G10" s="14">
        <f>SUM(38+6+20+182+40+60)</f>
        <v>346</v>
      </c>
      <c r="H10" s="15">
        <f t="shared" ref="H10:H21" si="1">+G10-F10</f>
        <v>346</v>
      </c>
      <c r="I10" s="16">
        <v>0.0</v>
      </c>
      <c r="J10" s="11"/>
    </row>
    <row r="11">
      <c r="A11" s="11"/>
      <c r="B11" s="12" t="s">
        <v>10</v>
      </c>
      <c r="D11" s="11"/>
      <c r="E11" s="13"/>
      <c r="F11" s="14">
        <v>500.0</v>
      </c>
      <c r="G11" s="14">
        <f>SUM(98.5)</f>
        <v>98.5</v>
      </c>
      <c r="H11" s="15">
        <f t="shared" si="1"/>
        <v>-401.5</v>
      </c>
      <c r="I11" s="16">
        <v>0.0</v>
      </c>
      <c r="J11" s="17" t="s">
        <v>11</v>
      </c>
    </row>
    <row r="12">
      <c r="A12" s="11"/>
      <c r="B12" s="12" t="s">
        <v>12</v>
      </c>
      <c r="D12" s="18"/>
      <c r="E12" s="13"/>
      <c r="F12" s="14">
        <v>500.0</v>
      </c>
      <c r="G12" s="14">
        <f>SUM(351+80+255)</f>
        <v>686</v>
      </c>
      <c r="H12" s="15">
        <f t="shared" si="1"/>
        <v>186</v>
      </c>
      <c r="I12" s="16">
        <v>1000.0</v>
      </c>
      <c r="J12" s="11"/>
    </row>
    <row r="13">
      <c r="A13" s="11"/>
      <c r="B13" s="12" t="s">
        <v>13</v>
      </c>
      <c r="E13" s="13"/>
      <c r="F13" s="14">
        <v>2500.0</v>
      </c>
      <c r="G13" s="14">
        <f>SUM(91+4696+138+104.94)</f>
        <v>5029.94</v>
      </c>
      <c r="H13" s="15">
        <f t="shared" si="1"/>
        <v>2529.94</v>
      </c>
      <c r="I13" s="16">
        <v>3500.0</v>
      </c>
      <c r="J13" s="11"/>
    </row>
    <row r="14">
      <c r="A14" s="11"/>
      <c r="B14" s="12" t="s">
        <v>14</v>
      </c>
      <c r="E14" s="13"/>
      <c r="F14" s="14">
        <v>500.0</v>
      </c>
      <c r="G14" s="14">
        <v>184.72</v>
      </c>
      <c r="H14" s="19">
        <f t="shared" si="1"/>
        <v>-315.28</v>
      </c>
      <c r="I14" s="16">
        <v>0.0</v>
      </c>
      <c r="J14" s="17" t="s">
        <v>15</v>
      </c>
    </row>
    <row r="15">
      <c r="A15" s="11"/>
      <c r="B15" s="12" t="s">
        <v>16</v>
      </c>
      <c r="E15" s="13"/>
      <c r="F15" s="14">
        <v>500.0</v>
      </c>
      <c r="G15" s="14">
        <f>SUM(646+46)</f>
        <v>692</v>
      </c>
      <c r="H15" s="20">
        <f t="shared" si="1"/>
        <v>192</v>
      </c>
      <c r="I15" s="16">
        <v>0.0</v>
      </c>
      <c r="J15" s="17" t="s">
        <v>15</v>
      </c>
    </row>
    <row r="16">
      <c r="A16" s="11"/>
      <c r="B16" s="12" t="s">
        <v>17</v>
      </c>
      <c r="C16" s="18"/>
      <c r="D16" s="11"/>
      <c r="E16" s="13"/>
      <c r="F16" s="14">
        <v>5000.0</v>
      </c>
      <c r="G16" s="14">
        <f>SUM(565.75+703.5+1045.4+1054.75+1289.25+453.61+120.25)</f>
        <v>5232.51</v>
      </c>
      <c r="H16" s="15">
        <f t="shared" si="1"/>
        <v>232.51</v>
      </c>
      <c r="I16" s="16">
        <v>5000.0</v>
      </c>
      <c r="J16" s="11"/>
    </row>
    <row r="17">
      <c r="A17" s="11"/>
      <c r="B17" s="12" t="s">
        <v>18</v>
      </c>
      <c r="C17" s="18"/>
      <c r="D17" s="11"/>
      <c r="E17" s="13"/>
      <c r="F17" s="14">
        <v>500.0</v>
      </c>
      <c r="G17" s="14">
        <v>390.0</v>
      </c>
      <c r="H17" s="20">
        <f t="shared" si="1"/>
        <v>-110</v>
      </c>
      <c r="I17" s="16">
        <v>0.0</v>
      </c>
      <c r="J17" s="17" t="s">
        <v>19</v>
      </c>
    </row>
    <row r="18">
      <c r="A18" s="11"/>
      <c r="B18" s="12" t="s">
        <v>20</v>
      </c>
      <c r="C18" s="18"/>
      <c r="D18" s="18"/>
      <c r="E18" s="13"/>
      <c r="F18" s="14">
        <v>20000.0</v>
      </c>
      <c r="G18" s="14">
        <f>SUM(60+19640+60+70+120)</f>
        <v>19950</v>
      </c>
      <c r="H18" s="20">
        <f t="shared" si="1"/>
        <v>-50</v>
      </c>
      <c r="I18" s="16">
        <v>20000.0</v>
      </c>
      <c r="J18" s="11"/>
    </row>
    <row r="19">
      <c r="A19" s="11"/>
      <c r="B19" s="12" t="s">
        <v>21</v>
      </c>
      <c r="C19" s="18"/>
      <c r="D19" s="11"/>
      <c r="E19" s="13"/>
      <c r="F19" s="14">
        <v>1000.0</v>
      </c>
      <c r="G19" s="14">
        <f>SUM(10+322+333.02+376.35)</f>
        <v>1041.37</v>
      </c>
      <c r="H19" s="15">
        <f t="shared" si="1"/>
        <v>41.37</v>
      </c>
      <c r="I19" s="16">
        <v>1000.0</v>
      </c>
      <c r="J19" s="11"/>
    </row>
    <row r="20">
      <c r="A20" s="11"/>
      <c r="B20" s="12" t="s">
        <v>22</v>
      </c>
      <c r="E20" s="13"/>
      <c r="F20" s="14">
        <v>1000.0</v>
      </c>
      <c r="G20" s="14">
        <v>898.5</v>
      </c>
      <c r="H20" s="21">
        <f t="shared" si="1"/>
        <v>-101.5</v>
      </c>
      <c r="I20" s="16">
        <v>1500.0</v>
      </c>
      <c r="J20" s="11"/>
    </row>
    <row r="21">
      <c r="A21" s="11"/>
      <c r="B21" s="12" t="s">
        <v>23</v>
      </c>
      <c r="C21" s="18"/>
      <c r="D21" s="11"/>
      <c r="E21" s="13"/>
      <c r="F21" s="14">
        <v>500.0</v>
      </c>
      <c r="G21" s="14">
        <f>SUM(70.51+124.69+105.19+168.02+169.24+108.93+145.75+57.77+84.26+46.34+64.29+83.5+28.16+38.53+177.5+88.5+47.6+164.71+71.41+95.97+105.85+198.5+240.05)</f>
        <v>2485.27</v>
      </c>
      <c r="H21" s="20">
        <f t="shared" si="1"/>
        <v>1985.27</v>
      </c>
      <c r="I21" s="16">
        <v>500.0</v>
      </c>
      <c r="J21" s="11"/>
    </row>
    <row r="22">
      <c r="A22" s="11"/>
      <c r="B22" s="11"/>
      <c r="C22" s="11"/>
      <c r="D22" s="11"/>
      <c r="E22" s="11"/>
      <c r="F22" s="22"/>
      <c r="G22" s="22"/>
      <c r="H22" s="22"/>
      <c r="I22" s="22"/>
      <c r="J22" s="11"/>
    </row>
    <row r="23">
      <c r="A23" s="11"/>
      <c r="B23" s="11"/>
      <c r="C23" s="11"/>
      <c r="D23" s="11"/>
      <c r="E23" s="11"/>
      <c r="F23" s="22"/>
      <c r="G23" s="22"/>
      <c r="H23" s="22"/>
      <c r="I23" s="13"/>
      <c r="J23" s="11"/>
    </row>
    <row r="24">
      <c r="A24" s="11"/>
      <c r="B24" s="11"/>
      <c r="C24" s="11"/>
      <c r="D24" s="23"/>
      <c r="E24" s="24" t="s">
        <v>24</v>
      </c>
      <c r="F24" s="25">
        <f t="shared" ref="F24:I24" si="2">SUM(F10:F22)</f>
        <v>32500</v>
      </c>
      <c r="G24" s="25">
        <f t="shared" si="2"/>
        <v>37034.81</v>
      </c>
      <c r="H24" s="26">
        <f t="shared" si="2"/>
        <v>4534.81</v>
      </c>
      <c r="I24" s="25">
        <f t="shared" si="2"/>
        <v>32500</v>
      </c>
      <c r="J24" s="11"/>
    </row>
    <row r="26">
      <c r="A26" s="27" t="s">
        <v>25</v>
      </c>
      <c r="B26" s="11"/>
      <c r="C26" s="11"/>
      <c r="D26" s="11"/>
      <c r="E26" s="13"/>
      <c r="F26" s="28"/>
      <c r="G26" s="22"/>
      <c r="H26" s="22"/>
      <c r="I26" s="13"/>
      <c r="J26" s="11"/>
      <c r="K26" s="11"/>
      <c r="L26" s="11"/>
      <c r="M26" s="11"/>
      <c r="N26" s="11"/>
    </row>
    <row r="27">
      <c r="A27" s="11"/>
      <c r="B27" s="29"/>
      <c r="C27" s="11"/>
      <c r="D27" s="11"/>
      <c r="E27" s="13"/>
      <c r="F27" s="20"/>
      <c r="G27" s="20"/>
      <c r="H27" s="20"/>
      <c r="I27" s="30"/>
      <c r="J27" s="11"/>
      <c r="K27" s="11"/>
      <c r="L27" s="11"/>
      <c r="M27" s="11"/>
      <c r="N27" s="11"/>
    </row>
    <row r="28">
      <c r="A28" s="11"/>
      <c r="B28" s="29" t="s">
        <v>26</v>
      </c>
      <c r="C28" s="11"/>
      <c r="D28" s="11"/>
      <c r="E28" s="13"/>
      <c r="F28" s="14">
        <v>200.0</v>
      </c>
      <c r="G28" s="20">
        <f>SUM(10.59+5.71+23.3)</f>
        <v>39.6</v>
      </c>
      <c r="H28" s="20">
        <f t="shared" ref="H28:H35" si="3">+F28-G28</f>
        <v>160.4</v>
      </c>
      <c r="I28" s="31">
        <v>200.0</v>
      </c>
      <c r="J28" s="11"/>
      <c r="K28" s="11"/>
      <c r="L28" s="11"/>
      <c r="M28" s="11"/>
      <c r="N28" s="11"/>
    </row>
    <row r="29">
      <c r="A29" s="11"/>
      <c r="B29" s="29" t="s">
        <v>27</v>
      </c>
      <c r="C29" s="11"/>
      <c r="D29" s="11"/>
      <c r="E29" s="13"/>
      <c r="F29" s="14">
        <v>500.0</v>
      </c>
      <c r="G29" s="14">
        <v>486.0</v>
      </c>
      <c r="H29" s="20">
        <f t="shared" si="3"/>
        <v>14</v>
      </c>
      <c r="I29" s="31">
        <v>500.0</v>
      </c>
      <c r="J29" s="11"/>
      <c r="K29" s="11"/>
      <c r="L29" s="11"/>
      <c r="M29" s="11"/>
      <c r="N29" s="11"/>
    </row>
    <row r="30">
      <c r="A30" s="11"/>
      <c r="B30" s="12" t="s">
        <v>28</v>
      </c>
      <c r="C30" s="11"/>
      <c r="D30" s="11"/>
      <c r="E30" s="13"/>
      <c r="F30" s="14">
        <v>500.0</v>
      </c>
      <c r="G30" s="20">
        <f>SUM(30.52+31.47+213.06+9.83+19.8+46.52+146.04+84.68+28.5+138.74+85.42+7.3+4.42)</f>
        <v>846.3</v>
      </c>
      <c r="H30" s="20">
        <f t="shared" si="3"/>
        <v>-346.3</v>
      </c>
      <c r="I30" s="31">
        <v>500.0</v>
      </c>
      <c r="J30" s="11"/>
      <c r="K30" s="11"/>
      <c r="L30" s="11"/>
      <c r="M30" s="11"/>
      <c r="N30" s="11"/>
    </row>
    <row r="31">
      <c r="A31" s="11"/>
      <c r="B31" s="29" t="s">
        <v>29</v>
      </c>
      <c r="C31" s="11"/>
      <c r="D31" s="11"/>
      <c r="E31" s="13"/>
      <c r="F31" s="14">
        <v>500.0</v>
      </c>
      <c r="G31" s="20">
        <f>SUM(62.96+95.35+34.97+25.43+10.59+50.12+67.86)</f>
        <v>347.28</v>
      </c>
      <c r="H31" s="20">
        <f t="shared" si="3"/>
        <v>152.72</v>
      </c>
      <c r="I31" s="31">
        <v>500.0</v>
      </c>
      <c r="J31" s="11"/>
      <c r="K31" s="11"/>
      <c r="L31" s="11"/>
      <c r="M31" s="11"/>
      <c r="N31" s="11"/>
    </row>
    <row r="32">
      <c r="A32" s="11"/>
      <c r="B32" s="29" t="s">
        <v>30</v>
      </c>
      <c r="C32" s="11"/>
      <c r="D32" s="11"/>
      <c r="E32" s="13"/>
      <c r="F32" s="14">
        <v>150.0</v>
      </c>
      <c r="G32" s="20">
        <f>SUM(89.01+25)</f>
        <v>114.01</v>
      </c>
      <c r="H32" s="20">
        <f t="shared" si="3"/>
        <v>35.99</v>
      </c>
      <c r="I32" s="31">
        <v>200.0</v>
      </c>
      <c r="J32" s="11"/>
      <c r="K32" s="11"/>
      <c r="L32" s="11"/>
      <c r="M32" s="11"/>
      <c r="N32" s="11"/>
    </row>
    <row r="33">
      <c r="A33" s="11"/>
      <c r="B33" s="12" t="s">
        <v>31</v>
      </c>
      <c r="C33" s="11"/>
      <c r="D33" s="11"/>
      <c r="E33" s="13"/>
      <c r="F33" s="14">
        <v>150.0</v>
      </c>
      <c r="G33" s="20">
        <f>SUM(84)</f>
        <v>84</v>
      </c>
      <c r="H33" s="20">
        <f t="shared" si="3"/>
        <v>66</v>
      </c>
      <c r="I33" s="31">
        <v>150.0</v>
      </c>
      <c r="J33" s="11"/>
      <c r="K33" s="11"/>
      <c r="L33" s="11"/>
      <c r="M33" s="11"/>
      <c r="N33" s="11"/>
    </row>
    <row r="34">
      <c r="A34" s="11"/>
      <c r="B34" s="32" t="s">
        <v>32</v>
      </c>
      <c r="C34" s="33"/>
      <c r="D34" s="33"/>
      <c r="E34" s="34"/>
      <c r="F34" s="35">
        <v>200.0</v>
      </c>
      <c r="G34" s="14">
        <f>SUM(246+14)</f>
        <v>260</v>
      </c>
      <c r="H34" s="20">
        <f t="shared" si="3"/>
        <v>-60</v>
      </c>
      <c r="I34" s="36">
        <v>200.0</v>
      </c>
      <c r="J34" s="11"/>
      <c r="K34" s="11"/>
      <c r="L34" s="11"/>
      <c r="M34" s="11"/>
      <c r="N34" s="11"/>
    </row>
    <row r="35">
      <c r="A35" s="11"/>
      <c r="B35" s="32" t="s">
        <v>33</v>
      </c>
      <c r="C35" s="33"/>
      <c r="D35" s="33"/>
      <c r="E35" s="34"/>
      <c r="F35" s="35">
        <v>500.0</v>
      </c>
      <c r="G35" s="14">
        <v>14.99</v>
      </c>
      <c r="H35" s="20">
        <f t="shared" si="3"/>
        <v>485.01</v>
      </c>
      <c r="I35" s="36">
        <v>500.0</v>
      </c>
      <c r="J35" s="11"/>
      <c r="K35" s="11"/>
      <c r="L35" s="11"/>
      <c r="M35" s="11"/>
      <c r="N35" s="11"/>
    </row>
    <row r="36">
      <c r="A36" s="11"/>
      <c r="B36" s="32" t="s">
        <v>23</v>
      </c>
      <c r="C36" s="33"/>
      <c r="D36" s="33"/>
      <c r="E36" s="34"/>
      <c r="F36" s="35">
        <v>2100.0</v>
      </c>
      <c r="G36" s="14">
        <f>SUM(452+56.13+29.66+279.68+17.99+20.13+13.35+169.28+216.1+44.51+112.99+203.92+25.97+215.3+22.29+165.83)</f>
        <v>2045.13</v>
      </c>
      <c r="H36" s="20">
        <f>+G36-F36</f>
        <v>-54.87</v>
      </c>
      <c r="I36" s="36">
        <v>500.0</v>
      </c>
      <c r="J36" s="11"/>
      <c r="K36" s="11"/>
      <c r="L36" s="11"/>
      <c r="M36" s="11"/>
      <c r="N36" s="11"/>
    </row>
    <row r="37">
      <c r="A37" s="11"/>
      <c r="B37" s="32" t="s">
        <v>34</v>
      </c>
      <c r="C37" s="33"/>
      <c r="D37" s="33"/>
      <c r="E37" s="34"/>
      <c r="F37" s="35">
        <v>1250.0</v>
      </c>
      <c r="G37" s="14">
        <v>2560.0</v>
      </c>
      <c r="H37" s="20">
        <f t="shared" ref="H37:H39" si="4">+F37-G37</f>
        <v>-1310</v>
      </c>
      <c r="I37" s="36">
        <v>1750.0</v>
      </c>
      <c r="J37" s="11"/>
      <c r="K37" s="11"/>
      <c r="L37" s="11"/>
      <c r="M37" s="11"/>
      <c r="N37" s="11"/>
    </row>
    <row r="38">
      <c r="A38" s="11"/>
      <c r="B38" s="32" t="s">
        <v>17</v>
      </c>
      <c r="C38" s="33"/>
      <c r="D38" s="33"/>
      <c r="E38" s="34"/>
      <c r="F38" s="35">
        <v>4600.0</v>
      </c>
      <c r="G38" s="35">
        <v>4809.11</v>
      </c>
      <c r="H38" s="20">
        <f t="shared" si="4"/>
        <v>-209.11</v>
      </c>
      <c r="I38" s="36">
        <v>5000.0</v>
      </c>
      <c r="J38" s="11"/>
      <c r="K38" s="11"/>
      <c r="L38" s="11"/>
      <c r="M38" s="11"/>
      <c r="N38" s="11"/>
    </row>
    <row r="39">
      <c r="A39" s="11"/>
      <c r="B39" s="32" t="s">
        <v>18</v>
      </c>
      <c r="C39" s="33"/>
      <c r="D39" s="33"/>
      <c r="E39" s="34"/>
      <c r="F39" s="35">
        <v>145.0</v>
      </c>
      <c r="G39" s="35">
        <f>SUM(7.4+10.51+124.1)</f>
        <v>142.01</v>
      </c>
      <c r="H39" s="20">
        <f t="shared" si="4"/>
        <v>2.99</v>
      </c>
      <c r="I39" s="36">
        <v>0.0</v>
      </c>
      <c r="J39" s="17" t="s">
        <v>19</v>
      </c>
      <c r="K39" s="11"/>
      <c r="L39" s="11"/>
      <c r="M39" s="11"/>
      <c r="N39" s="11"/>
    </row>
    <row r="40">
      <c r="A40" s="11"/>
      <c r="B40" s="32" t="s">
        <v>35</v>
      </c>
      <c r="C40" s="33"/>
      <c r="D40" s="33"/>
      <c r="E40" s="34"/>
      <c r="F40" s="35">
        <v>300.0</v>
      </c>
      <c r="G40" s="35">
        <v>415.2</v>
      </c>
      <c r="H40" s="20">
        <f>+G40-F40</f>
        <v>115.2</v>
      </c>
      <c r="I40" s="36">
        <v>0.0</v>
      </c>
      <c r="J40" s="17" t="s">
        <v>19</v>
      </c>
      <c r="K40" s="11"/>
      <c r="L40" s="11"/>
      <c r="M40" s="11"/>
      <c r="N40" s="11"/>
    </row>
    <row r="41">
      <c r="A41" s="11"/>
      <c r="B41" s="32" t="s">
        <v>36</v>
      </c>
      <c r="C41" s="33"/>
      <c r="D41" s="33"/>
      <c r="E41" s="34"/>
      <c r="F41" s="35">
        <v>14600.0</v>
      </c>
      <c r="G41" s="35">
        <v>14568.61</v>
      </c>
      <c r="H41" s="20">
        <f t="shared" ref="H41:H42" si="5">+F41-G41</f>
        <v>31.39</v>
      </c>
      <c r="I41" s="36">
        <v>1750.0</v>
      </c>
      <c r="J41" s="11"/>
      <c r="K41" s="11"/>
      <c r="L41" s="11"/>
      <c r="M41" s="11"/>
      <c r="N41" s="11"/>
    </row>
    <row r="42">
      <c r="A42" s="11"/>
      <c r="B42" s="32" t="s">
        <v>37</v>
      </c>
      <c r="C42" s="33"/>
      <c r="D42" s="33"/>
      <c r="E42" s="34"/>
      <c r="F42" s="35">
        <v>340.0</v>
      </c>
      <c r="G42" s="35">
        <v>349.8</v>
      </c>
      <c r="H42" s="20">
        <f t="shared" si="5"/>
        <v>-9.8</v>
      </c>
      <c r="I42" s="36">
        <v>350.0</v>
      </c>
      <c r="J42" s="11"/>
      <c r="K42" s="11"/>
      <c r="L42" s="11"/>
      <c r="M42" s="11"/>
      <c r="N42" s="11"/>
    </row>
    <row r="43">
      <c r="A43" s="11"/>
      <c r="B43" s="11"/>
      <c r="C43" s="11"/>
      <c r="D43" s="11"/>
      <c r="E43" s="13"/>
      <c r="F43" s="22"/>
      <c r="G43" s="22"/>
      <c r="H43" s="22"/>
      <c r="I43" s="13"/>
      <c r="J43" s="11"/>
      <c r="K43" s="11"/>
      <c r="L43" s="11"/>
      <c r="M43" s="11"/>
      <c r="N43" s="11"/>
    </row>
    <row r="44">
      <c r="A44" s="11"/>
      <c r="B44" s="11"/>
      <c r="C44" s="11"/>
      <c r="D44" s="11"/>
      <c r="E44" s="37" t="s">
        <v>38</v>
      </c>
      <c r="F44" s="25">
        <f>SUM(F27:F43)</f>
        <v>26035</v>
      </c>
      <c r="G44" s="25">
        <f>SUM(G28:G42)</f>
        <v>27082.04</v>
      </c>
      <c r="H44" s="25">
        <f>SUM(H27:H43)</f>
        <v>-926.38</v>
      </c>
      <c r="I44" s="25">
        <f>SUM(I27:I33)</f>
        <v>2050</v>
      </c>
      <c r="J44" s="11"/>
      <c r="K44" s="11"/>
      <c r="L44" s="11"/>
      <c r="M44" s="11"/>
      <c r="N44" s="11"/>
    </row>
    <row r="45">
      <c r="A45" s="11"/>
      <c r="B45" s="11"/>
      <c r="C45" s="11"/>
      <c r="D45" s="11"/>
      <c r="E45" s="13"/>
      <c r="F45" s="22"/>
      <c r="G45" s="22"/>
      <c r="H45" s="22"/>
      <c r="I45" s="13"/>
      <c r="J45" s="11"/>
      <c r="K45" s="11"/>
      <c r="L45" s="11"/>
      <c r="M45" s="11"/>
      <c r="N45" s="11"/>
    </row>
    <row r="46">
      <c r="A46" s="27" t="s">
        <v>39</v>
      </c>
      <c r="B46" s="11"/>
      <c r="C46" s="11"/>
      <c r="D46" s="11"/>
      <c r="E46" s="13"/>
      <c r="F46" s="22"/>
      <c r="G46" s="22"/>
      <c r="H46" s="22"/>
      <c r="I46" s="22"/>
      <c r="J46" s="11"/>
      <c r="K46" s="11"/>
      <c r="L46" s="11"/>
      <c r="M46" s="11"/>
      <c r="N46" s="11"/>
    </row>
    <row r="47">
      <c r="A47" s="11"/>
      <c r="B47" s="11"/>
      <c r="C47" s="11"/>
      <c r="D47" s="11"/>
      <c r="E47" s="13"/>
      <c r="F47" s="22"/>
      <c r="G47" s="22"/>
      <c r="H47" s="22"/>
      <c r="I47" s="13"/>
      <c r="J47" s="11"/>
      <c r="K47" s="11"/>
      <c r="L47" s="11"/>
      <c r="M47" s="11"/>
      <c r="N47" s="11"/>
    </row>
    <row r="48">
      <c r="A48" s="11"/>
      <c r="B48" s="29" t="s">
        <v>40</v>
      </c>
      <c r="C48" s="11"/>
      <c r="D48" s="11"/>
      <c r="E48" s="13"/>
      <c r="F48" s="22"/>
      <c r="G48" s="22"/>
      <c r="H48" s="22"/>
      <c r="I48" s="13"/>
      <c r="J48" s="11"/>
      <c r="K48" s="38"/>
      <c r="L48" s="11"/>
      <c r="M48" s="11"/>
      <c r="N48" s="11"/>
    </row>
    <row r="49">
      <c r="A49" s="11"/>
      <c r="B49" s="11"/>
      <c r="C49" s="39" t="s">
        <v>41</v>
      </c>
      <c r="D49" s="11"/>
      <c r="E49" s="11"/>
      <c r="F49" s="14">
        <v>250.0</v>
      </c>
      <c r="G49" s="20">
        <f>SUM(115.8+122.41)</f>
        <v>238.21</v>
      </c>
      <c r="H49" s="20">
        <f t="shared" ref="H49:H57" si="6">+F49-G49</f>
        <v>11.79</v>
      </c>
      <c r="I49" s="31">
        <v>300.0</v>
      </c>
      <c r="J49" s="11"/>
      <c r="K49" s="40"/>
      <c r="L49" s="11"/>
      <c r="M49" s="11"/>
      <c r="N49" s="11"/>
    </row>
    <row r="50">
      <c r="A50" s="11"/>
      <c r="B50" s="11"/>
      <c r="C50" s="41" t="s">
        <v>42</v>
      </c>
      <c r="D50" s="11"/>
      <c r="E50" s="11"/>
      <c r="F50" s="14">
        <v>250.0</v>
      </c>
      <c r="G50" s="20">
        <f>SUM(281.64+19.64+171.09+63.82)</f>
        <v>536.19</v>
      </c>
      <c r="H50" s="20">
        <f t="shared" si="6"/>
        <v>-286.19</v>
      </c>
      <c r="I50" s="31">
        <v>300.0</v>
      </c>
      <c r="J50" s="11"/>
      <c r="K50" s="40"/>
      <c r="L50" s="11"/>
      <c r="M50" s="11"/>
      <c r="N50" s="11"/>
    </row>
    <row r="51">
      <c r="A51" s="11"/>
      <c r="B51" s="11"/>
      <c r="C51" s="39" t="s">
        <v>43</v>
      </c>
      <c r="D51" s="11"/>
      <c r="E51" s="11"/>
      <c r="F51" s="14">
        <v>100.0</v>
      </c>
      <c r="G51" s="14">
        <v>30.0</v>
      </c>
      <c r="H51" s="20">
        <f t="shared" si="6"/>
        <v>70</v>
      </c>
      <c r="I51" s="31">
        <v>0.0</v>
      </c>
      <c r="J51" s="17" t="s">
        <v>44</v>
      </c>
      <c r="K51" s="11"/>
      <c r="L51" s="11"/>
      <c r="M51" s="11"/>
      <c r="N51" s="11"/>
    </row>
    <row r="52">
      <c r="A52" s="11"/>
      <c r="B52" s="11"/>
      <c r="C52" s="39" t="s">
        <v>45</v>
      </c>
      <c r="D52" s="11"/>
      <c r="E52" s="11"/>
      <c r="F52" s="14">
        <v>100.0</v>
      </c>
      <c r="G52" s="20">
        <f>SUM(17.75+10+6.1+39.59+56.84)</f>
        <v>130.28</v>
      </c>
      <c r="H52" s="20">
        <f t="shared" si="6"/>
        <v>-30.28</v>
      </c>
      <c r="I52" s="31">
        <v>200.0</v>
      </c>
      <c r="J52" s="11"/>
      <c r="K52" s="11"/>
      <c r="L52" s="11"/>
      <c r="M52" s="11"/>
      <c r="N52" s="11"/>
    </row>
    <row r="53">
      <c r="A53" s="11"/>
      <c r="B53" s="11"/>
      <c r="C53" s="39" t="s">
        <v>46</v>
      </c>
      <c r="D53" s="11"/>
      <c r="E53" s="11"/>
      <c r="F53" s="14">
        <v>50.0</v>
      </c>
      <c r="G53" s="20">
        <f>SUM(29.73)</f>
        <v>29.73</v>
      </c>
      <c r="H53" s="20">
        <f t="shared" si="6"/>
        <v>20.27</v>
      </c>
      <c r="I53" s="31">
        <v>0.0</v>
      </c>
      <c r="J53" s="17" t="s">
        <v>47</v>
      </c>
      <c r="K53" s="11"/>
      <c r="L53" s="11"/>
      <c r="M53" s="11"/>
      <c r="N53" s="11"/>
    </row>
    <row r="54">
      <c r="A54" s="11"/>
      <c r="B54" s="11"/>
      <c r="C54" s="39" t="s">
        <v>48</v>
      </c>
      <c r="D54" s="11"/>
      <c r="E54" s="11"/>
      <c r="F54" s="14">
        <v>50.0</v>
      </c>
      <c r="G54" s="20">
        <f>SUM(23.83+6.63+25.18+6.36+16.95)</f>
        <v>78.95</v>
      </c>
      <c r="H54" s="20">
        <f t="shared" si="6"/>
        <v>-28.95</v>
      </c>
      <c r="I54" s="31">
        <v>150.0</v>
      </c>
      <c r="J54" s="11"/>
      <c r="K54" s="11"/>
      <c r="L54" s="11"/>
      <c r="M54" s="11"/>
      <c r="N54" s="11"/>
    </row>
    <row r="55">
      <c r="A55" s="11"/>
      <c r="B55" s="11"/>
      <c r="C55" s="39" t="s">
        <v>49</v>
      </c>
      <c r="D55" s="11"/>
      <c r="E55" s="11"/>
      <c r="F55" s="14">
        <v>50.0</v>
      </c>
      <c r="G55" s="20">
        <f>SUM(13.25)</f>
        <v>13.25</v>
      </c>
      <c r="H55" s="20">
        <f t="shared" si="6"/>
        <v>36.75</v>
      </c>
      <c r="I55" s="31">
        <v>150.0</v>
      </c>
      <c r="J55" s="11"/>
      <c r="K55" s="11"/>
      <c r="L55" s="11"/>
      <c r="M55" s="11"/>
      <c r="N55" s="11"/>
    </row>
    <row r="56">
      <c r="A56" s="11"/>
      <c r="B56" s="11"/>
      <c r="C56" s="39" t="s">
        <v>50</v>
      </c>
      <c r="D56" s="11"/>
      <c r="E56" s="11"/>
      <c r="F56" s="14">
        <v>50.0</v>
      </c>
      <c r="G56" s="20">
        <f>SUM(21.19+95.45)</f>
        <v>116.64</v>
      </c>
      <c r="H56" s="20">
        <f t="shared" si="6"/>
        <v>-66.64</v>
      </c>
      <c r="I56" s="31">
        <v>200.0</v>
      </c>
      <c r="J56" s="11"/>
      <c r="K56" s="11"/>
      <c r="L56" s="11"/>
      <c r="M56" s="11"/>
      <c r="N56" s="11"/>
    </row>
    <row r="57">
      <c r="A57" s="11"/>
      <c r="B57" s="11"/>
      <c r="C57" s="39" t="s">
        <v>51</v>
      </c>
      <c r="D57" s="11"/>
      <c r="E57" s="11"/>
      <c r="F57" s="14">
        <v>100.0</v>
      </c>
      <c r="G57" s="20">
        <f>SUM(14.52+73.94)</f>
        <v>88.46</v>
      </c>
      <c r="H57" s="20">
        <f t="shared" si="6"/>
        <v>11.54</v>
      </c>
      <c r="I57" s="31">
        <v>200.0</v>
      </c>
      <c r="J57" s="11"/>
      <c r="K57" s="11"/>
      <c r="L57" s="11"/>
      <c r="M57" s="11"/>
      <c r="N57" s="11"/>
    </row>
    <row r="58">
      <c r="A58" s="11"/>
      <c r="B58" s="11"/>
      <c r="C58" s="11"/>
      <c r="D58" s="11"/>
      <c r="E58" s="11"/>
      <c r="F58" s="22"/>
      <c r="G58" s="22"/>
      <c r="H58" s="42"/>
      <c r="I58" s="43"/>
      <c r="J58" s="44"/>
      <c r="K58" s="11"/>
      <c r="L58" s="11"/>
      <c r="M58" s="11"/>
      <c r="N58" s="11"/>
    </row>
    <row r="59">
      <c r="A59" s="11"/>
      <c r="B59" s="11"/>
      <c r="C59" s="11"/>
      <c r="D59" s="11"/>
      <c r="E59" s="11"/>
      <c r="F59" s="22"/>
      <c r="G59" s="45"/>
      <c r="H59" s="11"/>
      <c r="I59" s="46" t="s">
        <v>52</v>
      </c>
      <c r="J59" s="47">
        <f>SUM(I49:I57)</f>
        <v>1500</v>
      </c>
      <c r="K59" s="11"/>
      <c r="L59" s="11"/>
      <c r="M59" s="11"/>
      <c r="N59" s="11"/>
    </row>
    <row r="60">
      <c r="A60" s="11"/>
      <c r="B60" s="11"/>
      <c r="C60" s="11"/>
      <c r="D60" s="11"/>
      <c r="E60" s="11"/>
      <c r="F60" s="22"/>
      <c r="G60" s="45"/>
      <c r="H60" s="44"/>
      <c r="I60" s="48" t="s">
        <v>53</v>
      </c>
      <c r="J60" s="49">
        <f>+J59/I76</f>
        <v>0.1425855513</v>
      </c>
      <c r="K60" s="11"/>
      <c r="L60" s="11"/>
      <c r="M60" s="11"/>
      <c r="N60" s="11"/>
    </row>
    <row r="61">
      <c r="A61" s="11"/>
      <c r="B61" s="11"/>
      <c r="C61" s="11"/>
      <c r="D61" s="11"/>
      <c r="E61" s="11"/>
      <c r="F61" s="22"/>
      <c r="G61" s="22"/>
      <c r="H61" s="22"/>
      <c r="I61" s="13"/>
      <c r="J61" s="11"/>
      <c r="K61" s="11"/>
      <c r="L61" s="11"/>
      <c r="M61" s="11"/>
      <c r="N61" s="11"/>
    </row>
    <row r="62">
      <c r="A62" s="11"/>
      <c r="B62" s="12" t="s">
        <v>54</v>
      </c>
      <c r="C62" s="11"/>
      <c r="D62" s="11"/>
      <c r="E62" s="11"/>
      <c r="F62" s="14">
        <v>120.0</v>
      </c>
      <c r="G62" s="14">
        <v>120.0</v>
      </c>
      <c r="H62" s="20">
        <f t="shared" ref="H62:H72" si="7">+F62-G62</f>
        <v>0</v>
      </c>
      <c r="I62" s="31">
        <v>120.0</v>
      </c>
      <c r="J62" s="11"/>
      <c r="K62" s="11"/>
      <c r="L62" s="11"/>
      <c r="M62" s="11"/>
      <c r="N62" s="11"/>
    </row>
    <row r="63">
      <c r="A63" s="11"/>
      <c r="B63" s="29" t="s">
        <v>55</v>
      </c>
      <c r="C63" s="11"/>
      <c r="D63" s="11"/>
      <c r="E63" s="13"/>
      <c r="F63" s="20">
        <v>100.0</v>
      </c>
      <c r="G63" s="20">
        <v>63.59</v>
      </c>
      <c r="H63" s="20">
        <f t="shared" si="7"/>
        <v>36.41</v>
      </c>
      <c r="I63" s="30">
        <v>100.0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>
      <c r="A64" s="11"/>
      <c r="B64" s="29" t="s">
        <v>56</v>
      </c>
      <c r="C64" s="11"/>
      <c r="D64" s="11"/>
      <c r="E64" s="13"/>
      <c r="F64" s="20">
        <v>1400.0</v>
      </c>
      <c r="G64" s="20">
        <f>SUM(32.86+28.61+185.4+430.16+14.83+25.74)</f>
        <v>717.6</v>
      </c>
      <c r="H64" s="20">
        <f t="shared" si="7"/>
        <v>682.4</v>
      </c>
      <c r="I64" s="30">
        <v>1000.0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>
      <c r="A65" s="11"/>
      <c r="B65" s="12" t="s">
        <v>57</v>
      </c>
      <c r="C65" s="11"/>
      <c r="D65" s="11"/>
      <c r="E65" s="11"/>
      <c r="F65" s="14">
        <v>150.0</v>
      </c>
      <c r="G65" s="14">
        <v>112.44</v>
      </c>
      <c r="H65" s="20">
        <f t="shared" si="7"/>
        <v>37.56</v>
      </c>
      <c r="I65" s="31">
        <v>150.0</v>
      </c>
      <c r="J65" s="11"/>
      <c r="K65" s="11"/>
      <c r="L65" s="11"/>
      <c r="M65" s="11"/>
      <c r="N65" s="11"/>
    </row>
    <row r="66">
      <c r="A66" s="11"/>
      <c r="B66" s="12" t="s">
        <v>58</v>
      </c>
      <c r="C66" s="11"/>
      <c r="D66" s="11"/>
      <c r="E66" s="11"/>
      <c r="F66" s="14">
        <v>100.0</v>
      </c>
      <c r="G66" s="14">
        <v>27.54</v>
      </c>
      <c r="H66" s="20">
        <f t="shared" si="7"/>
        <v>72.46</v>
      </c>
      <c r="I66" s="31">
        <v>100.0</v>
      </c>
      <c r="J66" s="11"/>
      <c r="K66" s="11"/>
      <c r="L66" s="11"/>
      <c r="M66" s="11"/>
      <c r="N66" s="11"/>
    </row>
    <row r="67">
      <c r="A67" s="11"/>
      <c r="B67" s="12" t="s">
        <v>59</v>
      </c>
      <c r="C67" s="11"/>
      <c r="D67" s="11"/>
      <c r="E67" s="11"/>
      <c r="F67" s="14">
        <v>150.0</v>
      </c>
      <c r="G67" s="14">
        <v>98.23</v>
      </c>
      <c r="H67" s="15">
        <f t="shared" si="7"/>
        <v>51.77</v>
      </c>
      <c r="I67" s="31">
        <v>150.0</v>
      </c>
      <c r="J67" s="11"/>
      <c r="K67" s="11"/>
      <c r="L67" s="11"/>
      <c r="M67" s="11"/>
      <c r="N67" s="11"/>
    </row>
    <row r="68">
      <c r="A68" s="11"/>
      <c r="B68" s="12" t="s">
        <v>60</v>
      </c>
      <c r="C68" s="11"/>
      <c r="D68" s="11"/>
      <c r="E68" s="11"/>
      <c r="F68" s="14">
        <v>4500.0</v>
      </c>
      <c r="G68" s="14">
        <v>3397.0</v>
      </c>
      <c r="H68" s="20">
        <f t="shared" si="7"/>
        <v>1103</v>
      </c>
      <c r="I68" s="31">
        <v>4500.0</v>
      </c>
      <c r="J68" s="11"/>
      <c r="K68" s="11"/>
      <c r="L68" s="11"/>
      <c r="M68" s="11"/>
      <c r="N68" s="11"/>
    </row>
    <row r="69">
      <c r="A69" s="11"/>
      <c r="B69" s="12" t="s">
        <v>61</v>
      </c>
      <c r="C69" s="11"/>
      <c r="D69" s="11"/>
      <c r="E69" s="11"/>
      <c r="F69" s="14">
        <v>450.0</v>
      </c>
      <c r="G69" s="14">
        <v>436.0</v>
      </c>
      <c r="H69" s="20">
        <f t="shared" si="7"/>
        <v>14</v>
      </c>
      <c r="I69" s="31">
        <v>450.0</v>
      </c>
      <c r="J69" s="11"/>
      <c r="K69" s="11"/>
      <c r="L69" s="11"/>
      <c r="M69" s="11"/>
      <c r="N69" s="11"/>
    </row>
    <row r="70">
      <c r="A70" s="11"/>
      <c r="B70" s="12" t="s">
        <v>62</v>
      </c>
      <c r="C70" s="11"/>
      <c r="D70" s="11"/>
      <c r="E70" s="11"/>
      <c r="F70" s="14">
        <v>0.0</v>
      </c>
      <c r="G70" s="14">
        <f>SUM(176.49+2.49)</f>
        <v>178.98</v>
      </c>
      <c r="H70" s="20">
        <f t="shared" si="7"/>
        <v>-178.98</v>
      </c>
      <c r="I70" s="31">
        <v>200.0</v>
      </c>
      <c r="J70" s="11"/>
      <c r="K70" s="11"/>
      <c r="L70" s="11"/>
      <c r="M70" s="11"/>
      <c r="N70" s="11"/>
    </row>
    <row r="71">
      <c r="A71" s="11"/>
      <c r="B71" s="12" t="s">
        <v>63</v>
      </c>
      <c r="C71" s="11"/>
      <c r="D71" s="11"/>
      <c r="E71" s="11"/>
      <c r="F71" s="14">
        <v>100.0</v>
      </c>
      <c r="G71" s="14">
        <v>12.86</v>
      </c>
      <c r="H71" s="20">
        <f t="shared" si="7"/>
        <v>87.14</v>
      </c>
      <c r="I71" s="31">
        <v>100.0</v>
      </c>
      <c r="J71" s="11"/>
      <c r="K71" s="11"/>
      <c r="L71" s="11"/>
      <c r="M71" s="11"/>
      <c r="N71" s="11"/>
    </row>
    <row r="72">
      <c r="A72" s="11"/>
      <c r="B72" s="12" t="s">
        <v>64</v>
      </c>
      <c r="C72" s="11"/>
      <c r="D72" s="11"/>
      <c r="E72" s="11"/>
      <c r="F72" s="14">
        <v>100.0</v>
      </c>
      <c r="G72" s="14">
        <v>100.0</v>
      </c>
      <c r="H72" s="20">
        <f t="shared" si="7"/>
        <v>0</v>
      </c>
      <c r="I72" s="31">
        <v>100.0</v>
      </c>
      <c r="J72" s="11"/>
      <c r="K72" s="11"/>
      <c r="L72" s="11"/>
      <c r="M72" s="11"/>
      <c r="N72" s="11"/>
    </row>
    <row r="73">
      <c r="A73" s="11"/>
      <c r="B73" s="11"/>
      <c r="C73" s="11"/>
      <c r="D73" s="11"/>
      <c r="E73" s="11"/>
      <c r="F73" s="22"/>
      <c r="G73" s="22"/>
      <c r="H73" s="22"/>
      <c r="I73" s="11"/>
      <c r="J73" s="11"/>
      <c r="K73" s="11"/>
      <c r="L73" s="11"/>
      <c r="M73" s="11"/>
      <c r="N73" s="11"/>
    </row>
    <row r="74">
      <c r="A74" s="11"/>
      <c r="B74" s="11"/>
      <c r="C74" s="11"/>
      <c r="D74" s="11"/>
      <c r="E74" s="27" t="s">
        <v>65</v>
      </c>
      <c r="F74" s="25">
        <f t="shared" ref="F74:I74" si="8">SUM(F49:F72)</f>
        <v>8170</v>
      </c>
      <c r="G74" s="25">
        <f t="shared" si="8"/>
        <v>6525.95</v>
      </c>
      <c r="H74" s="25">
        <f t="shared" si="8"/>
        <v>1644.05</v>
      </c>
      <c r="I74" s="25">
        <f t="shared" si="8"/>
        <v>8470</v>
      </c>
      <c r="J74" s="11"/>
      <c r="K74" s="11"/>
      <c r="L74" s="11"/>
      <c r="M74" s="11"/>
      <c r="N74" s="11"/>
    </row>
    <row r="75">
      <c r="A75" s="11"/>
      <c r="B75" s="11"/>
      <c r="C75" s="11"/>
      <c r="D75" s="11"/>
      <c r="E75" s="11"/>
      <c r="F75" s="22"/>
      <c r="G75" s="22"/>
      <c r="H75" s="22"/>
      <c r="I75" s="22"/>
      <c r="J75" s="11"/>
      <c r="K75" s="11"/>
      <c r="L75" s="11"/>
      <c r="M75" s="11"/>
      <c r="N75" s="11"/>
    </row>
    <row r="76">
      <c r="A76" s="11"/>
      <c r="B76" s="11"/>
      <c r="C76" s="11"/>
      <c r="D76" s="11"/>
      <c r="E76" s="24" t="s">
        <v>66</v>
      </c>
      <c r="F76" s="25">
        <f t="shared" ref="F76:I76" si="9">+F44+F74</f>
        <v>34205</v>
      </c>
      <c r="G76" s="25">
        <f t="shared" si="9"/>
        <v>33607.99</v>
      </c>
      <c r="H76" s="25">
        <f t="shared" si="9"/>
        <v>717.67</v>
      </c>
      <c r="I76" s="25">
        <f t="shared" si="9"/>
        <v>10520</v>
      </c>
      <c r="J76" s="11"/>
      <c r="K76" s="11"/>
      <c r="L76" s="11"/>
      <c r="M76" s="11"/>
      <c r="N76" s="11"/>
    </row>
    <row r="77">
      <c r="A77" s="11"/>
      <c r="B77" s="11"/>
      <c r="C77" s="11"/>
      <c r="D77" s="11"/>
      <c r="E77" s="11"/>
      <c r="F77" s="22"/>
      <c r="G77" s="22"/>
      <c r="H77" s="22"/>
      <c r="I77" s="11"/>
      <c r="J77" s="11"/>
      <c r="K77" s="11"/>
      <c r="L77" s="11"/>
      <c r="M77" s="11"/>
      <c r="N77" s="11"/>
    </row>
    <row r="78">
      <c r="A78" s="50" t="s">
        <v>67</v>
      </c>
      <c r="B78" s="11"/>
      <c r="C78" s="11"/>
      <c r="D78" s="11"/>
      <c r="E78" s="11"/>
      <c r="F78" s="51">
        <f t="shared" ref="F78:I78" si="10">+F24-F76</f>
        <v>-1705</v>
      </c>
      <c r="G78" s="52">
        <f t="shared" si="10"/>
        <v>3426.82</v>
      </c>
      <c r="H78" s="53">
        <f t="shared" si="10"/>
        <v>3817.14</v>
      </c>
      <c r="I78" s="52">
        <f t="shared" si="10"/>
        <v>21980</v>
      </c>
      <c r="J78" s="11"/>
      <c r="K78" s="11"/>
      <c r="L78" s="11"/>
      <c r="M78" s="11"/>
      <c r="N78" s="11"/>
    </row>
    <row r="79">
      <c r="A79" s="11"/>
      <c r="B79" s="11"/>
      <c r="C79" s="11"/>
      <c r="D79" s="11"/>
      <c r="E79" s="11"/>
      <c r="F79" s="22"/>
      <c r="G79" s="22"/>
      <c r="H79" s="22"/>
      <c r="I79" s="22"/>
      <c r="J79" s="11"/>
      <c r="K79" s="11"/>
      <c r="L79" s="11"/>
      <c r="M79" s="11"/>
      <c r="N79" s="11"/>
    </row>
    <row r="80">
      <c r="A80" s="27" t="s">
        <v>68</v>
      </c>
      <c r="B80" s="11"/>
      <c r="C80" s="11"/>
      <c r="D80" s="11"/>
      <c r="E80" s="13"/>
      <c r="F80" s="22"/>
      <c r="G80" s="22"/>
      <c r="H80" s="22"/>
      <c r="I80" s="13"/>
      <c r="J80" s="11"/>
      <c r="K80" s="11"/>
      <c r="L80" s="11"/>
      <c r="M80" s="11"/>
      <c r="N80" s="11"/>
    </row>
    <row r="81">
      <c r="A81" s="11"/>
      <c r="B81" s="11"/>
      <c r="C81" s="11"/>
      <c r="D81" s="11"/>
      <c r="E81" s="13"/>
      <c r="F81" s="22"/>
      <c r="G81" s="22"/>
      <c r="H81" s="22"/>
      <c r="I81" s="13"/>
      <c r="J81" s="11"/>
      <c r="K81" s="11"/>
      <c r="L81" s="11"/>
      <c r="M81" s="11"/>
      <c r="N81" s="11"/>
    </row>
    <row r="82">
      <c r="A82" s="11"/>
      <c r="B82" s="12" t="s">
        <v>69</v>
      </c>
      <c r="C82" s="11"/>
      <c r="D82" s="11"/>
      <c r="E82" s="13"/>
      <c r="F82" s="14">
        <v>438.6</v>
      </c>
      <c r="G82" s="14">
        <v>438.6</v>
      </c>
      <c r="H82" s="20">
        <f t="shared" ref="H82:H83" si="11">+F82-G82</f>
        <v>0</v>
      </c>
      <c r="I82" s="31">
        <v>0.0</v>
      </c>
      <c r="J82" s="11"/>
      <c r="K82" s="11"/>
      <c r="L82" s="11"/>
      <c r="M82" s="11"/>
      <c r="N82" s="11"/>
    </row>
    <row r="83">
      <c r="A83" s="11"/>
      <c r="B83" s="12" t="s">
        <v>70</v>
      </c>
      <c r="C83" s="11"/>
      <c r="D83" s="11"/>
      <c r="E83" s="13"/>
      <c r="F83" s="14">
        <v>0.0</v>
      </c>
      <c r="G83" s="14">
        <v>0.0</v>
      </c>
      <c r="H83" s="20">
        <f t="shared" si="11"/>
        <v>0</v>
      </c>
      <c r="I83" s="31">
        <v>500.0</v>
      </c>
      <c r="J83" s="11"/>
      <c r="K83" s="11"/>
      <c r="L83" s="11"/>
      <c r="M83" s="11"/>
      <c r="N83" s="11"/>
    </row>
    <row r="84">
      <c r="A84" s="11"/>
      <c r="B84" s="11"/>
      <c r="C84" s="11"/>
      <c r="D84" s="11"/>
      <c r="E84" s="13"/>
      <c r="F84" s="22"/>
      <c r="G84" s="22"/>
      <c r="H84" s="22"/>
      <c r="I84" s="13"/>
      <c r="J84" s="11"/>
      <c r="K84" s="11"/>
      <c r="L84" s="11"/>
      <c r="M84" s="11"/>
      <c r="N84" s="11"/>
    </row>
    <row r="85">
      <c r="A85" s="50" t="s">
        <v>71</v>
      </c>
      <c r="B85" s="11"/>
      <c r="C85" s="11"/>
      <c r="D85" s="11"/>
      <c r="E85" s="13"/>
      <c r="F85" s="52">
        <f>+F6+F82+F83</f>
        <v>2159.47</v>
      </c>
      <c r="G85" s="52">
        <f t="shared" ref="G85:H85" si="12">+G6+G82</f>
        <v>2159.47</v>
      </c>
      <c r="H85" s="51">
        <f t="shared" si="12"/>
        <v>0</v>
      </c>
      <c r="I85" s="52">
        <f>+I6+I82+I83</f>
        <v>500</v>
      </c>
      <c r="J85" s="11"/>
      <c r="K85" s="11"/>
      <c r="L85" s="11"/>
      <c r="M85" s="11"/>
      <c r="N85" s="11"/>
    </row>
  </sheetData>
  <mergeCells count="9">
    <mergeCell ref="B15:D15"/>
    <mergeCell ref="B20:D20"/>
    <mergeCell ref="A1:J1"/>
    <mergeCell ref="A2:J2"/>
    <mergeCell ref="B10:C10"/>
    <mergeCell ref="B11:C11"/>
    <mergeCell ref="B12:C12"/>
    <mergeCell ref="B13:D13"/>
    <mergeCell ref="B14:D1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38"/>
    <col customWidth="1" min="2" max="2" width="15.38"/>
    <col customWidth="1" min="3" max="3" width="1.88"/>
    <col customWidth="1" min="4" max="4" width="43.0"/>
    <col customWidth="1" min="5" max="5" width="5.63"/>
    <col customWidth="1" min="6" max="9" width="17.75"/>
    <col customWidth="1" min="10" max="10" width="39.88"/>
  </cols>
  <sheetData>
    <row r="1">
      <c r="A1" s="1" t="s">
        <v>0</v>
      </c>
    </row>
    <row r="2">
      <c r="A2" s="1" t="s">
        <v>72</v>
      </c>
    </row>
    <row r="4" ht="32.25" customHeight="1">
      <c r="F4" s="2" t="s">
        <v>2</v>
      </c>
      <c r="G4" s="3" t="s">
        <v>3</v>
      </c>
      <c r="H4" s="3" t="s">
        <v>4</v>
      </c>
      <c r="I4" s="4" t="s">
        <v>5</v>
      </c>
      <c r="J4" s="5" t="s">
        <v>6</v>
      </c>
    </row>
    <row r="5">
      <c r="A5" s="6"/>
      <c r="F5" s="7"/>
      <c r="G5" s="7"/>
      <c r="H5" s="8"/>
      <c r="I5" s="8"/>
    </row>
    <row r="6">
      <c r="A6" s="6" t="s">
        <v>7</v>
      </c>
      <c r="F6" s="16">
        <v>17586.42</v>
      </c>
      <c r="G6" s="16">
        <v>17586.42</v>
      </c>
      <c r="H6" s="10"/>
      <c r="I6" s="9">
        <v>26589.45</v>
      </c>
    </row>
    <row r="7">
      <c r="F7" s="8"/>
    </row>
    <row r="8">
      <c r="A8" s="6" t="s">
        <v>73</v>
      </c>
      <c r="F8" s="8"/>
    </row>
    <row r="9">
      <c r="F9" s="8"/>
    </row>
    <row r="10">
      <c r="B10" s="7" t="s">
        <v>74</v>
      </c>
      <c r="C10" s="8"/>
      <c r="D10" s="54">
        <v>105938.0</v>
      </c>
      <c r="F10" s="8"/>
    </row>
    <row r="11">
      <c r="B11" s="55">
        <v>45356.0</v>
      </c>
      <c r="C11" s="8"/>
      <c r="D11" s="54">
        <v>200355.0</v>
      </c>
      <c r="F11" s="8"/>
    </row>
    <row r="12">
      <c r="B12" s="56" t="s">
        <v>75</v>
      </c>
      <c r="C12" s="8"/>
      <c r="D12" s="54">
        <v>98000.0</v>
      </c>
      <c r="F12" s="8"/>
    </row>
    <row r="13">
      <c r="B13" s="7" t="s">
        <v>76</v>
      </c>
      <c r="D13" s="54">
        <v>14000.0</v>
      </c>
      <c r="F13" s="8"/>
    </row>
    <row r="14">
      <c r="B14" s="7" t="s">
        <v>77</v>
      </c>
      <c r="C14" s="8"/>
      <c r="D14" s="54">
        <v>10716.0</v>
      </c>
      <c r="F14" s="8"/>
    </row>
    <row r="15">
      <c r="B15" s="7" t="s">
        <v>78</v>
      </c>
      <c r="C15" s="8"/>
      <c r="D15" s="54">
        <v>70726.0</v>
      </c>
      <c r="F15" s="8"/>
    </row>
    <row r="16">
      <c r="F16" s="8"/>
    </row>
    <row r="17">
      <c r="A17" s="6" t="s">
        <v>79</v>
      </c>
      <c r="D17" s="57">
        <f>SUM(D10:D15)</f>
        <v>499735</v>
      </c>
      <c r="F17" s="8"/>
    </row>
    <row r="18">
      <c r="F18" s="8"/>
    </row>
    <row r="19">
      <c r="A19" s="6" t="s">
        <v>8</v>
      </c>
      <c r="F19" s="8"/>
    </row>
    <row r="20">
      <c r="F20" s="8"/>
    </row>
    <row r="21">
      <c r="A21" s="11"/>
      <c r="B21" s="12" t="s">
        <v>9</v>
      </c>
      <c r="D21" s="11"/>
      <c r="E21" s="13"/>
      <c r="F21" s="14">
        <v>0.0</v>
      </c>
      <c r="G21" s="14">
        <v>182.0</v>
      </c>
      <c r="H21" s="15">
        <f t="shared" ref="H21:H24" si="1">+G21-F21</f>
        <v>182</v>
      </c>
      <c r="I21" s="16">
        <v>0.0</v>
      </c>
      <c r="J21" s="11"/>
    </row>
    <row r="22">
      <c r="A22" s="11"/>
      <c r="B22" s="12" t="s">
        <v>10</v>
      </c>
      <c r="D22" s="11"/>
      <c r="E22" s="13"/>
      <c r="F22" s="14">
        <v>500.0</v>
      </c>
      <c r="G22" s="14">
        <f>SUM(98)</f>
        <v>98</v>
      </c>
      <c r="H22" s="15">
        <f t="shared" si="1"/>
        <v>-402</v>
      </c>
      <c r="I22" s="16">
        <v>0.0</v>
      </c>
      <c r="J22" s="17" t="s">
        <v>11</v>
      </c>
    </row>
    <row r="23">
      <c r="A23" s="11"/>
      <c r="B23" s="12" t="s">
        <v>80</v>
      </c>
      <c r="C23" s="18"/>
      <c r="D23" s="11"/>
      <c r="E23" s="13"/>
      <c r="F23" s="14">
        <v>3000.0</v>
      </c>
      <c r="G23" s="14">
        <f>SUM(2929.36+245)</f>
        <v>3174.36</v>
      </c>
      <c r="H23" s="20">
        <f t="shared" si="1"/>
        <v>174.36</v>
      </c>
      <c r="I23" s="16">
        <v>4000.0</v>
      </c>
      <c r="J23" s="11"/>
    </row>
    <row r="24">
      <c r="A24" s="11"/>
      <c r="B24" s="12" t="s">
        <v>81</v>
      </c>
      <c r="D24" s="11"/>
      <c r="E24" s="13"/>
      <c r="F24" s="14">
        <v>5000.0</v>
      </c>
      <c r="G24" s="14">
        <f>SUM(850+700+100+850+30+450+500+900+350+1050+300+20+200+920+6+510)</f>
        <v>7736</v>
      </c>
      <c r="H24" s="20">
        <f t="shared" si="1"/>
        <v>2736</v>
      </c>
      <c r="I24" s="16">
        <v>7500.0</v>
      </c>
      <c r="J24" s="11"/>
    </row>
    <row r="25">
      <c r="A25" s="11"/>
      <c r="B25" s="11"/>
      <c r="C25" s="11"/>
      <c r="D25" s="11"/>
      <c r="E25" s="11"/>
      <c r="F25" s="22"/>
      <c r="G25" s="22"/>
      <c r="H25" s="22"/>
      <c r="I25" s="22"/>
      <c r="J25" s="11"/>
    </row>
    <row r="26">
      <c r="A26" s="11"/>
      <c r="B26" s="11"/>
      <c r="C26" s="11"/>
      <c r="D26" s="11"/>
      <c r="E26" s="11"/>
      <c r="F26" s="22"/>
      <c r="G26" s="22"/>
      <c r="H26" s="22"/>
      <c r="I26" s="13"/>
      <c r="J26" s="11"/>
    </row>
    <row r="27">
      <c r="A27" s="11"/>
      <c r="B27" s="11"/>
      <c r="C27" s="11"/>
      <c r="D27" s="23"/>
      <c r="E27" s="24" t="s">
        <v>24</v>
      </c>
      <c r="F27" s="25">
        <f t="shared" ref="F27:I27" si="2">SUM(F23:F25)</f>
        <v>8000</v>
      </c>
      <c r="G27" s="25">
        <f t="shared" si="2"/>
        <v>10910.36</v>
      </c>
      <c r="H27" s="26">
        <f t="shared" si="2"/>
        <v>2910.36</v>
      </c>
      <c r="I27" s="25">
        <f t="shared" si="2"/>
        <v>11500</v>
      </c>
      <c r="J27" s="11"/>
    </row>
    <row r="29">
      <c r="A29" s="27" t="s">
        <v>25</v>
      </c>
      <c r="B29" s="11"/>
      <c r="C29" s="11"/>
      <c r="D29" s="11"/>
      <c r="E29" s="13"/>
      <c r="F29" s="28"/>
      <c r="G29" s="22"/>
      <c r="H29" s="22"/>
      <c r="I29" s="13"/>
      <c r="J29" s="11"/>
      <c r="K29" s="11"/>
      <c r="L29" s="11"/>
      <c r="M29" s="11"/>
      <c r="N29" s="11"/>
    </row>
    <row r="30">
      <c r="A30" s="11"/>
      <c r="B30" s="29"/>
      <c r="C30" s="11"/>
      <c r="D30" s="11"/>
      <c r="E30" s="13"/>
      <c r="F30" s="20"/>
      <c r="G30" s="20"/>
      <c r="H30" s="20"/>
      <c r="I30" s="30"/>
      <c r="J30" s="11"/>
      <c r="K30" s="11"/>
      <c r="L30" s="11"/>
      <c r="M30" s="11"/>
      <c r="N30" s="11"/>
    </row>
    <row r="31">
      <c r="A31" s="11"/>
      <c r="B31" s="12" t="s">
        <v>82</v>
      </c>
      <c r="C31" s="11"/>
      <c r="D31" s="11"/>
      <c r="E31" s="13"/>
      <c r="F31" s="14">
        <v>250.0</v>
      </c>
      <c r="G31" s="14">
        <v>85.42</v>
      </c>
      <c r="H31" s="20">
        <f t="shared" ref="H31:H37" si="3">+F31-G31</f>
        <v>164.58</v>
      </c>
      <c r="I31" s="31">
        <v>250.0</v>
      </c>
      <c r="J31" s="11"/>
      <c r="K31" s="11"/>
      <c r="L31" s="11"/>
      <c r="M31" s="11"/>
      <c r="N31" s="11"/>
    </row>
    <row r="32">
      <c r="A32" s="11"/>
      <c r="B32" s="12" t="s">
        <v>83</v>
      </c>
      <c r="C32" s="11"/>
      <c r="D32" s="11"/>
      <c r="E32" s="13"/>
      <c r="F32" s="14">
        <v>150.0</v>
      </c>
      <c r="G32" s="20">
        <f>SUM(237.6+14.96+40.8+3.49)</f>
        <v>296.85</v>
      </c>
      <c r="H32" s="20">
        <f t="shared" si="3"/>
        <v>-146.85</v>
      </c>
      <c r="I32" s="31">
        <v>150.0</v>
      </c>
      <c r="J32" s="11"/>
      <c r="K32" s="11"/>
      <c r="L32" s="11"/>
      <c r="M32" s="11"/>
      <c r="N32" s="11"/>
    </row>
    <row r="33">
      <c r="A33" s="11"/>
      <c r="B33" s="32" t="s">
        <v>84</v>
      </c>
      <c r="C33" s="33"/>
      <c r="D33" s="33"/>
      <c r="E33" s="34"/>
      <c r="F33" s="35">
        <v>2000.0</v>
      </c>
      <c r="G33" s="14">
        <f>SUM(717.63+211+425)</f>
        <v>1353.63</v>
      </c>
      <c r="H33" s="20">
        <f t="shared" si="3"/>
        <v>646.37</v>
      </c>
      <c r="I33" s="36">
        <v>500.0</v>
      </c>
      <c r="J33" s="11"/>
      <c r="K33" s="11"/>
      <c r="L33" s="11"/>
      <c r="M33" s="11"/>
      <c r="N33" s="11"/>
    </row>
    <row r="34">
      <c r="A34" s="11"/>
      <c r="B34" s="32" t="s">
        <v>85</v>
      </c>
      <c r="C34" s="33"/>
      <c r="D34" s="33"/>
      <c r="E34" s="34"/>
      <c r="F34" s="35">
        <v>200.0</v>
      </c>
      <c r="G34" s="14">
        <v>186.0</v>
      </c>
      <c r="H34" s="20">
        <f t="shared" si="3"/>
        <v>14</v>
      </c>
      <c r="I34" s="36">
        <v>200.0</v>
      </c>
      <c r="J34" s="11"/>
      <c r="K34" s="11"/>
      <c r="L34" s="11"/>
      <c r="M34" s="11"/>
      <c r="N34" s="11"/>
    </row>
    <row r="35">
      <c r="A35" s="11"/>
      <c r="B35" s="32" t="s">
        <v>86</v>
      </c>
      <c r="C35" s="33"/>
      <c r="D35" s="33"/>
      <c r="E35" s="34"/>
      <c r="F35" s="35">
        <v>500.0</v>
      </c>
      <c r="G35" s="14">
        <f>SUM(360.84+35.91+18.01)</f>
        <v>414.76</v>
      </c>
      <c r="H35" s="20">
        <f t="shared" si="3"/>
        <v>85.24</v>
      </c>
      <c r="I35" s="36">
        <v>500.0</v>
      </c>
      <c r="J35" s="11"/>
      <c r="K35" s="11"/>
      <c r="L35" s="11"/>
      <c r="M35" s="11"/>
      <c r="N35" s="11"/>
    </row>
    <row r="36">
      <c r="A36" s="11"/>
      <c r="B36" s="32" t="s">
        <v>87</v>
      </c>
      <c r="C36" s="33"/>
      <c r="D36" s="33"/>
      <c r="E36" s="34"/>
      <c r="F36" s="35">
        <v>200.0</v>
      </c>
      <c r="G36" s="14">
        <f>SUM(100)</f>
        <v>100</v>
      </c>
      <c r="H36" s="20">
        <f t="shared" si="3"/>
        <v>100</v>
      </c>
      <c r="I36" s="36">
        <v>200.0</v>
      </c>
      <c r="J36" s="11"/>
      <c r="K36" s="11"/>
      <c r="L36" s="11"/>
      <c r="M36" s="11"/>
      <c r="N36" s="11"/>
    </row>
    <row r="37">
      <c r="A37" s="11"/>
      <c r="B37" s="32" t="s">
        <v>88</v>
      </c>
      <c r="C37" s="33"/>
      <c r="D37" s="33"/>
      <c r="E37" s="34"/>
      <c r="F37" s="35">
        <v>2000.0</v>
      </c>
      <c r="G37" s="35">
        <f>SUM(110.97+94.03+19+53.51+177.01+338.2+73.14)</f>
        <v>865.86</v>
      </c>
      <c r="H37" s="20">
        <f t="shared" si="3"/>
        <v>1134.14</v>
      </c>
      <c r="I37" s="36">
        <v>2000.0</v>
      </c>
      <c r="J37" s="11"/>
      <c r="K37" s="11"/>
      <c r="L37" s="11"/>
      <c r="M37" s="11"/>
      <c r="N37" s="11"/>
    </row>
    <row r="38">
      <c r="A38" s="11"/>
      <c r="B38" s="11"/>
      <c r="C38" s="11"/>
      <c r="D38" s="11"/>
      <c r="E38" s="13"/>
      <c r="F38" s="22"/>
      <c r="G38" s="22"/>
      <c r="H38" s="22"/>
      <c r="I38" s="13"/>
      <c r="J38" s="11"/>
      <c r="K38" s="11"/>
      <c r="L38" s="11"/>
      <c r="M38" s="11"/>
      <c r="N38" s="11"/>
    </row>
    <row r="39">
      <c r="A39" s="11"/>
      <c r="B39" s="11"/>
      <c r="C39" s="11"/>
      <c r="D39" s="11"/>
      <c r="E39" s="37" t="s">
        <v>38</v>
      </c>
      <c r="F39" s="25">
        <f>SUM(F30:F38)</f>
        <v>5300</v>
      </c>
      <c r="G39" s="25">
        <f>SUM(G31:G37)</f>
        <v>3302.52</v>
      </c>
      <c r="H39" s="25">
        <f>SUM(H30:H38)</f>
        <v>1997.48</v>
      </c>
      <c r="I39" s="25">
        <f>SUM(I30:I32)</f>
        <v>400</v>
      </c>
      <c r="J39" s="11"/>
      <c r="K39" s="11"/>
      <c r="L39" s="11"/>
      <c r="M39" s="11"/>
      <c r="N39" s="11"/>
    </row>
    <row r="40">
      <c r="A40" s="11"/>
      <c r="B40" s="11"/>
      <c r="C40" s="11"/>
      <c r="D40" s="11"/>
      <c r="E40" s="13"/>
      <c r="F40" s="22"/>
      <c r="G40" s="22"/>
      <c r="H40" s="22"/>
      <c r="I40" s="13"/>
      <c r="J40" s="11"/>
      <c r="K40" s="11"/>
      <c r="L40" s="11"/>
      <c r="M40" s="11"/>
      <c r="N40" s="11"/>
    </row>
    <row r="41">
      <c r="A41" s="27" t="s">
        <v>39</v>
      </c>
      <c r="B41" s="11"/>
      <c r="C41" s="11"/>
      <c r="D41" s="11"/>
      <c r="E41" s="13"/>
      <c r="F41" s="22"/>
      <c r="G41" s="22"/>
      <c r="H41" s="22"/>
      <c r="I41" s="22"/>
      <c r="J41" s="11"/>
      <c r="K41" s="11"/>
      <c r="L41" s="11"/>
      <c r="M41" s="11"/>
      <c r="N41" s="11"/>
    </row>
    <row r="42">
      <c r="A42" s="11"/>
      <c r="B42" s="11"/>
      <c r="C42" s="11"/>
      <c r="D42" s="11"/>
      <c r="E42" s="13"/>
      <c r="F42" s="22"/>
      <c r="G42" s="22"/>
      <c r="H42" s="22"/>
      <c r="I42" s="13"/>
      <c r="J42" s="11"/>
      <c r="K42" s="11"/>
      <c r="L42" s="11"/>
      <c r="M42" s="11"/>
      <c r="N42" s="11"/>
    </row>
    <row r="43">
      <c r="A43" s="11"/>
      <c r="B43" s="12" t="s">
        <v>59</v>
      </c>
      <c r="C43" s="11"/>
      <c r="D43" s="11"/>
      <c r="E43" s="11"/>
      <c r="F43" s="14">
        <v>150.0</v>
      </c>
      <c r="G43" s="14">
        <v>98.23</v>
      </c>
      <c r="H43" s="15">
        <f>+F43-G43</f>
        <v>51.77</v>
      </c>
      <c r="I43" s="31">
        <v>150.0</v>
      </c>
      <c r="J43" s="11"/>
      <c r="K43" s="11"/>
      <c r="L43" s="11"/>
      <c r="M43" s="11"/>
      <c r="N43" s="11"/>
    </row>
    <row r="44">
      <c r="A44" s="11"/>
      <c r="B44" s="11"/>
      <c r="C44" s="11"/>
      <c r="D44" s="11"/>
      <c r="E44" s="11"/>
      <c r="F44" s="22"/>
      <c r="G44" s="22"/>
      <c r="H44" s="22"/>
      <c r="I44" s="11"/>
      <c r="J44" s="11"/>
      <c r="K44" s="11"/>
      <c r="L44" s="11"/>
      <c r="M44" s="11"/>
      <c r="N44" s="11"/>
    </row>
    <row r="45">
      <c r="A45" s="11"/>
      <c r="B45" s="11"/>
      <c r="C45" s="11"/>
      <c r="D45" s="11"/>
      <c r="E45" s="27" t="s">
        <v>65</v>
      </c>
      <c r="F45" s="25">
        <f t="shared" ref="F45:I45" si="4">SUM(F43)</f>
        <v>150</v>
      </c>
      <c r="G45" s="25">
        <f t="shared" si="4"/>
        <v>98.23</v>
      </c>
      <c r="H45" s="25">
        <f t="shared" si="4"/>
        <v>51.77</v>
      </c>
      <c r="I45" s="25">
        <f t="shared" si="4"/>
        <v>150</v>
      </c>
      <c r="J45" s="11"/>
      <c r="K45" s="11"/>
      <c r="L45" s="11"/>
      <c r="M45" s="11"/>
      <c r="N45" s="11"/>
    </row>
    <row r="46">
      <c r="A46" s="11"/>
      <c r="B46" s="11"/>
      <c r="C46" s="11"/>
      <c r="D46" s="11"/>
      <c r="E46" s="11"/>
      <c r="F46" s="22"/>
      <c r="G46" s="22"/>
      <c r="H46" s="22"/>
      <c r="I46" s="22"/>
      <c r="J46" s="11"/>
      <c r="K46" s="11"/>
      <c r="L46" s="11"/>
      <c r="M46" s="11"/>
      <c r="N46" s="11"/>
    </row>
    <row r="47">
      <c r="A47" s="11"/>
      <c r="B47" s="11"/>
      <c r="C47" s="11"/>
      <c r="D47" s="11"/>
      <c r="E47" s="24" t="s">
        <v>66</v>
      </c>
      <c r="F47" s="25">
        <f t="shared" ref="F47:I47" si="5">+F39+F45</f>
        <v>5450</v>
      </c>
      <c r="G47" s="25">
        <f t="shared" si="5"/>
        <v>3400.75</v>
      </c>
      <c r="H47" s="25">
        <f t="shared" si="5"/>
        <v>2049.25</v>
      </c>
      <c r="I47" s="25">
        <f t="shared" si="5"/>
        <v>550</v>
      </c>
      <c r="J47" s="11"/>
      <c r="K47" s="11"/>
      <c r="L47" s="11"/>
      <c r="M47" s="11"/>
      <c r="N47" s="11"/>
    </row>
    <row r="48">
      <c r="A48" s="11"/>
      <c r="B48" s="11"/>
      <c r="C48" s="11"/>
      <c r="D48" s="11"/>
      <c r="E48" s="11"/>
      <c r="F48" s="22"/>
      <c r="G48" s="22"/>
      <c r="H48" s="22"/>
      <c r="I48" s="11"/>
      <c r="J48" s="11"/>
      <c r="K48" s="11"/>
      <c r="L48" s="11"/>
      <c r="M48" s="11"/>
      <c r="N48" s="11"/>
    </row>
    <row r="49">
      <c r="A49" s="50" t="s">
        <v>67</v>
      </c>
      <c r="B49" s="11"/>
      <c r="C49" s="11"/>
      <c r="D49" s="11"/>
      <c r="E49" s="11"/>
      <c r="F49" s="51">
        <f t="shared" ref="F49:I49" si="6">+F27-F47</f>
        <v>2550</v>
      </c>
      <c r="G49" s="52">
        <f t="shared" si="6"/>
        <v>7509.61</v>
      </c>
      <c r="H49" s="53">
        <f t="shared" si="6"/>
        <v>861.11</v>
      </c>
      <c r="I49" s="52">
        <f t="shared" si="6"/>
        <v>10950</v>
      </c>
      <c r="J49" s="11"/>
      <c r="K49" s="11"/>
      <c r="L49" s="11"/>
      <c r="M49" s="11"/>
      <c r="N49" s="11"/>
    </row>
    <row r="50">
      <c r="A50" s="11"/>
      <c r="B50" s="11"/>
      <c r="C50" s="11"/>
      <c r="D50" s="11"/>
      <c r="E50" s="11"/>
      <c r="F50" s="22"/>
      <c r="G50" s="22"/>
      <c r="H50" s="22"/>
      <c r="I50" s="22"/>
      <c r="J50" s="11"/>
      <c r="K50" s="11"/>
      <c r="L50" s="11"/>
      <c r="M50" s="11"/>
      <c r="N50" s="11"/>
    </row>
    <row r="51">
      <c r="A51" s="11"/>
      <c r="B51" s="11"/>
      <c r="C51" s="11"/>
      <c r="D51" s="11"/>
      <c r="E51" s="13"/>
      <c r="F51" s="22"/>
      <c r="G51" s="22"/>
      <c r="H51" s="22"/>
      <c r="I51" s="13"/>
      <c r="J51" s="11"/>
      <c r="K51" s="11"/>
      <c r="L51" s="11"/>
      <c r="M51" s="11"/>
      <c r="N51" s="11"/>
    </row>
    <row r="52">
      <c r="A52" s="50" t="s">
        <v>71</v>
      </c>
      <c r="B52" s="11"/>
      <c r="C52" s="11"/>
      <c r="D52" s="11"/>
      <c r="E52" s="13"/>
      <c r="F52" s="52">
        <f t="shared" ref="F52:I52" si="7">+F6</f>
        <v>17586.42</v>
      </c>
      <c r="G52" s="52">
        <f t="shared" si="7"/>
        <v>17586.42</v>
      </c>
      <c r="H52" s="53" t="str">
        <f t="shared" si="7"/>
        <v/>
      </c>
      <c r="I52" s="52">
        <f t="shared" si="7"/>
        <v>26589.45</v>
      </c>
      <c r="J52" s="11"/>
      <c r="K52" s="11"/>
      <c r="L52" s="11"/>
      <c r="M52" s="11"/>
      <c r="N52" s="11"/>
    </row>
  </sheetData>
  <mergeCells count="6">
    <mergeCell ref="A1:J1"/>
    <mergeCell ref="A2:J2"/>
    <mergeCell ref="B13:C13"/>
    <mergeCell ref="B21:C21"/>
    <mergeCell ref="B22:C22"/>
    <mergeCell ref="B24:C24"/>
  </mergeCells>
  <drawing r:id="rId1"/>
</worksheet>
</file>