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rin\Documents\Town of Roseboom\Town Clerk Folder\Abstracts and minute attachments\2016 Attachments\Nov. 10, 2016 attachments\"/>
    </mc:Choice>
  </mc:AlternateContent>
  <bookViews>
    <workbookView xWindow="0" yWindow="0" windowWidth="19200" windowHeight="7245" firstSheet="3" activeTab="3"/>
  </bookViews>
  <sheets>
    <sheet name="2017 BUDGET" sheetId="15" r:id="rId1"/>
    <sheet name="summary" sheetId="1" r:id="rId2"/>
    <sheet name="general" sheetId="4" r:id="rId3"/>
    <sheet name="highway" sheetId="5" r:id="rId4"/>
    <sheet name="prior year summary" sheetId="3" r:id="rId5"/>
  </sheets>
  <definedNames>
    <definedName name="_xlnm.Print_Titles" localSheetId="2">general!$1:$2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 l="1"/>
  <c r="F17" i="1"/>
  <c r="G17" i="1"/>
  <c r="E16" i="1"/>
  <c r="F16" i="1"/>
  <c r="G16" i="1"/>
  <c r="H31" i="1" l="1"/>
  <c r="K20" i="1" l="1"/>
  <c r="F18" i="1"/>
  <c r="G14" i="1"/>
  <c r="E11" i="1"/>
  <c r="D11" i="1"/>
  <c r="E8" i="1"/>
  <c r="D8" i="1"/>
  <c r="D17" i="1" l="1"/>
  <c r="G8" i="1"/>
  <c r="G11" i="1"/>
  <c r="H32" i="1"/>
  <c r="I32" i="1" s="1"/>
  <c r="L28" i="5" l="1"/>
  <c r="M67" i="4"/>
  <c r="E20" i="1" l="1"/>
  <c r="F20" i="1"/>
  <c r="G20" i="1"/>
  <c r="D20" i="1"/>
  <c r="F35" i="3"/>
  <c r="F36" i="3"/>
  <c r="E37" i="3"/>
  <c r="F37" i="3"/>
  <c r="D37" i="3"/>
  <c r="G37" i="3" l="1"/>
  <c r="H22" i="1"/>
  <c r="D31" i="1"/>
  <c r="E10" i="1"/>
  <c r="E36" i="3" s="1"/>
  <c r="E7" i="1"/>
  <c r="J35" i="5"/>
  <c r="L35" i="5"/>
  <c r="D10" i="1" s="1"/>
  <c r="K28" i="5"/>
  <c r="K35" i="5" s="1"/>
  <c r="J16" i="5"/>
  <c r="G30" i="3"/>
  <c r="G29" i="3"/>
  <c r="G28" i="3"/>
  <c r="G24" i="3"/>
  <c r="G23" i="3"/>
  <c r="G22" i="3"/>
  <c r="K71" i="4"/>
  <c r="N67" i="4"/>
  <c r="M71" i="4"/>
  <c r="D7" i="1" s="1"/>
  <c r="L67" i="4"/>
  <c r="L71" i="4" s="1"/>
  <c r="K21" i="4"/>
  <c r="D16" i="1" l="1"/>
  <c r="D18" i="1" s="1"/>
  <c r="D35" i="3"/>
  <c r="G35" i="3" s="1"/>
  <c r="E35" i="3"/>
  <c r="E18" i="1"/>
  <c r="D36" i="3"/>
  <c r="G36" i="3" s="1"/>
  <c r="J36" i="5"/>
  <c r="G31" i="3"/>
  <c r="G25" i="3"/>
  <c r="K72" i="4"/>
  <c r="I28" i="5"/>
  <c r="J67" i="4"/>
  <c r="G38" i="3" l="1"/>
  <c r="G39" i="3" s="1"/>
  <c r="G32" i="3"/>
  <c r="G13" i="1"/>
  <c r="H35" i="5"/>
  <c r="I35" i="5"/>
  <c r="H16" i="5"/>
  <c r="E16" i="5"/>
  <c r="D16" i="5"/>
  <c r="F16" i="5"/>
  <c r="C16" i="5"/>
  <c r="I71" i="4"/>
  <c r="J71" i="4"/>
  <c r="I21" i="4"/>
  <c r="H36" i="5" l="1"/>
  <c r="I72" i="4"/>
  <c r="G28" i="5" l="1"/>
  <c r="H67" i="4"/>
  <c r="G35" i="5" l="1"/>
  <c r="F35" i="5"/>
  <c r="E35" i="5"/>
  <c r="E36" i="5" s="1"/>
  <c r="D35" i="5"/>
  <c r="D36" i="5" s="1"/>
  <c r="C35" i="5"/>
  <c r="C36" i="5" s="1"/>
  <c r="H71" i="4" l="1"/>
  <c r="G71" i="4"/>
  <c r="F71" i="4"/>
  <c r="E71" i="4"/>
  <c r="D71" i="4"/>
  <c r="G21" i="4"/>
  <c r="F21" i="4"/>
  <c r="E21" i="4"/>
  <c r="D21" i="4"/>
  <c r="F72" i="4" l="1"/>
  <c r="E72" i="4"/>
  <c r="D72" i="4"/>
  <c r="G72" i="4"/>
  <c r="F26" i="1"/>
  <c r="D26" i="1"/>
  <c r="F25" i="1"/>
  <c r="D25" i="1"/>
  <c r="F24" i="1"/>
  <c r="D24" i="1"/>
  <c r="G18" i="3"/>
  <c r="G12" i="3"/>
  <c r="G6" i="3"/>
  <c r="E17" i="3"/>
  <c r="G17" i="3" s="1"/>
  <c r="E16" i="3"/>
  <c r="G16" i="3" s="1"/>
  <c r="G19" i="3" s="1"/>
  <c r="E11" i="3"/>
  <c r="G11" i="3" s="1"/>
  <c r="E10" i="3"/>
  <c r="G10" i="3" s="1"/>
  <c r="G13" i="3" s="1"/>
  <c r="E5" i="3"/>
  <c r="G5" i="3" s="1"/>
  <c r="E4" i="3"/>
  <c r="E26" i="1" s="1"/>
  <c r="G27" i="1"/>
  <c r="H26" i="1" s="1"/>
  <c r="G7" i="3" l="1"/>
  <c r="G14" i="3" s="1"/>
  <c r="E24" i="1"/>
  <c r="G24" i="1" s="1"/>
  <c r="G20" i="3"/>
  <c r="G26" i="3"/>
  <c r="E25" i="1"/>
  <c r="G25" i="1" s="1"/>
  <c r="H25" i="1" s="1"/>
  <c r="D35" i="1"/>
  <c r="H24" i="1" l="1"/>
  <c r="F21" i="1"/>
  <c r="I13" i="1"/>
  <c r="K13" i="1" s="1"/>
  <c r="J16" i="1" l="1"/>
  <c r="D21" i="1" l="1"/>
  <c r="E21" i="1" l="1"/>
  <c r="G10" i="1"/>
  <c r="G7" i="1"/>
  <c r="G18" i="1" l="1"/>
  <c r="L20" i="1" s="1"/>
  <c r="J20" i="1"/>
  <c r="M4" i="5"/>
  <c r="M16" i="5" s="1"/>
  <c r="M36" i="5" s="1"/>
  <c r="L4" i="5"/>
  <c r="L16" i="5" s="1"/>
  <c r="L36" i="5" s="1"/>
  <c r="K4" i="5"/>
  <c r="K16" i="5" s="1"/>
  <c r="K36" i="5" s="1"/>
  <c r="N5" i="4"/>
  <c r="N21" i="4" s="1"/>
  <c r="N72" i="4" s="1"/>
  <c r="M5" i="4"/>
  <c r="M21" i="4" s="1"/>
  <c r="M72" i="4" s="1"/>
  <c r="L5" i="4"/>
  <c r="L21" i="4" s="1"/>
  <c r="L72" i="4" s="1"/>
  <c r="I16" i="5"/>
  <c r="I36" i="5" s="1"/>
  <c r="J21" i="4"/>
  <c r="J72" i="4" s="1"/>
  <c r="G16" i="5"/>
  <c r="G36" i="5" s="1"/>
  <c r="H21" i="4"/>
  <c r="H72" i="4" s="1"/>
  <c r="I10" i="1"/>
  <c r="K10" i="1" s="1"/>
  <c r="I7" i="1"/>
  <c r="K7" i="1" s="1"/>
  <c r="G21" i="1" l="1"/>
  <c r="H23" i="1"/>
  <c r="K16" i="1"/>
  <c r="I16" i="1"/>
  <c r="F36" i="5"/>
  <c r="H34" i="1" l="1"/>
  <c r="H36" i="1" s="1"/>
  <c r="H21" i="1"/>
  <c r="J21" i="1" s="1"/>
  <c r="L21" i="1" s="1"/>
  <c r="D32" i="1"/>
  <c r="I36" i="1" l="1"/>
  <c r="H39" i="1"/>
  <c r="I39" i="1" s="1"/>
  <c r="D34" i="1"/>
  <c r="D36" i="1" s="1"/>
</calcChain>
</file>

<file path=xl/comments1.xml><?xml version="1.0" encoding="utf-8"?>
<comments xmlns="http://schemas.openxmlformats.org/spreadsheetml/2006/main">
  <authors>
    <author>Patti Gustafson</author>
  </authors>
  <commentList>
    <comment ref="I32" authorId="0" shapeId="0">
      <text>
        <r>
          <rPr>
            <b/>
            <sz val="9"/>
            <color indexed="81"/>
            <rFont val="Tahoma"/>
            <family val="2"/>
          </rPr>
          <t>Patti Gustafson:</t>
        </r>
        <r>
          <rPr>
            <sz val="9"/>
            <color indexed="81"/>
            <rFont val="Tahoma"/>
            <family val="2"/>
          </rPr>
          <t xml:space="preserve">
Formula:  $3524 / $292,813 = 1.20%</t>
        </r>
      </text>
    </comment>
    <comment ref="I36" authorId="0" shapeId="0">
      <text>
        <r>
          <rPr>
            <b/>
            <sz val="9"/>
            <color indexed="81"/>
            <rFont val="Tahoma"/>
            <family val="2"/>
          </rPr>
          <t>Patti Gustafson:</t>
        </r>
        <r>
          <rPr>
            <sz val="9"/>
            <color indexed="81"/>
            <rFont val="Tahoma"/>
            <family val="2"/>
          </rPr>
          <t xml:space="preserve">
Formula: $8472 / $292,813 = 2.89%</t>
        </r>
      </text>
    </comment>
    <comment ref="I39" authorId="0" shapeId="0">
      <text>
        <r>
          <rPr>
            <b/>
            <sz val="9"/>
            <color indexed="81"/>
            <rFont val="Tahoma"/>
            <family val="2"/>
          </rPr>
          <t>Patti Gustafson:</t>
        </r>
        <r>
          <rPr>
            <sz val="9"/>
            <color indexed="81"/>
            <rFont val="Tahoma"/>
            <family val="2"/>
          </rPr>
          <t xml:space="preserve">
Formula: $4,948 / $292,813 = 1.69%
Tax Levy Override required via Public Hearing</t>
        </r>
      </text>
    </comment>
  </commentList>
</comments>
</file>

<file path=xl/comments2.xml><?xml version="1.0" encoding="utf-8"?>
<comments xmlns="http://schemas.openxmlformats.org/spreadsheetml/2006/main">
  <authors>
    <author>Patti Gustafson</author>
  </authors>
  <commentList>
    <comment ref="L5" authorId="0" shapeId="0">
      <text>
        <r>
          <rPr>
            <b/>
            <sz val="9"/>
            <color indexed="81"/>
            <rFont val="Tahoma"/>
            <family val="2"/>
          </rPr>
          <t>Patti Gustafson: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A.1001 Real Property Taxes
CY 2016……………………….….$  68,123
CY 2017………………………….</t>
        </r>
        <r>
          <rPr>
            <b/>
            <u/>
            <sz val="9"/>
            <color indexed="81"/>
            <rFont val="Tahoma"/>
            <family val="2"/>
          </rPr>
          <t xml:space="preserve">.$  </t>
        </r>
        <r>
          <rPr>
            <b/>
            <i/>
            <sz val="9"/>
            <color indexed="81"/>
            <rFont val="Tahoma"/>
            <family val="2"/>
          </rPr>
          <t xml:space="preserve">
Overall Increase in Taxes…….$  </t>
        </r>
      </text>
    </comment>
    <comment ref="L6" authorId="0" shapeId="0">
      <text>
        <r>
          <rPr>
            <b/>
            <sz val="9"/>
            <color indexed="81"/>
            <rFont val="Tahoma"/>
            <family val="2"/>
          </rPr>
          <t>Patti Gustafson:</t>
        </r>
        <r>
          <rPr>
            <sz val="9"/>
            <color indexed="81"/>
            <rFont val="Tahoma"/>
            <family val="2"/>
          </rPr>
          <t xml:space="preserve">
A.1120 County Sales Tax
Book at same of $60,000
LY was at 40%
YTD is at  38%
Down 2% = $983
</t>
        </r>
      </text>
    </comment>
    <comment ref="M6" authorId="0" shapeId="0">
      <text>
        <r>
          <rPr>
            <b/>
            <sz val="9"/>
            <color indexed="81"/>
            <rFont val="Tahoma"/>
            <family val="2"/>
          </rPr>
          <t>Patti Gustafson:</t>
        </r>
        <r>
          <rPr>
            <sz val="9"/>
            <color indexed="81"/>
            <rFont val="Tahoma"/>
            <family val="2"/>
          </rPr>
          <t xml:space="preserve">
A.1120 County Sales Tax
Book at same of $60,000
LY was at 40%
YTD is at  38%
Down 2% = $983
</t>
        </r>
      </text>
    </comment>
    <comment ref="L9" authorId="0" shapeId="0">
      <text>
        <r>
          <rPr>
            <b/>
            <sz val="9"/>
            <color indexed="81"/>
            <rFont val="Tahoma"/>
            <family val="2"/>
          </rPr>
          <t>Patti Gustafson:</t>
        </r>
        <r>
          <rPr>
            <sz val="9"/>
            <color indexed="81"/>
            <rFont val="Tahoma"/>
            <family val="2"/>
          </rPr>
          <t xml:space="preserve">
A.1603 Vital Statistics
2013…………$230
2014………..$270
2015………..$180
2016………..$  60  YTD   (LOW!!)
Registar can keep monies collected "OR" get paid a stipend salary of $10/month. Amount per month is set by Town.
Budget Recommendation:  Decrease Revenue  &amp; Appropriation Amount.
12 months @$10 = $120
</t>
        </r>
      </text>
    </comment>
    <comment ref="M9" authorId="0" shapeId="0">
      <text>
        <r>
          <rPr>
            <b/>
            <sz val="9"/>
            <color indexed="81"/>
            <rFont val="Tahoma"/>
            <family val="2"/>
          </rPr>
          <t>Patti Gustafson:</t>
        </r>
        <r>
          <rPr>
            <sz val="9"/>
            <color indexed="81"/>
            <rFont val="Tahoma"/>
            <family val="2"/>
          </rPr>
          <t xml:space="preserve">
A.1603 Vital Statistics
2013…………$230
2014………..$270
2015………..$180
2016………..$  60  YTD   (LOW!!)
Registar can keep monies collected "OR" get paid a stipend salary of $10/month. Amount per month is set by Town.
Budget Recommendation:  Decrease Revenue  &amp; Appropriation Amount.
12 months @$10 = $120
</t>
        </r>
      </text>
    </comment>
    <comment ref="L11" authorId="0" shapeId="0">
      <text>
        <r>
          <rPr>
            <b/>
            <sz val="9"/>
            <color indexed="81"/>
            <rFont val="Tahoma"/>
            <family val="2"/>
          </rPr>
          <t>Patti Gustafson: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A.2544 Dog Licenses
Formula:  $359 / 9 x 12 months = $480
Book at $450</t>
        </r>
      </text>
    </comment>
    <comment ref="M11" authorId="0" shapeId="0">
      <text>
        <r>
          <rPr>
            <b/>
            <sz val="9"/>
            <color indexed="81"/>
            <rFont val="Tahoma"/>
            <family val="2"/>
          </rPr>
          <t>Patti Gustafson: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A.2544 Dog Licenses
Formula:  $359 / 9 x 12 months = $480
Book at $450</t>
        </r>
      </text>
    </comment>
    <comment ref="L12" authorId="0" shapeId="0">
      <text>
        <r>
          <rPr>
            <b/>
            <sz val="9"/>
            <color indexed="81"/>
            <rFont val="Tahoma"/>
            <family val="2"/>
          </rPr>
          <t>Patti Gustafson: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 xml:space="preserve">A.2555 BUILDING PERMIT FEES
Formula:  $342 + $75 = $417 YTD  / 8 mos  x 12 mos =  $625
Book at $750
Note:  Seward &amp; Sharon uses: Jerry Weis as Code Officer
Trend for Sharon last 3 years:  $4000 (2014),     $2400 (2015),
</t>
        </r>
      </text>
    </comment>
    <comment ref="M12" authorId="0" shapeId="0">
      <text>
        <r>
          <rPr>
            <b/>
            <sz val="9"/>
            <color indexed="81"/>
            <rFont val="Tahoma"/>
            <family val="2"/>
          </rPr>
          <t>Patti Gustafson: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 xml:space="preserve">A.2555 BUILDING PERMIT FEES
Formula:  $342 + $75 = $417 YTD  / 8 mos  x 12 mos =  $625
Book at $750
Note:  Seward &amp; Sharon uses: Jerry Weis as Code Officer
Trend for Sharon last 3 years:  $4000 (2014),     $2400 (2015),
</t>
        </r>
      </text>
    </comment>
    <comment ref="L13" authorId="0" shapeId="0">
      <text>
        <r>
          <rPr>
            <b/>
            <sz val="9"/>
            <color indexed="81"/>
            <rFont val="Tahoma"/>
            <family val="2"/>
          </rPr>
          <t>Patti Gustafson: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A.2610 Justice Fees
YTD:  $2550  based on Jan-July
Formula:   $2550 / 7 * 12 mos = $4371
Historical Average over last 3 years = $1222
Potential Average: 
$4371 + $1222 = $5593/2= $2796</t>
        </r>
      </text>
    </comment>
    <comment ref="M13" authorId="0" shapeId="0">
      <text>
        <r>
          <rPr>
            <b/>
            <sz val="9"/>
            <color indexed="81"/>
            <rFont val="Tahoma"/>
            <family val="2"/>
          </rPr>
          <t>Patti Gustafson: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A.2610 Justice Fees
YTD:  $2550  based on Jan-July
Formula:   $2550 / 7 * 12 mos = $4371
Historical Average over last 3 years = $1222
Potential Average: 
$4371 + $1222 = $5593/2= $2796</t>
        </r>
      </text>
    </comment>
    <comment ref="L16" authorId="0" shapeId="0">
      <text>
        <r>
          <rPr>
            <b/>
            <sz val="9"/>
            <color indexed="81"/>
            <rFont val="Tahoma"/>
            <family val="2"/>
          </rPr>
          <t>Patti Gustafson: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A.3001  State Aid Per Capita
Annual Funds from NYS
Check is usually rec'd in October.
Based oon population (per capita)
Payments are consecutive over past years; at $3541</t>
        </r>
      </text>
    </comment>
    <comment ref="M16" authorId="0" shapeId="0">
      <text>
        <r>
          <rPr>
            <b/>
            <sz val="9"/>
            <color indexed="81"/>
            <rFont val="Tahoma"/>
            <family val="2"/>
          </rPr>
          <t>Patti Gustafson: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A.3001  State Aid Per Capita
Annual Funds from NYS
Check is usually rec'd in October.
Based oon population (per capita)
Payments are consecutive over past years; at $3541</t>
        </r>
      </text>
    </comment>
    <comment ref="L17" authorId="0" shapeId="0">
      <text>
        <r>
          <rPr>
            <b/>
            <sz val="9"/>
            <color indexed="81"/>
            <rFont val="Tahoma"/>
            <family val="2"/>
          </rPr>
          <t>Patti Gustafson: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 xml:space="preserve">A.3005 Mortgage Tax
Town receives (2) payments per year; July &amp; December.
July 2016 rec'd…..$3951
December 2016…..unknown; estimate @ $2349
Book @ $6300
</t>
        </r>
      </text>
    </comment>
    <comment ref="M17" authorId="0" shapeId="0">
      <text>
        <r>
          <rPr>
            <b/>
            <sz val="9"/>
            <color indexed="81"/>
            <rFont val="Tahoma"/>
            <family val="2"/>
          </rPr>
          <t>Patti Gustafson: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 xml:space="preserve">A.3005 Mortgage Tax
Town receives (2) payments per year; July &amp; December.
July 2016 rec'd…..$3951
December 2016…..unknown; estimate @ $2349
Book @ $6300
</t>
        </r>
      </text>
    </comment>
    <comment ref="L23" authorId="0" shapeId="0">
      <text>
        <r>
          <rPr>
            <b/>
            <sz val="9"/>
            <color indexed="81"/>
            <rFont val="Tahoma"/>
            <family val="2"/>
          </rPr>
          <t>Patti Gustafson:</t>
        </r>
        <r>
          <rPr>
            <sz val="9"/>
            <color indexed="81"/>
            <rFont val="Tahoma"/>
            <family val="2"/>
          </rPr>
          <t xml:space="preserve">
A.1010.4 Town Board PS
$2000 x 5% = $100  = $2100
Formula: $2100 x 4 PP = $8400</t>
        </r>
      </text>
    </comment>
    <comment ref="M23" authorId="0" shapeId="0">
      <text>
        <r>
          <rPr>
            <b/>
            <sz val="9"/>
            <color indexed="81"/>
            <rFont val="Tahoma"/>
            <family val="2"/>
          </rPr>
          <t>Patti Gustafson:</t>
        </r>
        <r>
          <rPr>
            <sz val="9"/>
            <color indexed="81"/>
            <rFont val="Tahoma"/>
            <family val="2"/>
          </rPr>
          <t xml:space="preserve">
A.1010.4 Town Board PS
$2000 x 5% = $100  = $2100
Formula: $2100 x 4 PP = $8400</t>
        </r>
      </text>
    </comment>
    <comment ref="L27" authorId="0" shapeId="0">
      <text>
        <r>
          <rPr>
            <b/>
            <sz val="9"/>
            <color indexed="81"/>
            <rFont val="Tahoma"/>
            <family val="2"/>
          </rPr>
          <t>Patti Gustafson: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 xml:space="preserve">A.1110.4 Justice Contractual
Software……………………..$1,100
Conference Reimb……            410
Supplies…………………….….....100
Assoc. Dues……………….……. 100
Mileage </t>
        </r>
        <r>
          <rPr>
            <b/>
            <u/>
            <sz val="9"/>
            <color indexed="81"/>
            <rFont val="Tahoma"/>
            <family val="2"/>
          </rPr>
          <t>Reimb………………...    50
    Total</t>
        </r>
        <r>
          <rPr>
            <b/>
            <sz val="9"/>
            <color indexed="81"/>
            <rFont val="Tahoma"/>
            <family val="2"/>
          </rPr>
          <t xml:space="preserve">………………………….………..$1,760
Note: CY 2016 includes the JCAP purchaes for 2012.
Annual Average for 2013-2015 = $1935
Book at $2100.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M27" authorId="0" shapeId="0">
      <text>
        <r>
          <rPr>
            <b/>
            <sz val="9"/>
            <color indexed="81"/>
            <rFont val="Tahoma"/>
            <family val="2"/>
          </rPr>
          <t>Patti Gustafson: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 xml:space="preserve">A.1110.4 Justice Contractual
Software……………………..$1,100
Conference Reimb……            410
Supplies…………………….….....100
Assoc. Dues……………….……. 100
Mileage </t>
        </r>
        <r>
          <rPr>
            <b/>
            <u/>
            <sz val="9"/>
            <color indexed="81"/>
            <rFont val="Tahoma"/>
            <family val="2"/>
          </rPr>
          <t>Reimb………………...    50
    Total</t>
        </r>
        <r>
          <rPr>
            <b/>
            <sz val="9"/>
            <color indexed="81"/>
            <rFont val="Tahoma"/>
            <family val="2"/>
          </rPr>
          <t xml:space="preserve">………………………….………..$1,760
Note: CY 2016 includes the JCAP purchaes for 2012.
Annual Average for 2013-2015 = $1935
Book at $2100.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29" authorId="0" shapeId="0">
      <text>
        <r>
          <rPr>
            <b/>
            <sz val="9"/>
            <color indexed="81"/>
            <rFont val="Tahoma"/>
            <family val="2"/>
          </rPr>
          <t>Patti Gustafson:</t>
        </r>
        <r>
          <rPr>
            <sz val="9"/>
            <color indexed="81"/>
            <rFont val="Tahoma"/>
            <family val="2"/>
          </rPr>
          <t xml:space="preserve">
A.1220.1 Supervisor PS
$4800 x 5% = $240 = $5040
Note: Minimum Wage increase = of $.25/hr (2.8%)………$ 134.40
         Regular COLA increase  =  of        (2.2%) ……..</t>
        </r>
        <r>
          <rPr>
            <u/>
            <sz val="9"/>
            <color indexed="81"/>
            <rFont val="Tahoma"/>
            <family val="2"/>
          </rPr>
          <t>…..$ 105.60</t>
        </r>
        <r>
          <rPr>
            <sz val="9"/>
            <color indexed="81"/>
            <rFont val="Tahoma"/>
            <family val="2"/>
          </rPr>
          <t xml:space="preserve"> 
  TOTAL Increase…………………………………………………………$240       
       $20/mo increase</t>
        </r>
      </text>
    </comment>
    <comment ref="M29" authorId="0" shapeId="0">
      <text>
        <r>
          <rPr>
            <b/>
            <sz val="9"/>
            <color indexed="81"/>
            <rFont val="Tahoma"/>
            <family val="2"/>
          </rPr>
          <t>Patti Gustafson:</t>
        </r>
        <r>
          <rPr>
            <sz val="9"/>
            <color indexed="81"/>
            <rFont val="Tahoma"/>
            <family val="2"/>
          </rPr>
          <t xml:space="preserve">
A.1220.1 Supervisor PS
$4800 x 5% = $240 = $5040
Note: Minimum Wage increase = of $.25/hr (2.8%)………$ 134.40
         Regular COLA increase  =  of        (2.2%) ……..</t>
        </r>
        <r>
          <rPr>
            <u/>
            <sz val="9"/>
            <color indexed="81"/>
            <rFont val="Tahoma"/>
            <family val="2"/>
          </rPr>
          <t>…..$ 105.60</t>
        </r>
        <r>
          <rPr>
            <sz val="9"/>
            <color indexed="81"/>
            <rFont val="Tahoma"/>
            <family val="2"/>
          </rPr>
          <t xml:space="preserve"> 
  TOTAL Increase…………………………………………………………$240       
       $20/mo increase</t>
        </r>
      </text>
    </comment>
    <comment ref="L31" authorId="0" shapeId="0">
      <text>
        <r>
          <rPr>
            <b/>
            <sz val="9"/>
            <color indexed="81"/>
            <rFont val="Tahoma"/>
            <family val="2"/>
          </rPr>
          <t>Patti Gustafson:
A.1220.47 Supv Acct</t>
        </r>
        <r>
          <rPr>
            <sz val="9"/>
            <color indexed="81"/>
            <rFont val="Tahoma"/>
            <family val="2"/>
          </rPr>
          <t xml:space="preserve">
Bookkeeping Trend $50/HR
CY 2014 ------Extra Expenses regarding set up of Accounts/Training   $ 8380
CY 2015 -------                                                                            $ 6890
CY 2016 ------  Estimate is $$3941/8x12mos = $5911
                     Will increase for Year End expenses
</t>
        </r>
        <r>
          <rPr>
            <b/>
            <u/>
            <sz val="9"/>
            <color indexed="81"/>
            <rFont val="Tahoma"/>
            <family val="2"/>
          </rPr>
          <t xml:space="preserve">Book at $6800
</t>
        </r>
      </text>
    </comment>
    <comment ref="M31" authorId="0" shapeId="0">
      <text>
        <r>
          <rPr>
            <b/>
            <sz val="9"/>
            <color indexed="81"/>
            <rFont val="Tahoma"/>
            <family val="2"/>
          </rPr>
          <t>Patti Gustafson:
A.1220.47 Supv Acct</t>
        </r>
        <r>
          <rPr>
            <sz val="9"/>
            <color indexed="81"/>
            <rFont val="Tahoma"/>
            <family val="2"/>
          </rPr>
          <t xml:space="preserve">
Bookkeeping Trend $50/HR
CY 2014 ------Extra Expenses regarding set up of Accounts/Training   $ 8380
CY 2015 -------                                                                            $ 6890
CY 2016 ------  Estimate is $$3941/8x12mos = $5911
                     Will increase for Year End expenses
</t>
        </r>
        <r>
          <rPr>
            <b/>
            <u/>
            <sz val="9"/>
            <color indexed="81"/>
            <rFont val="Tahoma"/>
            <family val="2"/>
          </rPr>
          <t xml:space="preserve">Book at $6800
</t>
        </r>
      </text>
    </comment>
    <comment ref="L36" authorId="0" shapeId="0">
      <text>
        <r>
          <rPr>
            <b/>
            <sz val="9"/>
            <color indexed="81"/>
            <rFont val="Tahoma"/>
            <family val="2"/>
          </rPr>
          <t xml:space="preserve">Patti Gustafson:
A.1410.1 Town Clerk PS
PS Schedule:
2013……………………$5,500
2014……………………$5,500
2015……………………$6,500     $1000 Increase
2016……………………$6,500
Book at…$6,500 x 3% = $195 = $6695
</t>
        </r>
      </text>
    </comment>
    <comment ref="M36" authorId="0" shapeId="0">
      <text>
        <r>
          <rPr>
            <b/>
            <sz val="9"/>
            <color indexed="81"/>
            <rFont val="Tahoma"/>
            <family val="2"/>
          </rPr>
          <t xml:space="preserve">Patti Gustafson:
A.1410.1 Town Clerk PS
PS Schedule:
2013……………………$5,500
2014……………………$5,500
2015……………………$6,500     $1000 Increase
2016……………………$6,500
Book at…$6,500 x 3% = $195 = $6695
</t>
        </r>
      </text>
    </comment>
    <comment ref="K38" authorId="0" shapeId="0">
      <text>
        <r>
          <rPr>
            <b/>
            <sz val="9"/>
            <color indexed="81"/>
            <rFont val="Tahoma"/>
            <family val="2"/>
          </rPr>
          <t>Patti Gustafson:</t>
        </r>
        <r>
          <rPr>
            <sz val="9"/>
            <color indexed="81"/>
            <rFont val="Tahoma"/>
            <family val="2"/>
          </rPr>
          <t xml:space="preserve">
Over Budget
YTD Expenses: $1326
Projected 2017 Expenses
Supplies…………  $  364
Dues  ……………       25
Postage………..       210
Mileage…6 mos…    260
WebSite………….     224
Conf/Meals………     655
Mileage 6mos…… </t>
        </r>
        <r>
          <rPr>
            <u/>
            <sz val="9"/>
            <color indexed="81"/>
            <rFont val="Tahoma"/>
            <family val="2"/>
          </rPr>
          <t xml:space="preserve">   260
 Total</t>
        </r>
        <r>
          <rPr>
            <sz val="9"/>
            <color indexed="81"/>
            <rFont val="Tahoma"/>
            <family val="2"/>
          </rPr>
          <t>…………………$2000</t>
        </r>
      </text>
    </comment>
    <comment ref="L38" authorId="0" shapeId="0">
      <text>
        <r>
          <rPr>
            <b/>
            <sz val="9"/>
            <color indexed="81"/>
            <rFont val="Tahoma"/>
            <family val="2"/>
          </rPr>
          <t>Patti Gustafson:
A.1410.4 Town Clerk Contractual Expenses</t>
        </r>
        <r>
          <rPr>
            <sz val="9"/>
            <color indexed="81"/>
            <rFont val="Tahoma"/>
            <family val="2"/>
          </rPr>
          <t xml:space="preserve">
Projected 2017 Expenses
Supplies…………  $  364
Dues  ……………       25
Postage………..       210
Mileage…6 mos…    260
WebSite………….     224
Conf/Meals………     655
Mileage 6mos……    260
 Total…………………$2000
Formula:  $1326. / 9 * 12 = $1800.</t>
        </r>
      </text>
    </comment>
    <comment ref="M38" authorId="0" shapeId="0">
      <text>
        <r>
          <rPr>
            <b/>
            <sz val="9"/>
            <color indexed="81"/>
            <rFont val="Tahoma"/>
            <family val="2"/>
          </rPr>
          <t>Patti Gustafson:
A.1410.4 Town Clerk Contractual Expenses</t>
        </r>
        <r>
          <rPr>
            <sz val="9"/>
            <color indexed="81"/>
            <rFont val="Tahoma"/>
            <family val="2"/>
          </rPr>
          <t xml:space="preserve">
Projected 2017 Expenses
Supplies…………  $  364
Dues  ……………       25
Postage………..       210
Mileage…6 mos…    260
WebSite………….     224
Conf/Meals………     655
Mileage 6mos……    260
 Total…………………$2000
Formula:  $1326. / 9 * 12 = $1800.</t>
        </r>
      </text>
    </comment>
    <comment ref="L42" authorId="0" shapeId="0">
      <text>
        <r>
          <rPr>
            <b/>
            <sz val="9"/>
            <color indexed="81"/>
            <rFont val="Tahoma"/>
            <family val="2"/>
          </rPr>
          <t>Patti Gustafson: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A.1430.4 Asst Review Board Contractual
Minimum Wage was $9.00
Now Min. Wage  is   $9.25
R. Hansen………………4 Hrs @ $9.25  = 37.00
N. VanBuren……………4 Hrs @ $9.25  = 37.00
P. Mabie…………………4 Hrs @ $9.25  = 37.00</t>
        </r>
        <r>
          <rPr>
            <b/>
            <u/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Other/Extra...............4 Hrs @ $9.25  =</t>
        </r>
        <r>
          <rPr>
            <b/>
            <u/>
            <sz val="9"/>
            <color indexed="81"/>
            <rFont val="Tahoma"/>
            <family val="2"/>
          </rPr>
          <t xml:space="preserve"> 37.00</t>
        </r>
        <r>
          <rPr>
            <b/>
            <i/>
            <sz val="9"/>
            <color indexed="81"/>
            <rFont val="Tahoma"/>
            <family val="2"/>
          </rPr>
          <t xml:space="preserve">
                                                         $148.00
Training............................................ </t>
        </r>
        <r>
          <rPr>
            <b/>
            <i/>
            <u/>
            <sz val="9"/>
            <color indexed="81"/>
            <rFont val="Tahoma"/>
            <family val="2"/>
          </rPr>
          <t xml:space="preserve">    52.00</t>
        </r>
        <r>
          <rPr>
            <b/>
            <i/>
            <sz val="9"/>
            <color indexed="81"/>
            <rFont val="Tahoma"/>
            <family val="2"/>
          </rPr>
          <t xml:space="preserve">
   Total for CY 2017                           $200.00
</t>
        </r>
      </text>
    </comment>
    <comment ref="M42" authorId="0" shapeId="0">
      <text>
        <r>
          <rPr>
            <b/>
            <sz val="9"/>
            <color indexed="81"/>
            <rFont val="Tahoma"/>
            <family val="2"/>
          </rPr>
          <t>Patti Gustafson: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A.1430.4 Asst Review Board Contractual
Minimum Wage was $9.00
Now Min. Wage  is   $9.25
R. Hansen………………4 Hrs @ $9.25  = 37.00
N. VanBuren……………4 Hrs @ $9.25  = 37.00
P. Mabie…………………4 Hrs @ $9.25  = 37.00</t>
        </r>
        <r>
          <rPr>
            <b/>
            <u/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Other/Extra...............4 Hrs @ $9.25  =</t>
        </r>
        <r>
          <rPr>
            <b/>
            <u/>
            <sz val="9"/>
            <color indexed="81"/>
            <rFont val="Tahoma"/>
            <family val="2"/>
          </rPr>
          <t xml:space="preserve"> 37.00</t>
        </r>
        <r>
          <rPr>
            <b/>
            <i/>
            <sz val="9"/>
            <color indexed="81"/>
            <rFont val="Tahoma"/>
            <family val="2"/>
          </rPr>
          <t xml:space="preserve">
                                                         $148.00
Training............................................ </t>
        </r>
        <r>
          <rPr>
            <b/>
            <i/>
            <u/>
            <sz val="9"/>
            <color indexed="81"/>
            <rFont val="Tahoma"/>
            <family val="2"/>
          </rPr>
          <t xml:space="preserve">    52.00</t>
        </r>
        <r>
          <rPr>
            <b/>
            <i/>
            <sz val="9"/>
            <color indexed="81"/>
            <rFont val="Tahoma"/>
            <family val="2"/>
          </rPr>
          <t xml:space="preserve">
   Total for CY 2017                           $200.00
</t>
        </r>
      </text>
    </comment>
    <comment ref="L43" authorId="0" shapeId="0">
      <text>
        <r>
          <rPr>
            <b/>
            <sz val="9"/>
            <color indexed="81"/>
            <rFont val="Tahoma"/>
            <family val="2"/>
          </rPr>
          <t>Patti Gustafson:</t>
        </r>
        <r>
          <rPr>
            <sz val="9"/>
            <color indexed="81"/>
            <rFont val="Tahoma"/>
            <family val="2"/>
          </rPr>
          <t xml:space="preserve">
Book the $4,000 for Addition to Town Barn Building and/or Salt Shed.</t>
        </r>
      </text>
    </comment>
    <comment ref="M43" authorId="0" shapeId="0">
      <text>
        <r>
          <rPr>
            <b/>
            <sz val="9"/>
            <color indexed="81"/>
            <rFont val="Tahoma"/>
            <family val="2"/>
          </rPr>
          <t>Patti Gustafson:</t>
        </r>
        <r>
          <rPr>
            <sz val="9"/>
            <color indexed="81"/>
            <rFont val="Tahoma"/>
            <family val="2"/>
          </rPr>
          <t xml:space="preserve">
Book the $4,000 for Addition to Town Barn Building and/or Salt Shed.</t>
        </r>
      </text>
    </comment>
    <comment ref="L44" authorId="0" shapeId="0">
      <text>
        <r>
          <rPr>
            <b/>
            <sz val="9"/>
            <color indexed="81"/>
            <rFont val="Tahoma"/>
            <family val="2"/>
          </rPr>
          <t>Patti Gustafson: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 xml:space="preserve">A.1640.2 Garage Equipment
Storage Cabinets (2)  = $500
Generator……….$500
</t>
        </r>
      </text>
    </comment>
    <comment ref="M44" authorId="0" shapeId="0">
      <text>
        <r>
          <rPr>
            <b/>
            <sz val="9"/>
            <color indexed="81"/>
            <rFont val="Tahoma"/>
            <family val="2"/>
          </rPr>
          <t>Patti Gustafson: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 xml:space="preserve">A.1640.2 Garage Equipment
Storage Cabinets (2)  = $500
Generator……….$500
</t>
        </r>
      </text>
    </comment>
    <comment ref="L45" authorId="0" shapeId="0">
      <text>
        <r>
          <rPr>
            <b/>
            <sz val="9"/>
            <color indexed="81"/>
            <rFont val="Tahoma"/>
            <family val="2"/>
          </rPr>
          <t>Patti Gustafson: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 xml:space="preserve">A.1640.4 Garage Contractual Expenses
CY 2013………$21,022
Cy 2014………$17,300
CY 2015………$17,442
CY 2016 ……..$
Formula:  $9735 / 8 x 12 mos =                     $14,603
 Year End Extra (Street Lighting, Fuel)   =    </t>
        </r>
        <r>
          <rPr>
            <b/>
            <u/>
            <sz val="9"/>
            <color indexed="81"/>
            <rFont val="Tahoma"/>
            <family val="2"/>
          </rPr>
          <t xml:space="preserve">   $  2,000  </t>
        </r>
        <r>
          <rPr>
            <b/>
            <sz val="9"/>
            <color indexed="81"/>
            <rFont val="Tahoma"/>
            <family val="2"/>
          </rPr>
          <t xml:space="preserve">     
       Estimated............................................... $16,603
For CY 2017 book @  $18,000
</t>
        </r>
      </text>
    </comment>
    <comment ref="M45" authorId="0" shapeId="0">
      <text>
        <r>
          <rPr>
            <b/>
            <sz val="9"/>
            <color indexed="81"/>
            <rFont val="Tahoma"/>
            <family val="2"/>
          </rPr>
          <t>Patti Gustafson: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 xml:space="preserve">A.1640.4 Garage Contractual Expenses
CY 2013………$21,022
Cy 2014………$17,300
CY 2015………$17,442
CY 2016 ……..$
Formula:  $9735 / 8 x 12 mos =                     $14,603
 Year End Extra (Street Lighting, Fuel)   =    </t>
        </r>
        <r>
          <rPr>
            <b/>
            <u/>
            <sz val="9"/>
            <color indexed="81"/>
            <rFont val="Tahoma"/>
            <family val="2"/>
          </rPr>
          <t xml:space="preserve">   $  2,000  </t>
        </r>
        <r>
          <rPr>
            <b/>
            <sz val="9"/>
            <color indexed="81"/>
            <rFont val="Tahoma"/>
            <family val="2"/>
          </rPr>
          <t xml:space="preserve">     
       Estimated............................................... $16,603
For CY 2017 book @  $18,000
</t>
        </r>
      </text>
    </comment>
    <comment ref="L46" authorId="0" shapeId="0">
      <text>
        <r>
          <rPr>
            <b/>
            <sz val="9"/>
            <color indexed="81"/>
            <rFont val="Tahoma"/>
            <family val="2"/>
          </rPr>
          <t>Patti Gustafson: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A1640.41 Land Lease Contractual Expenses
Book the $1,000 for Land Development/Maintenance.</t>
        </r>
      </text>
    </comment>
    <comment ref="M46" authorId="0" shapeId="0">
      <text>
        <r>
          <rPr>
            <b/>
            <sz val="9"/>
            <color indexed="81"/>
            <rFont val="Tahoma"/>
            <family val="2"/>
          </rPr>
          <t>Patti Gustafson: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A1640.41 Land Lease Contractual Expenses
Book the $1,000 for Land Development/Maintenance.</t>
        </r>
      </text>
    </comment>
    <comment ref="L47" authorId="0" shapeId="0">
      <text>
        <r>
          <rPr>
            <b/>
            <sz val="9"/>
            <color indexed="81"/>
            <rFont val="Tahoma"/>
            <family val="2"/>
          </rPr>
          <t>Patti Gustafson: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A.1670.4 Mailing
YTD  $565
Tax Bills to be mailed year end.
CY 2017 book at $1200</t>
        </r>
      </text>
    </comment>
    <comment ref="M47" authorId="0" shapeId="0">
      <text>
        <r>
          <rPr>
            <b/>
            <sz val="9"/>
            <color indexed="81"/>
            <rFont val="Tahoma"/>
            <family val="2"/>
          </rPr>
          <t>Patti Gustafson: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A.1670.4 Mailing
YTD  $565
Tax Bills to be mailed year end.
CY 2017 book at $1200</t>
        </r>
      </text>
    </comment>
    <comment ref="L48" authorId="0" shapeId="0">
      <text>
        <r>
          <rPr>
            <b/>
            <sz val="9"/>
            <color indexed="81"/>
            <rFont val="Tahoma"/>
            <family val="2"/>
          </rPr>
          <t>Patti Gustafson: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A.1910.4 Insurance
Note: will obtain other quote; follow up from D. Gage??
2013…….$ 9,787     
2014…….$11,119       (Incr of $1332)
2015….…$11,147       (Incr of $    28)
2016…….$11,076       (Decr of $   72)
Update:
NOTE!! met with SEFCU representative. Gave NYMIR Quote @ $10,207.04. Usually Town renewed with SEFCU for Argonaut Ins Co, whom quoted @ $11,075.66.
NOTE!! met with Gates &amp; Cole Representative. Quote pending as of 11/7/16.
Preliminary Budget booked at $11,300, revised to $10,207; savings of $1093. Will bse savings to offset increase in Health Insurance CDPHP re Jason H.</t>
        </r>
      </text>
    </comment>
    <comment ref="M48" authorId="0" shapeId="0">
      <text>
        <r>
          <rPr>
            <b/>
            <sz val="9"/>
            <color indexed="81"/>
            <rFont val="Tahoma"/>
            <family val="2"/>
          </rPr>
          <t>Patti Gustafson: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A.1910.4 Insurance
Note: will obtain other quote; follow up from D. Gage??
2013…….$ 9,787     
2014…….$11,119       (Incr of $1332)
2015….…$11,147       (Incr of $    28)
2016…….$11,076       (Decr of $   72)
Update:
NOTE!! met with SEFCU representative. Gave NYMIR Quote @ $10,207.04. Usually Town renewed with SEFCU for Argonaut Ins Co, whom quoted @ $11,075.66.
NOTE!! met with Gates &amp; Cole Representative. Quote pending as of 11/7/16.
Preliminary Budget booked at $11,300, revised to $10,207; savings of $1093. Will bse savings to offset increase in Health Insurance CDPHP re Jason H.</t>
        </r>
      </text>
    </comment>
    <comment ref="L49" authorId="0" shapeId="0">
      <text>
        <r>
          <rPr>
            <b/>
            <sz val="9"/>
            <color indexed="81"/>
            <rFont val="Tahoma"/>
            <family val="2"/>
          </rPr>
          <t>Patti Gustafson: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 xml:space="preserve">A.1920.4 Municipal Dues
Note: Supervisor decline Assoc Dues for herself of $550.
</t>
        </r>
      </text>
    </comment>
    <comment ref="M49" authorId="0" shapeId="0">
      <text>
        <r>
          <rPr>
            <b/>
            <sz val="9"/>
            <color indexed="81"/>
            <rFont val="Tahoma"/>
            <family val="2"/>
          </rPr>
          <t>Patti Gustafson: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 xml:space="preserve">A.1920.4 Municipal Dues
Note: Supervisor decline Assoc Dues for herself of $550.
</t>
        </r>
      </text>
    </comment>
    <comment ref="L51" authorId="0" shapeId="0">
      <text>
        <r>
          <rPr>
            <b/>
            <sz val="9"/>
            <color indexed="81"/>
            <rFont val="Tahoma"/>
            <family val="2"/>
          </rPr>
          <t>Patti Gustafson: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A.1990.4 Contingency Fund
CY 2017 book at lower rate.
Book at $1500</t>
        </r>
      </text>
    </comment>
    <comment ref="M51" authorId="0" shapeId="0">
      <text>
        <r>
          <rPr>
            <b/>
            <sz val="9"/>
            <color indexed="81"/>
            <rFont val="Tahoma"/>
            <family val="2"/>
          </rPr>
          <t>Patti Gustafson: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A.1990.4 Contingency Fund
CY 2017 book at lower rate.
Book at $1500</t>
        </r>
      </text>
    </comment>
    <comment ref="L54" authorId="0" shapeId="0">
      <text>
        <r>
          <rPr>
            <b/>
            <sz val="9"/>
            <color indexed="81"/>
            <rFont val="Tahoma"/>
            <family val="2"/>
          </rPr>
          <t>Patti Gustafson: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A.3510.4 Dog Contraol Contraactual Expenses
Dog Tags
SPCA Expenses
Mileage Reimb.</t>
        </r>
      </text>
    </comment>
    <comment ref="M54" authorId="0" shapeId="0">
      <text>
        <r>
          <rPr>
            <b/>
            <sz val="9"/>
            <color indexed="81"/>
            <rFont val="Tahoma"/>
            <family val="2"/>
          </rPr>
          <t>Patti Gustafson: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A.3510.4 Dog Contraol Contraactual Expenses
Dog Tags
SPCA Expenses
Mileage Reimb.</t>
        </r>
      </text>
    </comment>
    <comment ref="L55" authorId="0" shapeId="0">
      <text>
        <r>
          <rPr>
            <b/>
            <sz val="9"/>
            <color indexed="81"/>
            <rFont val="Tahoma"/>
            <family val="2"/>
          </rPr>
          <t>Patti Gustafson:
A.4020.1</t>
        </r>
        <r>
          <rPr>
            <sz val="9"/>
            <color indexed="81"/>
            <rFont val="Tahoma"/>
            <family val="2"/>
          </rPr>
          <t xml:space="preserve">
Registar can keep monies collected "OR" get paid a stipend salary of $10/month. Amount per month is set by Town.
Budget Recommendation:  Decrease Revenue  &amp; Appropriation Amount.
12 months @$10 = $120
</t>
        </r>
      </text>
    </comment>
    <comment ref="M55" authorId="0" shapeId="0">
      <text>
        <r>
          <rPr>
            <b/>
            <sz val="9"/>
            <color indexed="81"/>
            <rFont val="Tahoma"/>
            <family val="2"/>
          </rPr>
          <t>Patti Gustafson:
A.4020.1</t>
        </r>
        <r>
          <rPr>
            <sz val="9"/>
            <color indexed="81"/>
            <rFont val="Tahoma"/>
            <family val="2"/>
          </rPr>
          <t xml:space="preserve">
Registar can keep monies collected "OR" get paid a stipend salary of $10/month. Amount per month is set by Town.
Budget Recommendation:  Decrease Revenue  &amp; Appropriation Amount.
12 months @$10 = $120
</t>
        </r>
      </text>
    </comment>
    <comment ref="L57" authorId="0" shapeId="0">
      <text>
        <r>
          <rPr>
            <b/>
            <sz val="9"/>
            <color indexed="81"/>
            <rFont val="Tahoma"/>
            <family val="2"/>
          </rPr>
          <t>Patti Gustafson: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 xml:space="preserve">A.5010.1 Hwy Supt
2013           $37,038   (1%)       2080 hrs    =  17.81 /hr        $
2014           $37,793   (2%)       2080 hrs     = 18.17 /hr      $.36/hr Incr
2015           $38,957   (3%)       2080 hrs     = 18.73 / hr     $ .56/hr Incr
2016           $40,125   (3%)       2080 hrs     = 19.29 /hr      $.56/hr Incr
2017           $41,329   (3%)       2080 hrs     = 19.87 / hr     $.58/Hr Incr
Note:  Minimum Wage increased from $9.00 to $9.25. 
Breakdown:        $.25  Minimum Wage Adjustment
                         </t>
        </r>
        <r>
          <rPr>
            <b/>
            <u/>
            <sz val="9"/>
            <color indexed="81"/>
            <rFont val="Tahoma"/>
            <family val="2"/>
          </rPr>
          <t xml:space="preserve">   .33   Actual COLA
 </t>
        </r>
        <r>
          <rPr>
            <b/>
            <sz val="9"/>
            <color indexed="81"/>
            <rFont val="Tahoma"/>
            <family val="2"/>
          </rPr>
          <t xml:space="preserve">                         $.58 / hr increase
Hwy Dept Employees booked at 3% increase/COLA for CY 2107.</t>
        </r>
      </text>
    </comment>
    <comment ref="M57" authorId="0" shapeId="0">
      <text>
        <r>
          <rPr>
            <b/>
            <sz val="9"/>
            <color indexed="81"/>
            <rFont val="Tahoma"/>
            <family val="2"/>
          </rPr>
          <t>Patti Gustafson: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 xml:space="preserve">A.5010.1 Hwy Supt
2013           $37,038   (1%)       2080 hrs    =  17.81 /hr        $
2014           $37,793   (2%)       2080 hrs     = 18.17 /hr      $.36/hr Incr
2015           $38,957   (3%)       2080 hrs     = 18.73 / hr     $ .56/hr Incr
2016           $40,125   (3%)       2080 hrs     = 19.29 /hr      $.56/hr Incr
2017           $41,329   (3%)       2080 hrs     = 19.87 / hr     $.58/Hr Incr
Note:  Minimum Wage increased from $9.00 to $9.25. 
Breakdown:        $.25  Minimum Wage Adjustment
                         </t>
        </r>
        <r>
          <rPr>
            <b/>
            <u/>
            <sz val="9"/>
            <color indexed="81"/>
            <rFont val="Tahoma"/>
            <family val="2"/>
          </rPr>
          <t xml:space="preserve">   .33   Actual COLA
 </t>
        </r>
        <r>
          <rPr>
            <b/>
            <sz val="9"/>
            <color indexed="81"/>
            <rFont val="Tahoma"/>
            <family val="2"/>
          </rPr>
          <t xml:space="preserve">                         $.58 / hr increase
Hwy Dept Employees booked at 3% increase/COLA for CY 2107.</t>
        </r>
      </text>
    </comment>
    <comment ref="L59" authorId="0" shapeId="0">
      <text>
        <r>
          <rPr>
            <b/>
            <sz val="9"/>
            <color indexed="81"/>
            <rFont val="Tahoma"/>
            <family val="2"/>
          </rPr>
          <t>Patti Gustafson: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 xml:space="preserve">A.5182.4 Street Lighting Contractual Expense
Formula for CY 2017:  $1680 / 8 months x 12 months = $2570
Rate Incr.....estimated...............................................    </t>
        </r>
        <r>
          <rPr>
            <b/>
            <u/>
            <sz val="9"/>
            <color indexed="81"/>
            <rFont val="Tahoma"/>
            <family val="2"/>
          </rPr>
          <t xml:space="preserve">      180
  </t>
        </r>
        <r>
          <rPr>
            <b/>
            <sz val="9"/>
            <color indexed="81"/>
            <rFont val="Tahoma"/>
            <family val="2"/>
          </rPr>
          <t xml:space="preserve">   TOTAL FOR CY 2017....................................................$2750
YTD Expenses for 2016 ……………………… =    1680
Estimated for Year End bills…………………..=  </t>
        </r>
        <r>
          <rPr>
            <b/>
            <u/>
            <sz val="9"/>
            <color indexed="81"/>
            <rFont val="Tahoma"/>
            <family val="2"/>
          </rPr>
          <t xml:space="preserve">   891</t>
        </r>
        <r>
          <rPr>
            <b/>
            <sz val="9"/>
            <color indexed="81"/>
            <rFont val="Tahoma"/>
            <family val="2"/>
          </rPr>
          <t xml:space="preserve">
  Total for CY 2016……………………………….. $ 2571
NOTE: May want to factor in LED conversion !!!!!   
Initial replacement costs.</t>
        </r>
      </text>
    </comment>
    <comment ref="M59" authorId="0" shapeId="0">
      <text>
        <r>
          <rPr>
            <b/>
            <sz val="9"/>
            <color indexed="81"/>
            <rFont val="Tahoma"/>
            <family val="2"/>
          </rPr>
          <t>Patti Gustafson: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 xml:space="preserve">A.5182.4 Street Lighting Contractual Expense
Formula for CY 2017:  $1680 / 8 months x 12 months = $2570
Rate Incr.....estimated...............................................    </t>
        </r>
        <r>
          <rPr>
            <b/>
            <u/>
            <sz val="9"/>
            <color indexed="81"/>
            <rFont val="Tahoma"/>
            <family val="2"/>
          </rPr>
          <t xml:space="preserve">      180
  </t>
        </r>
        <r>
          <rPr>
            <b/>
            <sz val="9"/>
            <color indexed="81"/>
            <rFont val="Tahoma"/>
            <family val="2"/>
          </rPr>
          <t xml:space="preserve">   TOTAL FOR CY 2017....................................................$2750
Revised Prelminary;shift to Health Ins Line.........</t>
        </r>
        <r>
          <rPr>
            <b/>
            <u/>
            <sz val="9"/>
            <color indexed="81"/>
            <rFont val="Tahoma"/>
            <family val="2"/>
          </rPr>
          <t>.....(-)    $ 200
Book adjusted amount for CY 2017                                $2550</t>
        </r>
        <r>
          <rPr>
            <b/>
            <sz val="9"/>
            <color indexed="81"/>
            <rFont val="Tahoma"/>
            <family val="2"/>
          </rPr>
          <t xml:space="preserve">
YTD Expenses for 2016 ……………………… =    1680
Estimated for Year End bills…………………..=  </t>
        </r>
        <r>
          <rPr>
            <b/>
            <u/>
            <sz val="9"/>
            <color indexed="81"/>
            <rFont val="Tahoma"/>
            <family val="2"/>
          </rPr>
          <t xml:space="preserve">   891</t>
        </r>
        <r>
          <rPr>
            <b/>
            <sz val="9"/>
            <color indexed="81"/>
            <rFont val="Tahoma"/>
            <family val="2"/>
          </rPr>
          <t xml:space="preserve">
  Total for CY 2016……………………………….. $ 2571
NOTE: May want to factor in LED conversion !!!!!   
Initial replacement costs.</t>
        </r>
      </text>
    </comment>
    <comment ref="L61" authorId="0" shapeId="0">
      <text>
        <r>
          <rPr>
            <b/>
            <sz val="9"/>
            <color indexed="81"/>
            <rFont val="Tahoma"/>
            <family val="2"/>
          </rPr>
          <t>Patti Gustafson: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A.8020.4 Planning Board Contractual Expenses
Other Town pay for meeting/attendance for mileage.
i.e. Schoharie: $40/Meeting/PP 
Formula:  
$5/meeting x 7 Meetings = $35/ PP x 7 Persons =  $245
Supplies……………………………………………………… = $  55
Training/Mileage/etc........................................... =</t>
        </r>
        <r>
          <rPr>
            <b/>
            <u/>
            <sz val="9"/>
            <color indexed="81"/>
            <rFont val="Tahoma"/>
            <family val="2"/>
          </rPr>
          <t xml:space="preserve">  $100 
</t>
        </r>
        <r>
          <rPr>
            <b/>
            <i/>
            <sz val="9"/>
            <color indexed="81"/>
            <rFont val="Tahoma"/>
            <family val="2"/>
          </rPr>
          <t xml:space="preserve">  TOTAL...................................................................$400</t>
        </r>
      </text>
    </comment>
    <comment ref="M61" authorId="0" shapeId="0">
      <text>
        <r>
          <rPr>
            <b/>
            <sz val="9"/>
            <color indexed="81"/>
            <rFont val="Tahoma"/>
            <family val="2"/>
          </rPr>
          <t>Patti Gustafson: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A.8020.4 Planning Board Contractual Expenses
Other Town pay for meeting/attendance for mileage.
i.e. Schoharie: $40/Meeting/PP 
Formula:  
$5/meeting x 7 Meetings = $35/ PP x 7 Persons =  $245
Supplies……………………………………………………… = $  55
Training/Mileage/etc........................................... =</t>
        </r>
        <r>
          <rPr>
            <b/>
            <u/>
            <sz val="9"/>
            <color indexed="81"/>
            <rFont val="Tahoma"/>
            <family val="2"/>
          </rPr>
          <t xml:space="preserve">  $100 
</t>
        </r>
        <r>
          <rPr>
            <b/>
            <i/>
            <sz val="9"/>
            <color indexed="81"/>
            <rFont val="Tahoma"/>
            <family val="2"/>
          </rPr>
          <t xml:space="preserve">  TOTAL...................................................................$400</t>
        </r>
      </text>
    </comment>
    <comment ref="L66" authorId="0" shapeId="0">
      <text>
        <r>
          <rPr>
            <b/>
            <sz val="9"/>
            <color indexed="81"/>
            <rFont val="Tahoma"/>
            <family val="2"/>
          </rPr>
          <t>Patti Gustafson:</t>
        </r>
        <r>
          <rPr>
            <sz val="9"/>
            <color indexed="81"/>
            <rFont val="Tahoma"/>
            <family val="2"/>
          </rPr>
          <t xml:space="preserve">
A.9010.8 NYS RETIREMENT   
Based on NYS LRS Statement
30841 ERS - 2018 Projections:  Prepay on 12/15/17 = $ 28,236
</t>
        </r>
        <r>
          <rPr>
            <b/>
            <i/>
            <u/>
            <sz val="9"/>
            <color indexed="81"/>
            <rFont val="Tahoma"/>
            <family val="2"/>
          </rPr>
          <t xml:space="preserve">Breakdown:
</t>
        </r>
        <r>
          <rPr>
            <b/>
            <i/>
            <sz val="9"/>
            <color indexed="81"/>
            <rFont val="Tahoma"/>
            <family val="2"/>
          </rPr>
          <t xml:space="preserve">General Fund              $  8,950     Mabie , Stannard Tier 4
Highway Fund             </t>
        </r>
        <r>
          <rPr>
            <b/>
            <i/>
            <u/>
            <sz val="9"/>
            <color indexed="81"/>
            <rFont val="Tahoma"/>
            <family val="2"/>
          </rPr>
          <t xml:space="preserve"> 19,286 </t>
        </r>
        <r>
          <rPr>
            <b/>
            <i/>
            <sz val="9"/>
            <color indexed="81"/>
            <rFont val="Tahoma"/>
            <family val="2"/>
          </rPr>
          <t xml:space="preserve">    Hornbeck, Auger Tier 4; VanDewerker Tier 5
    Total..................... $28,236</t>
        </r>
      </text>
    </comment>
    <comment ref="M66" authorId="0" shapeId="0">
      <text>
        <r>
          <rPr>
            <b/>
            <sz val="9"/>
            <color indexed="81"/>
            <rFont val="Tahoma"/>
            <family val="2"/>
          </rPr>
          <t>Patti Gustafson:</t>
        </r>
        <r>
          <rPr>
            <sz val="9"/>
            <color indexed="81"/>
            <rFont val="Tahoma"/>
            <family val="2"/>
          </rPr>
          <t xml:space="preserve">
A.9010.8 NYS RETIREMENT   
Based on NYS LRS Statement
30841 ERS - 2018 Projections:  Prepay on 12/15/17 = $ 28,236
</t>
        </r>
        <r>
          <rPr>
            <b/>
            <i/>
            <u/>
            <sz val="9"/>
            <color indexed="81"/>
            <rFont val="Tahoma"/>
            <family val="2"/>
          </rPr>
          <t xml:space="preserve">Breakdown:
</t>
        </r>
        <r>
          <rPr>
            <b/>
            <i/>
            <sz val="9"/>
            <color indexed="81"/>
            <rFont val="Tahoma"/>
            <family val="2"/>
          </rPr>
          <t xml:space="preserve">General Fund              $  8,950     Mabie , Stannard Tier 4
Highway Fund             </t>
        </r>
        <r>
          <rPr>
            <b/>
            <i/>
            <u/>
            <sz val="9"/>
            <color indexed="81"/>
            <rFont val="Tahoma"/>
            <family val="2"/>
          </rPr>
          <t xml:space="preserve"> 19,286 </t>
        </r>
        <r>
          <rPr>
            <b/>
            <i/>
            <sz val="9"/>
            <color indexed="81"/>
            <rFont val="Tahoma"/>
            <family val="2"/>
          </rPr>
          <t xml:space="preserve">    Hornbeck, Auger Tier 4; VanDewerker Tier 5
    Total..................... $28,236</t>
        </r>
      </text>
    </comment>
    <comment ref="L68" authorId="0" shapeId="0">
      <text>
        <r>
          <rPr>
            <b/>
            <sz val="9"/>
            <color indexed="81"/>
            <rFont val="Tahoma"/>
            <family val="2"/>
          </rPr>
          <t>Patti Gustafson:</t>
        </r>
        <r>
          <rPr>
            <sz val="9"/>
            <color indexed="81"/>
            <rFont val="Tahoma"/>
            <family val="2"/>
          </rPr>
          <t xml:space="preserve">
A.9060.8  HEALTH INSURANCE
CDPHP has filed a request for NYS Department of Fiancial Services for a change to premium rates.  
</t>
        </r>
        <r>
          <rPr>
            <b/>
            <i/>
            <u/>
            <sz val="9"/>
            <color indexed="81"/>
            <rFont val="Tahoma"/>
            <family val="2"/>
          </rPr>
          <t>FOR GENERAL FUND: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i/>
            <u/>
            <sz val="9"/>
            <color indexed="81"/>
            <rFont val="Tahoma"/>
            <family val="2"/>
          </rPr>
          <t>An estimated increase of 19.209%
$656.41 x 19.209% = $782.50 x 12 mos = $9720.87</t>
        </r>
      </text>
    </comment>
    <comment ref="M68" authorId="0" shapeId="0">
      <text>
        <r>
          <rPr>
            <b/>
            <sz val="9"/>
            <color indexed="81"/>
            <rFont val="Tahoma"/>
            <family val="2"/>
          </rPr>
          <t>Patti Gustafson:</t>
        </r>
        <r>
          <rPr>
            <sz val="9"/>
            <color indexed="81"/>
            <rFont val="Tahoma"/>
            <family val="2"/>
          </rPr>
          <t xml:space="preserve">
A.9060.8  HEALTH INSURANCE
CDPHP has filed a request for NYS Department of Fiancial Services for a change to premium rates.  
</t>
        </r>
        <r>
          <rPr>
            <b/>
            <i/>
            <u/>
            <sz val="9"/>
            <color indexed="81"/>
            <rFont val="Tahoma"/>
            <family val="2"/>
          </rPr>
          <t>FOR GENERAL FUND: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i/>
            <u/>
            <sz val="9"/>
            <color indexed="81"/>
            <rFont val="Tahoma"/>
            <family val="2"/>
          </rPr>
          <t>An estimated increase of 19.209%
$656.41 x 19.209% = $782.50 x 12 mos = $9720.87</t>
        </r>
      </text>
    </comment>
  </commentList>
</comments>
</file>

<file path=xl/comments3.xml><?xml version="1.0" encoding="utf-8"?>
<comments xmlns="http://schemas.openxmlformats.org/spreadsheetml/2006/main">
  <authors>
    <author>Patti Gustafson</author>
  </authors>
  <commentList>
    <comment ref="K5" authorId="0" shapeId="0">
      <text>
        <r>
          <rPr>
            <b/>
            <sz val="9"/>
            <color indexed="81"/>
            <rFont val="Tahoma"/>
            <family val="2"/>
          </rPr>
          <t>Patti Gustafson: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 xml:space="preserve">DA.2302 Snow Removal Services--Other Govt's
CY 2016 Reflects:  Mild Winter, less Overtime PS.
NYS           $   69,300
County    </t>
        </r>
        <r>
          <rPr>
            <b/>
            <u/>
            <sz val="9"/>
            <color indexed="81"/>
            <rFont val="Tahoma"/>
            <family val="2"/>
          </rPr>
          <t xml:space="preserve"> $   29,745
</t>
        </r>
        <r>
          <rPr>
            <b/>
            <sz val="9"/>
            <color indexed="81"/>
            <rFont val="Tahoma"/>
            <family val="2"/>
          </rPr>
          <t xml:space="preserve">                $   89,115
A/R Fall  </t>
        </r>
        <r>
          <rPr>
            <b/>
            <u/>
            <sz val="9"/>
            <color indexed="81"/>
            <rFont val="Tahoma"/>
            <family val="2"/>
          </rPr>
          <t xml:space="preserve">  $   10,000
</t>
        </r>
        <r>
          <rPr>
            <b/>
            <sz val="9"/>
            <color indexed="81"/>
            <rFont val="Tahoma"/>
            <family val="2"/>
          </rPr>
          <t xml:space="preserve">  </t>
        </r>
        <r>
          <rPr>
            <b/>
            <i/>
            <sz val="9"/>
            <color indexed="81"/>
            <rFont val="Tahoma"/>
            <family val="2"/>
          </rPr>
          <t xml:space="preserve">Total……$   99,115  estimated for CY 2016
Book for CY 2017..............$100,000 conservative projection
</t>
        </r>
        <r>
          <rPr>
            <b/>
            <u/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 xml:space="preserve">  </t>
        </r>
        <r>
          <rPr>
            <b/>
            <u/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 xml:space="preserve"> 
</t>
        </r>
      </text>
    </comment>
    <comment ref="L5" authorId="0" shapeId="0">
      <text>
        <r>
          <rPr>
            <b/>
            <sz val="9"/>
            <color indexed="81"/>
            <rFont val="Tahoma"/>
            <family val="2"/>
          </rPr>
          <t>Patti Gustafson: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 xml:space="preserve">DA.2302 Snow Removal Services--Other Govt's
CY 2016 Reflects:  Mild Winter, less Overtime PS.
NYS           $   69,300
County    </t>
        </r>
        <r>
          <rPr>
            <b/>
            <u/>
            <sz val="9"/>
            <color indexed="81"/>
            <rFont val="Tahoma"/>
            <family val="2"/>
          </rPr>
          <t xml:space="preserve"> $   29,745
</t>
        </r>
        <r>
          <rPr>
            <b/>
            <sz val="9"/>
            <color indexed="81"/>
            <rFont val="Tahoma"/>
            <family val="2"/>
          </rPr>
          <t xml:space="preserve">                $   89,115
A/R Fall  </t>
        </r>
        <r>
          <rPr>
            <b/>
            <u/>
            <sz val="9"/>
            <color indexed="81"/>
            <rFont val="Tahoma"/>
            <family val="2"/>
          </rPr>
          <t xml:space="preserve">  $   10,000
</t>
        </r>
        <r>
          <rPr>
            <b/>
            <sz val="9"/>
            <color indexed="81"/>
            <rFont val="Tahoma"/>
            <family val="2"/>
          </rPr>
          <t xml:space="preserve">  </t>
        </r>
        <r>
          <rPr>
            <b/>
            <i/>
            <sz val="9"/>
            <color indexed="81"/>
            <rFont val="Tahoma"/>
            <family val="2"/>
          </rPr>
          <t xml:space="preserve">Total……$   99,115  estimated for CY 2016
Book for CY 2017..............$100,000 conservative projection
</t>
        </r>
        <r>
          <rPr>
            <b/>
            <u/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 xml:space="preserve">  </t>
        </r>
        <r>
          <rPr>
            <b/>
            <u/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 xml:space="preserve"> 
</t>
        </r>
      </text>
    </comment>
    <comment ref="K7" authorId="0" shapeId="0">
      <text>
        <r>
          <rPr>
            <b/>
            <sz val="9"/>
            <color indexed="81"/>
            <rFont val="Tahoma"/>
            <family val="2"/>
          </rPr>
          <t>Patti Gustafson:
DA.2650 Sale of Scrap Metal
CY  2016 ………………………$  0
CY 2017 ……………………….$200
Note: Sale of metal Tubes --located behind Cold Storage Building
Note: Sale of metal items in Garage</t>
        </r>
      </text>
    </comment>
    <comment ref="L7" authorId="0" shapeId="0">
      <text>
        <r>
          <rPr>
            <b/>
            <sz val="9"/>
            <color indexed="81"/>
            <rFont val="Tahoma"/>
            <family val="2"/>
          </rPr>
          <t>Patti Gustafson:
DA.2650 Sale of Scrap Metal
CY  2016 ………………………$  0
CY 2017 ……………………….$200
Note: Sale of metal Tubes --located behind Cold Storage Building
Note: Sale of metal items in Garage</t>
        </r>
      </text>
    </comment>
    <comment ref="K10" authorId="0" shapeId="0">
      <text>
        <r>
          <rPr>
            <b/>
            <sz val="9"/>
            <color indexed="81"/>
            <rFont val="Tahoma"/>
            <family val="2"/>
          </rPr>
          <t>Patti Gustafson:</t>
        </r>
        <r>
          <rPr>
            <sz val="9"/>
            <color indexed="81"/>
            <rFont val="Tahoma"/>
            <family val="2"/>
          </rPr>
          <t xml:space="preserve">
DA.2770.1 Unclassified Revenue - for Dust Control.
Resident to pay for dust control service.
Expense/Appropriation line:  DA.5110.41 General Repair (SUMMER) Contractual Expense.</t>
        </r>
      </text>
    </comment>
    <comment ref="L10" authorId="0" shapeId="0">
      <text>
        <r>
          <rPr>
            <b/>
            <sz val="9"/>
            <color indexed="81"/>
            <rFont val="Tahoma"/>
            <family val="2"/>
          </rPr>
          <t>Patti Gustafson:</t>
        </r>
        <r>
          <rPr>
            <sz val="9"/>
            <color indexed="81"/>
            <rFont val="Tahoma"/>
            <family val="2"/>
          </rPr>
          <t xml:space="preserve">
DA.2770.1 Unclassified Revenue - for Dust Control.
Resident to pay for dust control service.
Expense/Appropriation line:  DA.5110.41 General Repair (SUMMER) Contractual Expense.</t>
        </r>
      </text>
    </comment>
    <comment ref="K11" authorId="0" shapeId="0">
      <text>
        <r>
          <rPr>
            <b/>
            <sz val="9"/>
            <color indexed="81"/>
            <rFont val="Tahoma"/>
            <family val="2"/>
          </rPr>
          <t>Patti Gustafson: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DA.3501 STATE AID ---CHIPS
For CY 2017:
Base CHIPS…………………….$  84,940
Extra CHIPS……………………</t>
        </r>
        <r>
          <rPr>
            <b/>
            <u/>
            <sz val="9"/>
            <color indexed="81"/>
            <rFont val="Tahoma"/>
            <family val="2"/>
          </rPr>
          <t xml:space="preserve">$           0 </t>
        </r>
        <r>
          <rPr>
            <b/>
            <sz val="9"/>
            <color indexed="81"/>
            <rFont val="Tahoma"/>
            <family val="2"/>
          </rPr>
          <t xml:space="preserve"> (Do not book; no guarantee of funds)
   sub-total…………………….$  84,940
Deferred from CY 2016 ……</t>
        </r>
        <r>
          <rPr>
            <b/>
            <u/>
            <sz val="9"/>
            <color indexed="81"/>
            <rFont val="Tahoma"/>
            <family val="2"/>
          </rPr>
          <t xml:space="preserve">$  49,378 </t>
        </r>
        <r>
          <rPr>
            <b/>
            <sz val="9"/>
            <color indexed="81"/>
            <rFont val="Tahoma"/>
            <family val="2"/>
          </rPr>
          <t xml:space="preserve">For Honey Hill Road)
  </t>
        </r>
        <r>
          <rPr>
            <b/>
            <i/>
            <sz val="9"/>
            <color indexed="81"/>
            <rFont val="Tahoma"/>
            <family val="2"/>
          </rPr>
          <t>Total ...............................$134,318</t>
        </r>
      </text>
    </comment>
    <comment ref="L11" authorId="0" shapeId="0">
      <text>
        <r>
          <rPr>
            <b/>
            <sz val="9"/>
            <color indexed="81"/>
            <rFont val="Tahoma"/>
            <family val="2"/>
          </rPr>
          <t>Patti Gustafson: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DA.3501 STATE AID ---CHIPS
For CY 2017:
Base CHIPS…………………….$  84,940
Extra CHIPS……………………</t>
        </r>
        <r>
          <rPr>
            <b/>
            <u/>
            <sz val="9"/>
            <color indexed="81"/>
            <rFont val="Tahoma"/>
            <family val="2"/>
          </rPr>
          <t xml:space="preserve">$           0 </t>
        </r>
        <r>
          <rPr>
            <b/>
            <sz val="9"/>
            <color indexed="81"/>
            <rFont val="Tahoma"/>
            <family val="2"/>
          </rPr>
          <t xml:space="preserve"> (Do not book; no guarantee of funds)
   sub-total…………………….$  84,940
Deferred from CY 2016 ……</t>
        </r>
        <r>
          <rPr>
            <b/>
            <u/>
            <sz val="9"/>
            <color indexed="81"/>
            <rFont val="Tahoma"/>
            <family val="2"/>
          </rPr>
          <t xml:space="preserve">$  49,378 </t>
        </r>
        <r>
          <rPr>
            <b/>
            <sz val="9"/>
            <color indexed="81"/>
            <rFont val="Tahoma"/>
            <family val="2"/>
          </rPr>
          <t xml:space="preserve">For Honey Hill Road)
  </t>
        </r>
        <r>
          <rPr>
            <b/>
            <i/>
            <sz val="9"/>
            <color indexed="81"/>
            <rFont val="Tahoma"/>
            <family val="2"/>
          </rPr>
          <t>Total ...............................$134,318</t>
        </r>
      </text>
    </comment>
    <comment ref="K18" authorId="0" shapeId="0">
      <text>
        <r>
          <rPr>
            <b/>
            <sz val="9"/>
            <color indexed="81"/>
            <rFont val="Tahoma"/>
            <family val="2"/>
          </rPr>
          <t>Patti Gustafson: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 xml:space="preserve">DA.5110.1 Summer - Personal Services (Payroll)
On Average: Summer booked at 51% and Winter booked at 49%
Base Salary:                            $  94,916
Overtime Salary:                           3,713
</t>
        </r>
        <r>
          <rPr>
            <b/>
            <u/>
            <sz val="9"/>
            <color indexed="81"/>
            <rFont val="Tahoma"/>
            <family val="2"/>
          </rPr>
          <t xml:space="preserve">PTE Salary:                                   2,240
</t>
        </r>
        <r>
          <rPr>
            <b/>
            <sz val="9"/>
            <color indexed="81"/>
            <rFont val="Tahoma"/>
            <family val="2"/>
          </rPr>
          <t xml:space="preserve">    </t>
        </r>
        <r>
          <rPr>
            <b/>
            <i/>
            <sz val="9"/>
            <color indexed="81"/>
            <rFont val="Tahoma"/>
            <family val="2"/>
          </rPr>
          <t>Total..................................$100,868
SUMMER:  $100,868  @  51%  =  $ 51,443</t>
        </r>
      </text>
    </comment>
    <comment ref="L18" authorId="0" shapeId="0">
      <text>
        <r>
          <rPr>
            <b/>
            <sz val="9"/>
            <color indexed="81"/>
            <rFont val="Tahoma"/>
            <family val="2"/>
          </rPr>
          <t>Patti Gustafson: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 xml:space="preserve">DA.5110.1 Summer - Personal Services (Payroll)
On Average: Summer booked at 51% and Winter booked at 49%
Base Salary:                            $  94,916
Overtime Salary:                           3,713
</t>
        </r>
        <r>
          <rPr>
            <b/>
            <u/>
            <sz val="9"/>
            <color indexed="81"/>
            <rFont val="Tahoma"/>
            <family val="2"/>
          </rPr>
          <t xml:space="preserve">PTE Salary:                                   2,240
</t>
        </r>
        <r>
          <rPr>
            <b/>
            <sz val="9"/>
            <color indexed="81"/>
            <rFont val="Tahoma"/>
            <family val="2"/>
          </rPr>
          <t xml:space="preserve">    </t>
        </r>
        <r>
          <rPr>
            <b/>
            <i/>
            <sz val="9"/>
            <color indexed="81"/>
            <rFont val="Tahoma"/>
            <family val="2"/>
          </rPr>
          <t xml:space="preserve">Total..................................$100,868
SUMMER:  $100,868  @  51%  =  $ 51,443
Decrease by                            </t>
        </r>
        <r>
          <rPr>
            <b/>
            <i/>
            <u/>
            <sz val="9"/>
            <color indexed="81"/>
            <rFont val="Tahoma"/>
            <family val="2"/>
          </rPr>
          <t xml:space="preserve">          - 550   re: PTE
Revised total for CY 2017            $50,893</t>
        </r>
      </text>
    </comment>
    <comment ref="K19" authorId="0" shapeId="0">
      <text>
        <r>
          <rPr>
            <b/>
            <sz val="9"/>
            <color indexed="81"/>
            <rFont val="Tahoma"/>
            <family val="2"/>
          </rPr>
          <t>Patti Gustafson: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 xml:space="preserve">DA.5110.4  General Summer Repairs--Contractual Expenses
Expense Hx
2013             $  88,450
2014             $  45,236
2015           </t>
        </r>
        <r>
          <rPr>
            <b/>
            <u/>
            <sz val="9"/>
            <color indexed="81"/>
            <rFont val="Tahoma"/>
            <family val="2"/>
          </rPr>
          <t xml:space="preserve">  $  47,463
</t>
        </r>
        <r>
          <rPr>
            <b/>
            <i/>
            <sz val="9"/>
            <color indexed="81"/>
            <rFont val="Tahoma"/>
            <family val="2"/>
          </rPr>
          <t xml:space="preserve">  Total ……… $181,148  / 3 years = $60,383 Average per Year
2016            </t>
        </r>
        <r>
          <rPr>
            <b/>
            <i/>
            <u/>
            <sz val="9"/>
            <color indexed="81"/>
            <rFont val="Tahoma"/>
            <family val="2"/>
          </rPr>
          <t xml:space="preserve">$  60,000 </t>
        </r>
        <r>
          <rPr>
            <b/>
            <i/>
            <sz val="9"/>
            <color indexed="81"/>
            <rFont val="Tahoma"/>
            <family val="2"/>
          </rPr>
          <t xml:space="preserve"> estimate expenses
   Total......... $ 241,148 / 4 years = $60,287
Summer Work: Tubes, Road Repairs, etc
Reduce by $5,000 as Town puchased excavator in order to lower costs.
Road Projects:
Wes Brown: Culvert, Top It, Shale Placement   $10,000
Edwards Road:  Finish Top and take out narrow Bank.....$$2500
Middle Hoose (DeAngelo) up to Town Seasonal Road: Topping  it, Shale ....$42,000
     Vs Stone &amp; Oil &amp; 6"-8" Base
Bill Marne Road:  ....................................$5500
Dust Control on various Roads....
Buttermilk Road:  finish up.............$2,000
Middlefield Road:   Address some tubes, clean out ditches.</t>
        </r>
      </text>
    </comment>
    <comment ref="L19" authorId="0" shapeId="0">
      <text>
        <r>
          <rPr>
            <b/>
            <sz val="9"/>
            <color indexed="81"/>
            <rFont val="Tahoma"/>
            <family val="2"/>
          </rPr>
          <t>Patti Gustafson: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 xml:space="preserve">DA.5110.4  General Summer Repairs--Contractual Expenses
Expense Hx
2013             $  88,450
2014             $  45,236
2015           </t>
        </r>
        <r>
          <rPr>
            <b/>
            <u/>
            <sz val="9"/>
            <color indexed="81"/>
            <rFont val="Tahoma"/>
            <family val="2"/>
          </rPr>
          <t xml:space="preserve">  $  47,463
</t>
        </r>
        <r>
          <rPr>
            <b/>
            <i/>
            <sz val="9"/>
            <color indexed="81"/>
            <rFont val="Tahoma"/>
            <family val="2"/>
          </rPr>
          <t xml:space="preserve">  Total ……… $181,148  / 3 years = $60,383 Average per Year
2016            </t>
        </r>
        <r>
          <rPr>
            <b/>
            <i/>
            <u/>
            <sz val="9"/>
            <color indexed="81"/>
            <rFont val="Tahoma"/>
            <family val="2"/>
          </rPr>
          <t xml:space="preserve">$  60,000 </t>
        </r>
        <r>
          <rPr>
            <b/>
            <i/>
            <sz val="9"/>
            <color indexed="81"/>
            <rFont val="Tahoma"/>
            <family val="2"/>
          </rPr>
          <t xml:space="preserve"> estimate expenses
   Total......... $ 241,148 / 4 years = $60,287
Summer Work: Tubes, Road Repairs, etc
Reduce by $5,000 as Town puchased excavator in order to lower costs.
Road Projects:
Wes Brown: Culvert, Top It, Shale Placement   $10,000
Edwards Road:  Finish Top and take out narrow Bank.....$$2500
Middle Hoose (DeAngelo) up to Town Seasonal Road: Topping  it, Shale ....$42,000
     Vs Stone &amp; Oil &amp; 6"-8" Base
Bill Marne Road:  ....................................$5500
Dust Control on various Roads....
Buttermilk Road:  finish up.............$2,000
Middlefield Road:   Address some tubes, clean out ditches.</t>
        </r>
      </text>
    </comment>
    <comment ref="K20" authorId="0" shapeId="0">
      <text>
        <r>
          <rPr>
            <b/>
            <sz val="9"/>
            <color indexed="81"/>
            <rFont val="Tahoma"/>
            <family val="2"/>
          </rPr>
          <t>Patti Gustafson:</t>
        </r>
        <r>
          <rPr>
            <sz val="9"/>
            <color indexed="81"/>
            <rFont val="Tahoma"/>
            <family val="2"/>
          </rPr>
          <t xml:space="preserve">
DA.2770.1 Unclassified Revenue - for Dust Control.
Resident to pay for dust control service.
Expense/Appropriation line:  DA.5110.41 General Repair (SUMMER) Contractual Expense.</t>
        </r>
      </text>
    </comment>
    <comment ref="L20" authorId="0" shapeId="0">
      <text>
        <r>
          <rPr>
            <b/>
            <sz val="9"/>
            <color indexed="81"/>
            <rFont val="Tahoma"/>
            <family val="2"/>
          </rPr>
          <t>Patti Gustafson:</t>
        </r>
        <r>
          <rPr>
            <sz val="9"/>
            <color indexed="81"/>
            <rFont val="Tahoma"/>
            <family val="2"/>
          </rPr>
          <t xml:space="preserve">
DA.2770.1 Unclassified Revenue - for Dust Control.
Resident to pay for dust control service.
Expense/Appropriation line:  DA.5110.41 General Repair (SUMMER) Contractual Expense.</t>
        </r>
      </text>
    </comment>
    <comment ref="K22" authorId="0" shapeId="0">
      <text>
        <r>
          <rPr>
            <b/>
            <sz val="9"/>
            <color indexed="81"/>
            <rFont val="Tahoma"/>
            <family val="2"/>
          </rPr>
          <t>Patti Gustafson: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DA.5112.4 CHIPS
For CY 2017:
Base CHIPS…………………….$  84,940
Extra CHIPS……………………$           0  (Do not book; no guarantee of funds)
   sub-total…………………….$  84,940
Deferred from CY 2016 ……$  49,378  (For Honey Hill Road)
  Total ...............................$134,318</t>
        </r>
      </text>
    </comment>
    <comment ref="L22" authorId="0" shapeId="0">
      <text>
        <r>
          <rPr>
            <b/>
            <sz val="9"/>
            <color indexed="81"/>
            <rFont val="Tahoma"/>
            <family val="2"/>
          </rPr>
          <t>Patti Gustafson: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DA.5112.4 CHIPS
For CY 2017:
Base CHIPS…………………….$  84,940
Extra CHIPS……………………$           0  (Do not book; no guarantee of funds)
   sub-total…………………….$  84,940
Deferred from CY 2016 ……$  49,378  (For Honey Hill Road)
  Total ...............................$134,318</t>
        </r>
      </text>
    </comment>
    <comment ref="K23" authorId="0" shapeId="0">
      <text>
        <r>
          <rPr>
            <b/>
            <sz val="9"/>
            <color indexed="81"/>
            <rFont val="Tahoma"/>
            <family val="2"/>
          </rPr>
          <t>Patti Gustafson: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DA.5130.2 Hwy Machinery/Equipment
CY 2016 Budgeted $10,000
CY 2016 Expensed  $ 9,370
CY 2017 Book @ $20,000
Note: Equipment Savings Reserve Funds available.
See A.5031 Interfund Transfer</t>
        </r>
      </text>
    </comment>
    <comment ref="L23" authorId="0" shapeId="0">
      <text>
        <r>
          <rPr>
            <b/>
            <sz val="9"/>
            <color indexed="81"/>
            <rFont val="Tahoma"/>
            <family val="2"/>
          </rPr>
          <t>Patti Gustafson: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DA.5130.2 Hwy Machinery/Equipment
CY 2016 Budgeted $10,000
CY 2016 Expensed  $ 9,370
CY 2017 Book @ $20,000
Note: Equipment Savings Reserve Funds available.
See A.5031 Interfund Transfer</t>
        </r>
      </text>
    </comment>
    <comment ref="K24" authorId="0" shapeId="0">
      <text>
        <r>
          <rPr>
            <b/>
            <sz val="9"/>
            <color indexed="81"/>
            <rFont val="Tahoma"/>
            <family val="2"/>
          </rPr>
          <t>Patti Gustafson: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 xml:space="preserve">DA.5130.4 Machiinery/Equipment Contractual Expenses
2013             $  38,073
2014             $  39,008
2015             </t>
        </r>
        <r>
          <rPr>
            <b/>
            <u/>
            <sz val="9"/>
            <color indexed="81"/>
            <rFont val="Tahoma"/>
            <family val="2"/>
          </rPr>
          <t xml:space="preserve">$  35,410
</t>
        </r>
        <r>
          <rPr>
            <b/>
            <i/>
            <sz val="9"/>
            <color indexed="81"/>
            <rFont val="Tahoma"/>
            <family val="2"/>
          </rPr>
          <t xml:space="preserve">   sub-total   $112,491 / 3 years = $37,497
2016           </t>
        </r>
        <r>
          <rPr>
            <b/>
            <i/>
            <u/>
            <sz val="9"/>
            <color indexed="81"/>
            <rFont val="Tahoma"/>
            <family val="2"/>
          </rPr>
          <t xml:space="preserve">  $ 32,304 </t>
        </r>
        <r>
          <rPr>
            <b/>
            <i/>
            <sz val="9"/>
            <color indexed="81"/>
            <rFont val="Tahoma"/>
            <family val="2"/>
          </rPr>
          <t xml:space="preserve"> ($22,882/8.5*12)
   Total…..... $144,795 / 4 years = $36,199
CY 2017 book @ $36,000</t>
        </r>
        <r>
          <rPr>
            <b/>
            <sz val="9"/>
            <color indexed="81"/>
            <rFont val="Tahoma"/>
            <family val="2"/>
          </rPr>
          <t xml:space="preserve">
Note: Verify if any special "Equipment Repairs" are projected for 2017?????   </t>
        </r>
      </text>
    </comment>
    <comment ref="L24" authorId="0" shapeId="0">
      <text>
        <r>
          <rPr>
            <b/>
            <sz val="9"/>
            <color indexed="81"/>
            <rFont val="Tahoma"/>
            <family val="2"/>
          </rPr>
          <t>Patti Gustafson: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 xml:space="preserve">DA.5130.4 Machiinery/Equipment Contractual Expenses
2013             $  38,073
2014             $  39,008
2015             </t>
        </r>
        <r>
          <rPr>
            <b/>
            <u/>
            <sz val="9"/>
            <color indexed="81"/>
            <rFont val="Tahoma"/>
            <family val="2"/>
          </rPr>
          <t xml:space="preserve">$  35,410
</t>
        </r>
        <r>
          <rPr>
            <b/>
            <i/>
            <sz val="9"/>
            <color indexed="81"/>
            <rFont val="Tahoma"/>
            <family val="2"/>
          </rPr>
          <t xml:space="preserve">   sub-total   $112,491 / 3 years = $37,497
2016           </t>
        </r>
        <r>
          <rPr>
            <b/>
            <i/>
            <u/>
            <sz val="9"/>
            <color indexed="81"/>
            <rFont val="Tahoma"/>
            <family val="2"/>
          </rPr>
          <t xml:space="preserve">  $ 32,304 </t>
        </r>
        <r>
          <rPr>
            <b/>
            <i/>
            <sz val="9"/>
            <color indexed="81"/>
            <rFont val="Tahoma"/>
            <family val="2"/>
          </rPr>
          <t xml:space="preserve"> ($22,882/8.5*12)
   Total…..... $144,795 / 4 years = $36,199
CY 2017 book @ $36,000</t>
        </r>
        <r>
          <rPr>
            <b/>
            <sz val="9"/>
            <color indexed="81"/>
            <rFont val="Tahoma"/>
            <family val="2"/>
          </rPr>
          <t xml:space="preserve">
Note: Verify if any special "Equipment Repairs" are projected for 2017?????   </t>
        </r>
      </text>
    </comment>
    <comment ref="K25" authorId="0" shapeId="0">
      <text>
        <r>
          <rPr>
            <b/>
            <sz val="9"/>
            <color indexed="81"/>
            <rFont val="Tahoma"/>
            <family val="2"/>
          </rPr>
          <t>Patti Gustafson:</t>
        </r>
        <r>
          <rPr>
            <sz val="9"/>
            <color indexed="81"/>
            <rFont val="Tahoma"/>
            <family val="2"/>
          </rPr>
          <t xml:space="preserve">
DA.5142.1 Winter - Personal Services (Payroll)
On Average: Summer booked at 51% and Winter booked at 49%
Base Salary:                            $  94,916
Overtime Salary:                           3,713
PTE Salary:                              </t>
        </r>
        <r>
          <rPr>
            <u/>
            <sz val="9"/>
            <color indexed="81"/>
            <rFont val="Tahoma"/>
            <family val="2"/>
          </rPr>
          <t xml:space="preserve">     2,240</t>
        </r>
        <r>
          <rPr>
            <sz val="9"/>
            <color indexed="81"/>
            <rFont val="Tahoma"/>
            <family val="2"/>
          </rPr>
          <t xml:space="preserve">
    Total..................................$100,868
WINTER:  $100,868  @  49%  =  $49,426</t>
        </r>
      </text>
    </comment>
    <comment ref="L25" authorId="0" shapeId="0">
      <text>
        <r>
          <rPr>
            <b/>
            <sz val="9"/>
            <color indexed="81"/>
            <rFont val="Tahoma"/>
            <family val="2"/>
          </rPr>
          <t>Patti Gustafson:</t>
        </r>
        <r>
          <rPr>
            <sz val="9"/>
            <color indexed="81"/>
            <rFont val="Tahoma"/>
            <family val="2"/>
          </rPr>
          <t xml:space="preserve">
DA.5142.1 Winter - Personal Services (Payroll)
On Average: Summer booked at 51% and Winter booked at 49%
Base Salary:                            $  94,916
Overtime Salary:                           3,713
PTE Salary:                              </t>
        </r>
        <r>
          <rPr>
            <u/>
            <sz val="9"/>
            <color indexed="81"/>
            <rFont val="Tahoma"/>
            <family val="2"/>
          </rPr>
          <t xml:space="preserve">     2,240</t>
        </r>
        <r>
          <rPr>
            <sz val="9"/>
            <color indexed="81"/>
            <rFont val="Tahoma"/>
            <family val="2"/>
          </rPr>
          <t xml:space="preserve">
    Total..................................$100,868
WINTER:  $100,868  @  49%  =  $49,426
Decrease by                          </t>
        </r>
        <r>
          <rPr>
            <u/>
            <sz val="9"/>
            <color indexed="81"/>
            <rFont val="Tahoma"/>
            <family val="2"/>
          </rPr>
          <t xml:space="preserve">         - 550   re: PTE</t>
        </r>
        <r>
          <rPr>
            <sz val="9"/>
            <color indexed="81"/>
            <rFont val="Tahoma"/>
            <family val="2"/>
          </rPr>
          <t xml:space="preserve">
Revised total for CY 2017            $48,876</t>
        </r>
      </text>
    </comment>
    <comment ref="K26" authorId="0" shapeId="0">
      <text>
        <r>
          <rPr>
            <b/>
            <sz val="9"/>
            <color indexed="81"/>
            <rFont val="Tahoma"/>
            <family val="2"/>
          </rPr>
          <t>Patti Gustafson: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 xml:space="preserve">DA.5142.4  Snow Removal Contractual Expenses
2013             $  69,424
2014             $  78,159
2015             </t>
        </r>
        <r>
          <rPr>
            <b/>
            <u/>
            <sz val="9"/>
            <color indexed="81"/>
            <rFont val="Tahoma"/>
            <family val="2"/>
          </rPr>
          <t>$  68,316</t>
        </r>
        <r>
          <rPr>
            <b/>
            <sz val="9"/>
            <color indexed="81"/>
            <rFont val="Tahoma"/>
            <family val="2"/>
          </rPr>
          <t xml:space="preserve">
  sub-total    $215,899 / 3 years = $71,966 average cost
2016            </t>
        </r>
        <r>
          <rPr>
            <b/>
            <u/>
            <sz val="9"/>
            <color indexed="81"/>
            <rFont val="Tahoma"/>
            <family val="2"/>
          </rPr>
          <t xml:space="preserve"> $  78,574 </t>
        </r>
        <r>
          <rPr>
            <b/>
            <sz val="9"/>
            <color indexed="81"/>
            <rFont val="Tahoma"/>
            <family val="2"/>
          </rPr>
          <t xml:space="preserve">  ($55,656/8.5*12 mos=$78,574)
   Total........ $ 294,473  / 4 years = $73,618 average cost
Book for CY 2017......... $73,000
Sand
Salt
Cutting Edges
Tires
Fuel</t>
        </r>
      </text>
    </comment>
    <comment ref="L26" authorId="0" shapeId="0">
      <text>
        <r>
          <rPr>
            <b/>
            <sz val="9"/>
            <color indexed="81"/>
            <rFont val="Tahoma"/>
            <family val="2"/>
          </rPr>
          <t>Patti Gustafson: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 xml:space="preserve">DA.5142.4  Snow Removal Contractual Expenses
2013             $  69,424
2014             $  78,159
2015             </t>
        </r>
        <r>
          <rPr>
            <b/>
            <u/>
            <sz val="9"/>
            <color indexed="81"/>
            <rFont val="Tahoma"/>
            <family val="2"/>
          </rPr>
          <t>$  68,316</t>
        </r>
        <r>
          <rPr>
            <b/>
            <sz val="9"/>
            <color indexed="81"/>
            <rFont val="Tahoma"/>
            <family val="2"/>
          </rPr>
          <t xml:space="preserve">
  sub-total    $215,899 / 3 years = $71,966 average cost
2016            </t>
        </r>
        <r>
          <rPr>
            <b/>
            <u/>
            <sz val="9"/>
            <color indexed="81"/>
            <rFont val="Tahoma"/>
            <family val="2"/>
          </rPr>
          <t xml:space="preserve"> $  78,574 </t>
        </r>
        <r>
          <rPr>
            <b/>
            <sz val="9"/>
            <color indexed="81"/>
            <rFont val="Tahoma"/>
            <family val="2"/>
          </rPr>
          <t xml:space="preserve">  ($55,656/8.5*12 mos=$78,574)
   Total........ $ 294,473  / 4 years = $73,618 average cost
Book for CY 2017......... $73,000
Sand
Salt
Cutting Edges
Tires
Fuel</t>
        </r>
      </text>
    </comment>
    <comment ref="K27" authorId="0" shapeId="0">
      <text>
        <r>
          <rPr>
            <b/>
            <sz val="9"/>
            <color indexed="81"/>
            <rFont val="Tahoma"/>
            <family val="2"/>
          </rPr>
          <t>Patti Gustafson:</t>
        </r>
        <r>
          <rPr>
            <sz val="9"/>
            <color indexed="81"/>
            <rFont val="Tahoma"/>
            <family val="2"/>
          </rPr>
          <t xml:space="preserve">
A.9010.8 NYS RETIREMENT   
Based on NYS LRS Statement
30841 ERS - 2018 Projections:  Prepay on 12/15/17 = $ 28,236
</t>
        </r>
        <r>
          <rPr>
            <b/>
            <i/>
            <u/>
            <sz val="9"/>
            <color indexed="81"/>
            <rFont val="Tahoma"/>
            <family val="2"/>
          </rPr>
          <t>Breakdown:</t>
        </r>
        <r>
          <rPr>
            <sz val="9"/>
            <color indexed="81"/>
            <rFont val="Tahoma"/>
            <family val="2"/>
          </rPr>
          <t xml:space="preserve">
General Fund              $  8,950     Mabie , Stannard Tier 4
Highway Fund              </t>
        </r>
        <r>
          <rPr>
            <u/>
            <sz val="9"/>
            <color indexed="81"/>
            <rFont val="Tahoma"/>
            <family val="2"/>
          </rPr>
          <t xml:space="preserve">19,286 </t>
        </r>
        <r>
          <rPr>
            <sz val="9"/>
            <color indexed="81"/>
            <rFont val="Tahoma"/>
            <family val="2"/>
          </rPr>
          <t xml:space="preserve">    Hornbeck, Auger Tier 4; VanDewerker Tier 5
    Total..................... $28,236D</t>
        </r>
      </text>
    </comment>
    <comment ref="L27" authorId="0" shapeId="0">
      <text>
        <r>
          <rPr>
            <b/>
            <sz val="9"/>
            <color indexed="81"/>
            <rFont val="Tahoma"/>
            <family val="2"/>
          </rPr>
          <t>Patti Gustafson:</t>
        </r>
        <r>
          <rPr>
            <sz val="9"/>
            <color indexed="81"/>
            <rFont val="Tahoma"/>
            <family val="2"/>
          </rPr>
          <t xml:space="preserve">
A.9010.8 NYS RETIREMENT   
Based on NYS LRS Statement
30841 ERS - 2018 Projections:  Prepay on 12/15/17 = $ 28,236
</t>
        </r>
        <r>
          <rPr>
            <b/>
            <i/>
            <u/>
            <sz val="9"/>
            <color indexed="81"/>
            <rFont val="Tahoma"/>
            <family val="2"/>
          </rPr>
          <t>Breakdown:</t>
        </r>
        <r>
          <rPr>
            <sz val="9"/>
            <color indexed="81"/>
            <rFont val="Tahoma"/>
            <family val="2"/>
          </rPr>
          <t xml:space="preserve">
General Fund              $  8,950     Mabie , Stannard Tier 4
Highway Fund              </t>
        </r>
        <r>
          <rPr>
            <u/>
            <sz val="9"/>
            <color indexed="81"/>
            <rFont val="Tahoma"/>
            <family val="2"/>
          </rPr>
          <t xml:space="preserve">19,286 </t>
        </r>
        <r>
          <rPr>
            <sz val="9"/>
            <color indexed="81"/>
            <rFont val="Tahoma"/>
            <family val="2"/>
          </rPr>
          <t xml:space="preserve">    Hornbeck, Auger Tier 4; VanDewerker Tier 5
    Total..................... $28,236D</t>
        </r>
      </text>
    </comment>
    <comment ref="K28" authorId="0" shapeId="0">
      <text>
        <r>
          <rPr>
            <b/>
            <sz val="9"/>
            <color indexed="81"/>
            <rFont val="Tahoma"/>
            <family val="2"/>
          </rPr>
          <t>Patti Gustafson: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 xml:space="preserve">DA.9030.8 Social Security
DA.5110.1        $ 51,443
DA.5142.1      </t>
        </r>
        <r>
          <rPr>
            <b/>
            <u/>
            <sz val="9"/>
            <color indexed="81"/>
            <rFont val="Tahoma"/>
            <family val="2"/>
          </rPr>
          <t xml:space="preserve">     49,426
</t>
        </r>
        <r>
          <rPr>
            <b/>
            <sz val="9"/>
            <color indexed="81"/>
            <rFont val="Tahoma"/>
            <family val="2"/>
          </rPr>
          <t xml:space="preserve">     Total………..$100,869 x 7.65%  = $7,716</t>
        </r>
      </text>
    </comment>
    <comment ref="L28" authorId="0" shapeId="0">
      <text>
        <r>
          <rPr>
            <b/>
            <sz val="9"/>
            <color indexed="81"/>
            <rFont val="Tahoma"/>
            <family val="2"/>
          </rPr>
          <t>Patti Gustafson: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 xml:space="preserve">DA.9030.8 Social Security
DA.5110.1        $ 51,443
DA.5142.1      </t>
        </r>
        <r>
          <rPr>
            <b/>
            <u/>
            <sz val="9"/>
            <color indexed="81"/>
            <rFont val="Tahoma"/>
            <family val="2"/>
          </rPr>
          <t xml:space="preserve">     49,426
</t>
        </r>
        <r>
          <rPr>
            <b/>
            <sz val="9"/>
            <color indexed="81"/>
            <rFont val="Tahoma"/>
            <family val="2"/>
          </rPr>
          <t xml:space="preserve">     Total………..$100,869 x 7.65%  = $7,716</t>
        </r>
      </text>
    </comment>
    <comment ref="K29" authorId="0" shapeId="0">
      <text>
        <r>
          <rPr>
            <b/>
            <sz val="9"/>
            <color indexed="81"/>
            <rFont val="Tahoma"/>
            <family val="2"/>
          </rPr>
          <t>Patti Gustafson: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DA.9050.8 Unemployment Insurance
Stipend Amount….$00
Board wishes to take this out of the budget.
Need to clarify if County will continue to coverage this Insurance.</t>
        </r>
      </text>
    </comment>
    <comment ref="L29" authorId="0" shapeId="0">
      <text>
        <r>
          <rPr>
            <b/>
            <sz val="9"/>
            <color indexed="81"/>
            <rFont val="Tahoma"/>
            <family val="2"/>
          </rPr>
          <t>Patti Gustafson: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DA.9050.8 Unemployment Insurance
Stipend Amount….$00
Board wishes to take this out of the budget.
Need to clarify if County will continue to coverage this Insurance.</t>
        </r>
      </text>
    </comment>
    <comment ref="K30" authorId="0" shapeId="0">
      <text>
        <r>
          <rPr>
            <b/>
            <sz val="9"/>
            <color indexed="81"/>
            <rFont val="Tahoma"/>
            <family val="2"/>
          </rPr>
          <t>Patti Gustafson:</t>
        </r>
        <r>
          <rPr>
            <sz val="9"/>
            <color indexed="81"/>
            <rFont val="Tahoma"/>
            <family val="2"/>
          </rPr>
          <t xml:space="preserve">
DA.9060.8    HEALTH INSURANCE
CDPHP has filed a request for NYS Department of Fiancial Services for a change to premium rates.  </t>
        </r>
        <r>
          <rPr>
            <b/>
            <i/>
            <u/>
            <sz val="9"/>
            <color indexed="81"/>
            <rFont val="Tahoma"/>
            <family val="2"/>
          </rPr>
          <t xml:space="preserve">
FOR HIGHWAY FUND:</t>
        </r>
        <r>
          <rPr>
            <sz val="9"/>
            <color indexed="81"/>
            <rFont val="Tahoma"/>
            <family val="2"/>
          </rPr>
          <t xml:space="preserve">
An estimated increase of 19.209
VanDewerker, D…………Health &amp; Dental………………………$9,720.87
Hornbeck, J................Buyout &amp; Dental......................$9,720.87
Auger, R....................Buyout &amp; Dental................</t>
        </r>
        <r>
          <rPr>
            <u/>
            <sz val="9"/>
            <color indexed="81"/>
            <rFont val="Tahoma"/>
            <family val="2"/>
          </rPr>
          <t xml:space="preserve">......$2,730.88
      </t>
        </r>
        <r>
          <rPr>
            <b/>
            <u/>
            <sz val="9"/>
            <color indexed="81"/>
            <rFont val="Tahoma"/>
            <family val="2"/>
          </rPr>
          <t xml:space="preserve">TOTAL............................................................$ 22,172.62
</t>
        </r>
        <r>
          <rPr>
            <sz val="9"/>
            <color indexed="81"/>
            <rFont val="Tahoma"/>
            <family val="2"/>
          </rPr>
          <t>Note: After Board discussed Preliminary Budget, Hwy Employee(Jason Hornbeck) informed Supervisor that he wanted to enroll in the CDPHP Individual Health Plan.  This will increase the budget line from $15,183 to $22173; increase of $6990.</t>
        </r>
      </text>
    </comment>
    <comment ref="L30" authorId="0" shapeId="0">
      <text>
        <r>
          <rPr>
            <b/>
            <sz val="9"/>
            <color indexed="81"/>
            <rFont val="Tahoma"/>
            <family val="2"/>
          </rPr>
          <t>Patti Gustafson:</t>
        </r>
        <r>
          <rPr>
            <sz val="9"/>
            <color indexed="81"/>
            <rFont val="Tahoma"/>
            <family val="2"/>
          </rPr>
          <t xml:space="preserve">
DA.9060.8    HEALTH INSURANCE
CDPHP has filed a request for NYS Department of Fiancial Services for a change to premium rates.  </t>
        </r>
        <r>
          <rPr>
            <b/>
            <i/>
            <u/>
            <sz val="9"/>
            <color indexed="81"/>
            <rFont val="Tahoma"/>
            <family val="2"/>
          </rPr>
          <t xml:space="preserve">
FOR HIGHWAY FUND:</t>
        </r>
        <r>
          <rPr>
            <sz val="9"/>
            <color indexed="81"/>
            <rFont val="Tahoma"/>
            <family val="2"/>
          </rPr>
          <t xml:space="preserve">
An estimated increase of 19.209
VanDewerker, D…………Health &amp; Dental………………………$9,720.87
Hornbeck, J................Buyout &amp; Dental......................$9,720.87
Auger, R....................Buyout &amp; Dental................</t>
        </r>
        <r>
          <rPr>
            <u/>
            <sz val="9"/>
            <color indexed="81"/>
            <rFont val="Tahoma"/>
            <family val="2"/>
          </rPr>
          <t xml:space="preserve">......$2,730.88
      </t>
        </r>
        <r>
          <rPr>
            <b/>
            <u/>
            <sz val="9"/>
            <color indexed="81"/>
            <rFont val="Tahoma"/>
            <family val="2"/>
          </rPr>
          <t xml:space="preserve">TOTAL............................................................$ 22,172.62
</t>
        </r>
        <r>
          <rPr>
            <sz val="9"/>
            <color indexed="81"/>
            <rFont val="Tahoma"/>
            <family val="2"/>
          </rPr>
          <t>Note: After Board discussed Preliminary Budget, Hwy Employee(Jason Hornbeck) informed Supervisor that he wanted to enroll in the CDPHP Individual Health Plan.  This will increase the budget line from $15,183 to $22173; increase of $6990.</t>
        </r>
      </text>
    </comment>
  </commentList>
</comments>
</file>

<file path=xl/sharedStrings.xml><?xml version="1.0" encoding="utf-8"?>
<sst xmlns="http://schemas.openxmlformats.org/spreadsheetml/2006/main" count="264" uniqueCount="167">
  <si>
    <t>TOWN OF ROSEBOOM</t>
  </si>
  <si>
    <t>CODE</t>
  </si>
  <si>
    <t>FUND</t>
  </si>
  <si>
    <t>APPROPRIATIONS</t>
  </si>
  <si>
    <t>ESTIMATED REVENUES</t>
  </si>
  <si>
    <t>UNEXPENDED FUND BALANCE</t>
  </si>
  <si>
    <t>AMOUNT TO BE RAISED BY TAXES</t>
  </si>
  <si>
    <t>DIFFERENCE</t>
  </si>
  <si>
    <t>ASSESSMENT FIGURES</t>
  </si>
  <si>
    <t>A</t>
  </si>
  <si>
    <t>GENERAL</t>
  </si>
  <si>
    <t>DA</t>
  </si>
  <si>
    <t>HIGHWAY</t>
  </si>
  <si>
    <t>SF</t>
  </si>
  <si>
    <t>FIRE DISTRICT</t>
  </si>
  <si>
    <t>YEAR</t>
  </si>
  <si>
    <t>total</t>
  </si>
  <si>
    <t>FIRE DIST</t>
  </si>
  <si>
    <t xml:space="preserve"> </t>
  </si>
  <si>
    <t>TOTALS</t>
  </si>
  <si>
    <t>Final Budget</t>
  </si>
  <si>
    <t>Actual</t>
  </si>
  <si>
    <t>Tentative Budget</t>
  </si>
  <si>
    <t>Preliminary Budget</t>
  </si>
  <si>
    <t>2013</t>
  </si>
  <si>
    <t>2014</t>
  </si>
  <si>
    <t>2015</t>
  </si>
  <si>
    <t>Income</t>
  </si>
  <si>
    <t>A1001 · Real Property Tax</t>
  </si>
  <si>
    <t>A1120 · Sales Tax, Town Share</t>
  </si>
  <si>
    <t>A1255 · Clerk Fees</t>
  </si>
  <si>
    <t>A1603 · Vital Statistics</t>
  </si>
  <si>
    <t>A2401 · Interest &amp; Earnings</t>
  </si>
  <si>
    <t>A2544 · Dog Licenses</t>
  </si>
  <si>
    <t>A2555 · Building Permits</t>
  </si>
  <si>
    <t>A2610 · Justice Fees</t>
  </si>
  <si>
    <t>A2701 · Refund of Prior Year's Exp</t>
  </si>
  <si>
    <t>A2770 · Unclassified Revenue</t>
  </si>
  <si>
    <t>A3001 · State Aid Per Capita</t>
  </si>
  <si>
    <t>A3005 · Mortgage Tax</t>
  </si>
  <si>
    <t>A3021 - State Aid, Court Facilities</t>
  </si>
  <si>
    <t>A3789 - Other Economic Assistance &amp; Opp</t>
  </si>
  <si>
    <t>A5031 · Interfund Transfer</t>
  </si>
  <si>
    <t>Total Income</t>
  </si>
  <si>
    <t>Expense</t>
  </si>
  <si>
    <t>A1010.1 · Town Board Personal Service</t>
  </si>
  <si>
    <t>A1110.1 · Justice Personal Service</t>
  </si>
  <si>
    <t>A1110.2 · Justice Equipment</t>
  </si>
  <si>
    <t>A1110.4 · Justice Contractual Expense</t>
  </si>
  <si>
    <t>A1110.5 - Court Grant Expenditures</t>
  </si>
  <si>
    <t>A1220.1 · Supervisor Personal Service</t>
  </si>
  <si>
    <t>A1220.4 · Supervisor Contractual Expense</t>
  </si>
  <si>
    <t>A122047 · Supervisor Accounting</t>
  </si>
  <si>
    <t>A1330.1 · Tax Collector Personal Service</t>
  </si>
  <si>
    <t>A1330.4 · Tax Collector Contractual Exp.</t>
  </si>
  <si>
    <t>A1355.1 · Assessor Personal Service</t>
  </si>
  <si>
    <t>A1355.4 · Assessor Re-Evaluation</t>
  </si>
  <si>
    <t>A1410.1 · Town Clerk Personal Service</t>
  </si>
  <si>
    <t>A1410.4 · Town Clerk Contractual Exp.</t>
  </si>
  <si>
    <t>A1420.4 · Attorney Contractual Expense</t>
  </si>
  <si>
    <t>A1425.1 · Financial Assistant P.S.</t>
  </si>
  <si>
    <t>A1425.4 · Financial Assistant C.E.</t>
  </si>
  <si>
    <t>A1430.4 · Review Board Cont. Exp.</t>
  </si>
  <si>
    <t>A1640.2 · Garage Equipment</t>
  </si>
  <si>
    <t>A1640.4 · Garage Contractual Expense</t>
  </si>
  <si>
    <t>A1670.4 · Mailing</t>
  </si>
  <si>
    <t>A1910.4 · Insurance</t>
  </si>
  <si>
    <t>A1920.4 · Municipal Dues</t>
  </si>
  <si>
    <t>A1950.4 - Taxes &amp; Assmt on Muni Property</t>
  </si>
  <si>
    <t>A1990.4 · Contingent Fund</t>
  </si>
  <si>
    <t>A199047 · Jury Trial</t>
  </si>
  <si>
    <t>A3510.1 · Dog Control Personal Service</t>
  </si>
  <si>
    <t>A3510.4 · Dog Control Contractual Expense</t>
  </si>
  <si>
    <t>A4020.1 · Vital Statistics P.S.</t>
  </si>
  <si>
    <t>A4020.4 · Vital Statistics Cont. Exp.</t>
  </si>
  <si>
    <t>A5010.1 · Superintendent Personal Service</t>
  </si>
  <si>
    <t>A5182.4 · Street Lights</t>
  </si>
  <si>
    <t>A7510.4 · Historian</t>
  </si>
  <si>
    <t>A8020.4 · Planning Board Cont. Exp.</t>
  </si>
  <si>
    <t>A8160.4 · Garbage</t>
  </si>
  <si>
    <t>A8664.1 · Code Enforcement P.S.</t>
  </si>
  <si>
    <t>A8664.4 · Code Enforcement Cont. Exp.</t>
  </si>
  <si>
    <t>A8810.4 · Cemetery</t>
  </si>
  <si>
    <t>A9010.8 · Retirement</t>
  </si>
  <si>
    <t>A9030.8 · Social Security</t>
  </si>
  <si>
    <t>A9060.8 · Health Insurance</t>
  </si>
  <si>
    <t xml:space="preserve">A9901 · Interfund Transfer </t>
  </si>
  <si>
    <t>A9901H · Interfund Transfer - Cap Proj</t>
  </si>
  <si>
    <t>Total Expense</t>
  </si>
  <si>
    <t>APPROPRIATED FUND BALANCE USED</t>
  </si>
  <si>
    <t>DA1001 · Real Property Tax</t>
  </si>
  <si>
    <t>DA2302 · Snow Removal Service, Other Gov</t>
  </si>
  <si>
    <t>DA2401 · Interest &amp; Earnings</t>
  </si>
  <si>
    <t>DA2650 · Sale of Scrap Metal</t>
  </si>
  <si>
    <t>DA2770 · Unclassified Revenue</t>
  </si>
  <si>
    <t>DA3501 · State Aid, CHIPS</t>
  </si>
  <si>
    <t>DA4960 - Federal Aid, Emergency Disaster</t>
  </si>
  <si>
    <t>DA5031 · Interfund Transfer (reserve)</t>
  </si>
  <si>
    <t>DA51101 · General Repair Personal Service</t>
  </si>
  <si>
    <t>DA51104 · General Repair Contractual Exp.</t>
  </si>
  <si>
    <t>DA51105 · Gen Repair - Road Project</t>
  </si>
  <si>
    <t>DA51124 · CHIPS</t>
  </si>
  <si>
    <t>DA51302 · Machinery Capital</t>
  </si>
  <si>
    <t>DA51304 · Machinery Contractual Exp.</t>
  </si>
  <si>
    <t>DA51421 · Snow Removal Personal Service</t>
  </si>
  <si>
    <t>DA51424 · Snow Removal Contractual Exp</t>
  </si>
  <si>
    <t>DA90108 · Retirement</t>
  </si>
  <si>
    <t>DA90308 · Social Security</t>
  </si>
  <si>
    <t>DA90508 · Unemployment Insurance</t>
  </si>
  <si>
    <t>DA90608 · Medical Insurance</t>
  </si>
  <si>
    <t>DA9901A · Interfund Transfer General</t>
  </si>
  <si>
    <t>DA9901H · Interfund Transfer Cap Project</t>
  </si>
  <si>
    <t>Increase Dollar Amount</t>
  </si>
  <si>
    <t>Increase Percentage</t>
  </si>
  <si>
    <t>A1410.2 · Town Clerk Equipment</t>
  </si>
  <si>
    <t>A5010.2 · Superintendent Equipment</t>
  </si>
  <si>
    <t>2016</t>
  </si>
  <si>
    <t>2016 TAX RATE</t>
  </si>
  <si>
    <t>A1010.4 · Town Board Contractual Expense</t>
  </si>
  <si>
    <t>A1640.41 · Land Lease Contractual Expense</t>
  </si>
  <si>
    <t>DA2701 - Refunds of Prior Year Expenditures</t>
  </si>
  <si>
    <t>DA4597 - Transportation, Capital Projects</t>
  </si>
  <si>
    <t>DA5789 - Other Debt, RAN</t>
  </si>
  <si>
    <t>DA97706 - Revenue Anticipation Note (p)</t>
  </si>
  <si>
    <t>DA97707 - Revenue Anticipation Note (i)</t>
  </si>
  <si>
    <t>A1090 · Tax Collection Late Fees</t>
  </si>
  <si>
    <t>2016 Tax Levy</t>
  </si>
  <si>
    <t>2017</t>
  </si>
  <si>
    <t>12/31/15</t>
  </si>
  <si>
    <t>12/31/13</t>
  </si>
  <si>
    <t>12/31/14</t>
  </si>
  <si>
    <t>2017 TAX RATE</t>
  </si>
  <si>
    <t>2017 Tax Levy</t>
  </si>
  <si>
    <t>09/15/16</t>
  </si>
  <si>
    <t>9/15/16</t>
  </si>
  <si>
    <t>x</t>
  </si>
  <si>
    <t>BUDGET SUMMARY 2017</t>
  </si>
  <si>
    <t>Increasse from 2016</t>
  </si>
  <si>
    <t>Increasse from 2011</t>
  </si>
  <si>
    <t>Increasse from 2012</t>
  </si>
  <si>
    <t>Increasse from 2013</t>
  </si>
  <si>
    <t>Increasse from 2014</t>
  </si>
  <si>
    <t>Increasse from 2015</t>
  </si>
  <si>
    <t>BUDGET</t>
  </si>
  <si>
    <t>A1620.4  Municipal Building /Salt Shed</t>
  </si>
  <si>
    <t>DA2770.1 Unclassified Revenue: Dust Control</t>
  </si>
  <si>
    <t>DA51104.1 General Repair (Summer) Contractual Exp (Dust Control)</t>
  </si>
  <si>
    <t>decrease $1093</t>
  </si>
  <si>
    <t>decrease $1000</t>
  </si>
  <si>
    <t>Increase $6990</t>
  </si>
  <si>
    <t>decrease $76</t>
  </si>
  <si>
    <t>2017 Tax Levy --Proposed</t>
  </si>
  <si>
    <t>Tax Levy Cap - Override Required!!</t>
  </si>
  <si>
    <t>INCREASE NEEDED/PROPSED</t>
  </si>
  <si>
    <t>TOTAL INCREASE $4914</t>
  </si>
  <si>
    <t>TOTAL DECREASE $2093</t>
  </si>
  <si>
    <t>Preliminary-Revised</t>
  </si>
  <si>
    <t>Diff/Increase</t>
  </si>
  <si>
    <t>Preliminary-original</t>
  </si>
  <si>
    <t>TAX CAP INCREASE ALLOWED</t>
  </si>
  <si>
    <t>2017 TAX LEVIED ALLOWED</t>
  </si>
  <si>
    <t>2016 TAX LEVIED ACTUAL</t>
  </si>
  <si>
    <t>decrease $250</t>
  </si>
  <si>
    <t>decrease $200</t>
  </si>
  <si>
    <t>decrease $550</t>
  </si>
  <si>
    <t>decrease $240.</t>
  </si>
  <si>
    <t>REVISED------PRELIMINARY 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</si>
</sst>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00"/>
    <numFmt numFmtId="165" formatCode="#,##0.00;\-#,##0.00"/>
    <numFmt numFmtId="166" formatCode="&quot;$&quot;#,##0"/>
  </numFmts>
  <fonts count="3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1"/>
      <name val="Calibri"/>
      <family val="2"/>
    </font>
    <font>
      <i/>
      <sz val="11"/>
      <color theme="1"/>
      <name val="Calibri"/>
      <family val="2"/>
      <scheme val="minor"/>
    </font>
    <font>
      <b/>
      <sz val="8"/>
      <color rgb="FF323232"/>
      <name val="Arial"/>
      <family val="2"/>
    </font>
    <font>
      <b/>
      <sz val="8"/>
      <color theme="1"/>
      <name val="Arial"/>
      <family val="2"/>
    </font>
    <font>
      <sz val="8"/>
      <color rgb="FF323232"/>
      <name val="Arial"/>
      <family val="2"/>
    </font>
    <font>
      <b/>
      <sz val="9"/>
      <color rgb="FF323232"/>
      <name val="Arial"/>
      <family val="2"/>
    </font>
    <font>
      <b/>
      <i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rgb="FFFF000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u/>
      <sz val="9"/>
      <color indexed="81"/>
      <name val="Tahoma"/>
      <family val="2"/>
    </font>
    <font>
      <b/>
      <i/>
      <u/>
      <sz val="9"/>
      <color indexed="81"/>
      <name val="Tahoma"/>
      <family val="2"/>
    </font>
    <font>
      <b/>
      <i/>
      <sz val="9"/>
      <color indexed="81"/>
      <name val="Tahoma"/>
      <family val="2"/>
    </font>
    <font>
      <u/>
      <sz val="9"/>
      <color indexed="81"/>
      <name val="Tahoma"/>
      <family val="2"/>
    </font>
    <font>
      <sz val="8"/>
      <name val="Arial"/>
      <family val="2"/>
    </font>
    <font>
      <b/>
      <i/>
      <sz val="11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rgb="FF323232"/>
      <name val="Arial"/>
      <family val="2"/>
    </font>
    <font>
      <sz val="8"/>
      <color rgb="FFFF0000"/>
      <name val="Arial"/>
      <family val="2"/>
    </font>
    <font>
      <i/>
      <u/>
      <sz val="11"/>
      <color rgb="FFFF0000"/>
      <name val="Calibri"/>
      <family val="2"/>
      <scheme val="minor"/>
    </font>
    <font>
      <i/>
      <u/>
      <sz val="10"/>
      <color rgb="FFFF0000"/>
      <name val="Calibri"/>
      <family val="2"/>
      <scheme val="minor"/>
    </font>
    <font>
      <b/>
      <i/>
      <u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1">
    <xf numFmtId="0" fontId="0" fillId="0" borderId="0" xfId="0"/>
    <xf numFmtId="0" fontId="1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4" fontId="0" fillId="0" borderId="0" xfId="0" applyNumberFormat="1"/>
    <xf numFmtId="164" fontId="0" fillId="0" borderId="0" xfId="0" applyNumberFormat="1"/>
    <xf numFmtId="3" fontId="0" fillId="0" borderId="0" xfId="0" applyNumberFormat="1"/>
    <xf numFmtId="0" fontId="0" fillId="0" borderId="1" xfId="0" applyBorder="1"/>
    <xf numFmtId="43" fontId="0" fillId="0" borderId="0" xfId="0" applyNumberFormat="1"/>
    <xf numFmtId="43" fontId="0" fillId="0" borderId="0" xfId="0" applyNumberFormat="1" applyAlignment="1">
      <alignment horizontal="right"/>
    </xf>
    <xf numFmtId="43" fontId="0" fillId="0" borderId="1" xfId="0" applyNumberFormat="1" applyBorder="1"/>
    <xf numFmtId="0" fontId="3" fillId="0" borderId="1" xfId="0" applyFont="1" applyBorder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49" fontId="4" fillId="0" borderId="0" xfId="0" applyNumberFormat="1" applyFont="1" applyAlignment="1">
      <alignment horizontal="center" wrapText="1"/>
    </xf>
    <xf numFmtId="49" fontId="5" fillId="0" borderId="0" xfId="0" applyNumberFormat="1" applyFont="1" applyBorder="1" applyAlignment="1">
      <alignment horizontal="center" wrapText="1"/>
    </xf>
    <xf numFmtId="49" fontId="4" fillId="0" borderId="0" xfId="0" applyNumberFormat="1" applyFont="1" applyAlignment="1">
      <alignment horizontal="center"/>
    </xf>
    <xf numFmtId="49" fontId="4" fillId="0" borderId="2" xfId="0" applyNumberFormat="1" applyFont="1" applyBorder="1" applyAlignment="1">
      <alignment horizontal="center"/>
    </xf>
    <xf numFmtId="49" fontId="4" fillId="0" borderId="0" xfId="0" applyNumberFormat="1" applyFont="1"/>
    <xf numFmtId="165" fontId="6" fillId="0" borderId="0" xfId="0" applyNumberFormat="1" applyFont="1"/>
    <xf numFmtId="165" fontId="6" fillId="0" borderId="1" xfId="0" applyNumberFormat="1" applyFont="1" applyBorder="1"/>
    <xf numFmtId="165" fontId="6" fillId="0" borderId="0" xfId="0" applyNumberFormat="1" applyFont="1" applyBorder="1"/>
    <xf numFmtId="165" fontId="6" fillId="0" borderId="3" xfId="0" applyNumberFormat="1" applyFont="1" applyBorder="1"/>
    <xf numFmtId="49" fontId="7" fillId="0" borderId="0" xfId="0" applyNumberFormat="1" applyFont="1"/>
    <xf numFmtId="0" fontId="4" fillId="0" borderId="0" xfId="0" applyNumberFormat="1" applyFont="1"/>
    <xf numFmtId="0" fontId="0" fillId="0" borderId="0" xfId="0" applyNumberFormat="1"/>
    <xf numFmtId="165" fontId="6" fillId="0" borderId="0" xfId="0" applyNumberFormat="1" applyFont="1" applyFill="1" applyBorder="1"/>
    <xf numFmtId="165" fontId="4" fillId="0" borderId="4" xfId="0" applyNumberFormat="1" applyFont="1" applyBorder="1"/>
    <xf numFmtId="0" fontId="8" fillId="0" borderId="0" xfId="0" applyFont="1"/>
    <xf numFmtId="0" fontId="8" fillId="0" borderId="0" xfId="0" applyFont="1" applyAlignment="1">
      <alignment horizontal="right"/>
    </xf>
    <xf numFmtId="4" fontId="8" fillId="0" borderId="0" xfId="0" applyNumberFormat="1" applyFont="1"/>
    <xf numFmtId="164" fontId="8" fillId="0" borderId="0" xfId="0" applyNumberFormat="1" applyFont="1"/>
    <xf numFmtId="10" fontId="0" fillId="0" borderId="0" xfId="0" applyNumberFormat="1"/>
    <xf numFmtId="0" fontId="0" fillId="0" borderId="5" xfId="0" applyFill="1" applyBorder="1"/>
    <xf numFmtId="3" fontId="0" fillId="0" borderId="3" xfId="0" applyNumberFormat="1" applyFill="1" applyBorder="1"/>
    <xf numFmtId="0" fontId="0" fillId="0" borderId="3" xfId="0" applyFill="1" applyBorder="1"/>
    <xf numFmtId="0" fontId="0" fillId="0" borderId="6" xfId="0" applyFill="1" applyBorder="1"/>
    <xf numFmtId="0" fontId="0" fillId="0" borderId="7" xfId="0" applyFill="1" applyBorder="1"/>
    <xf numFmtId="166" fontId="0" fillId="0" borderId="0" xfId="0" applyNumberFormat="1" applyFill="1" applyBorder="1"/>
    <xf numFmtId="0" fontId="0" fillId="0" borderId="0" xfId="0" applyFill="1" applyBorder="1"/>
    <xf numFmtId="0" fontId="9" fillId="2" borderId="9" xfId="0" applyFont="1" applyFill="1" applyBorder="1"/>
    <xf numFmtId="166" fontId="0" fillId="2" borderId="10" xfId="0" applyNumberFormat="1" applyFill="1" applyBorder="1"/>
    <xf numFmtId="3" fontId="0" fillId="0" borderId="0" xfId="0" applyNumberFormat="1" applyFill="1" applyBorder="1"/>
    <xf numFmtId="10" fontId="0" fillId="2" borderId="10" xfId="0" applyNumberFormat="1" applyFill="1" applyBorder="1"/>
    <xf numFmtId="0" fontId="0" fillId="0" borderId="11" xfId="0" applyFill="1" applyBorder="1"/>
    <xf numFmtId="0" fontId="0" fillId="0" borderId="1" xfId="0" applyFill="1" applyBorder="1"/>
    <xf numFmtId="4" fontId="10" fillId="0" borderId="1" xfId="0" applyNumberFormat="1" applyFont="1" applyBorder="1"/>
    <xf numFmtId="4" fontId="11" fillId="0" borderId="1" xfId="0" applyNumberFormat="1" applyFont="1" applyBorder="1"/>
    <xf numFmtId="40" fontId="0" fillId="0" borderId="0" xfId="0" applyNumberFormat="1"/>
    <xf numFmtId="0" fontId="0" fillId="0" borderId="0" xfId="0" applyBorder="1"/>
    <xf numFmtId="165" fontId="0" fillId="0" borderId="0" xfId="0" applyNumberFormat="1"/>
    <xf numFmtId="165" fontId="6" fillId="2" borderId="0" xfId="0" applyNumberFormat="1" applyFont="1" applyFill="1"/>
    <xf numFmtId="165" fontId="6" fillId="0" borderId="0" xfId="0" applyNumberFormat="1" applyFont="1" applyFill="1"/>
    <xf numFmtId="49" fontId="4" fillId="0" borderId="0" xfId="0" applyNumberFormat="1" applyFont="1" applyFill="1"/>
    <xf numFmtId="9" fontId="0" fillId="0" borderId="0" xfId="0" applyNumberFormat="1"/>
    <xf numFmtId="2" fontId="0" fillId="0" borderId="0" xfId="0" applyNumberFormat="1"/>
    <xf numFmtId="165" fontId="19" fillId="0" borderId="0" xfId="0" applyNumberFormat="1" applyFont="1" applyFill="1"/>
    <xf numFmtId="49" fontId="4" fillId="0" borderId="0" xfId="0" applyNumberFormat="1" applyFont="1" applyFill="1" applyAlignment="1">
      <alignment horizontal="center" wrapText="1"/>
    </xf>
    <xf numFmtId="49" fontId="4" fillId="0" borderId="0" xfId="0" applyNumberFormat="1" applyFont="1" applyFill="1" applyAlignment="1">
      <alignment horizontal="center"/>
    </xf>
    <xf numFmtId="0" fontId="0" fillId="0" borderId="0" xfId="0" applyFill="1"/>
    <xf numFmtId="165" fontId="0" fillId="0" borderId="0" xfId="0" applyNumberFormat="1" applyFill="1"/>
    <xf numFmtId="0" fontId="4" fillId="0" borderId="0" xfId="0" applyNumberFormat="1" applyFont="1" applyFill="1"/>
    <xf numFmtId="43" fontId="12" fillId="0" borderId="1" xfId="0" applyNumberFormat="1" applyFont="1" applyBorder="1"/>
    <xf numFmtId="43" fontId="21" fillId="0" borderId="1" xfId="0" applyNumberFormat="1" applyFont="1" applyBorder="1"/>
    <xf numFmtId="0" fontId="22" fillId="0" borderId="0" xfId="0" applyFont="1"/>
    <xf numFmtId="164" fontId="22" fillId="0" borderId="0" xfId="0" applyNumberFormat="1" applyFont="1"/>
    <xf numFmtId="4" fontId="22" fillId="0" borderId="0" xfId="0" applyNumberFormat="1" applyFont="1" applyAlignment="1">
      <alignment wrapText="1"/>
    </xf>
    <xf numFmtId="49" fontId="5" fillId="0" borderId="0" xfId="0" applyNumberFormat="1" applyFont="1" applyFill="1" applyBorder="1" applyAlignment="1">
      <alignment horizontal="center" wrapText="1"/>
    </xf>
    <xf numFmtId="49" fontId="4" fillId="0" borderId="2" xfId="0" applyNumberFormat="1" applyFont="1" applyFill="1" applyBorder="1" applyAlignment="1">
      <alignment horizontal="center"/>
    </xf>
    <xf numFmtId="4" fontId="6" fillId="0" borderId="1" xfId="0" applyNumberFormat="1" applyFont="1" applyFill="1" applyBorder="1"/>
    <xf numFmtId="165" fontId="6" fillId="0" borderId="3" xfId="0" applyNumberFormat="1" applyFont="1" applyFill="1" applyBorder="1"/>
    <xf numFmtId="165" fontId="4" fillId="0" borderId="4" xfId="0" applyNumberFormat="1" applyFont="1" applyFill="1" applyBorder="1"/>
    <xf numFmtId="0" fontId="0" fillId="0" borderId="0" xfId="0" applyNumberFormat="1" applyFill="1"/>
    <xf numFmtId="4" fontId="11" fillId="0" borderId="1" xfId="0" applyNumberFormat="1" applyFont="1" applyFill="1" applyBorder="1"/>
    <xf numFmtId="3" fontId="0" fillId="0" borderId="0" xfId="0" applyNumberFormat="1" applyBorder="1"/>
    <xf numFmtId="3" fontId="0" fillId="0" borderId="1" xfId="0" applyNumberFormat="1" applyBorder="1"/>
    <xf numFmtId="49" fontId="7" fillId="0" borderId="0" xfId="0" applyNumberFormat="1" applyFont="1" applyFill="1"/>
    <xf numFmtId="3" fontId="0" fillId="0" borderId="3" xfId="0" applyNumberFormat="1" applyBorder="1"/>
    <xf numFmtId="49" fontId="4" fillId="2" borderId="0" xfId="0" applyNumberFormat="1" applyFont="1" applyFill="1"/>
    <xf numFmtId="0" fontId="9" fillId="0" borderId="0" xfId="0" applyFont="1"/>
    <xf numFmtId="165" fontId="27" fillId="0" borderId="0" xfId="0" applyNumberFormat="1" applyFont="1"/>
    <xf numFmtId="165" fontId="9" fillId="0" borderId="0" xfId="0" applyNumberFormat="1" applyFont="1"/>
    <xf numFmtId="0" fontId="26" fillId="0" borderId="8" xfId="0" applyFont="1" applyFill="1" applyBorder="1"/>
    <xf numFmtId="0" fontId="26" fillId="0" borderId="0" xfId="0" applyFont="1" applyFill="1" applyBorder="1"/>
    <xf numFmtId="10" fontId="26" fillId="0" borderId="8" xfId="0" applyNumberFormat="1" applyFont="1" applyFill="1" applyBorder="1"/>
    <xf numFmtId="0" fontId="0" fillId="0" borderId="11" xfId="0" applyBorder="1" applyAlignment="1">
      <alignment horizontal="left"/>
    </xf>
    <xf numFmtId="0" fontId="26" fillId="0" borderId="0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0" fillId="0" borderId="7" xfId="0" applyBorder="1" applyAlignment="1">
      <alignment horizontal="left"/>
    </xf>
    <xf numFmtId="0" fontId="26" fillId="0" borderId="6" xfId="0" applyFont="1" applyFill="1" applyBorder="1"/>
    <xf numFmtId="0" fontId="26" fillId="0" borderId="1" xfId="0" applyFont="1" applyFill="1" applyBorder="1" applyAlignment="1">
      <alignment horizontal="left"/>
    </xf>
    <xf numFmtId="0" fontId="26" fillId="0" borderId="12" xfId="0" applyFont="1" applyFill="1" applyBorder="1"/>
    <xf numFmtId="0" fontId="0" fillId="0" borderId="11" xfId="0" applyFill="1" applyBorder="1" applyAlignment="1">
      <alignment horizontal="left"/>
    </xf>
    <xf numFmtId="10" fontId="26" fillId="0" borderId="12" xfId="0" applyNumberFormat="1" applyFont="1" applyFill="1" applyBorder="1"/>
    <xf numFmtId="0" fontId="0" fillId="0" borderId="1" xfId="0" applyFill="1" applyBorder="1" applyAlignment="1">
      <alignment horizontal="left"/>
    </xf>
    <xf numFmtId="3" fontId="0" fillId="0" borderId="14" xfId="0" applyNumberFormat="1" applyFill="1" applyBorder="1"/>
    <xf numFmtId="10" fontId="0" fillId="0" borderId="15" xfId="0" applyNumberFormat="1" applyFill="1" applyBorder="1"/>
    <xf numFmtId="40" fontId="0" fillId="0" borderId="0" xfId="0" applyNumberFormat="1" applyBorder="1"/>
    <xf numFmtId="0" fontId="0" fillId="0" borderId="0" xfId="0" applyAlignment="1">
      <alignment wrapText="1"/>
    </xf>
    <xf numFmtId="4" fontId="9" fillId="0" borderId="0" xfId="0" applyNumberFormat="1" applyFont="1"/>
    <xf numFmtId="165" fontId="28" fillId="2" borderId="3" xfId="0" applyNumberFormat="1" applyFont="1" applyFill="1" applyBorder="1"/>
    <xf numFmtId="4" fontId="21" fillId="0" borderId="0" xfId="0" applyNumberFormat="1" applyFont="1"/>
    <xf numFmtId="0" fontId="21" fillId="0" borderId="0" xfId="0" applyFont="1"/>
    <xf numFmtId="3" fontId="21" fillId="0" borderId="0" xfId="0" applyNumberFormat="1" applyFont="1"/>
    <xf numFmtId="164" fontId="21" fillId="0" borderId="0" xfId="0" applyNumberFormat="1" applyFont="1"/>
    <xf numFmtId="4" fontId="12" fillId="0" borderId="0" xfId="0" applyNumberFormat="1" applyFont="1"/>
    <xf numFmtId="4" fontId="22" fillId="0" borderId="0" xfId="0" applyNumberFormat="1" applyFont="1" applyFill="1"/>
    <xf numFmtId="0" fontId="22" fillId="0" borderId="0" xfId="0" applyFont="1" applyFill="1"/>
    <xf numFmtId="164" fontId="0" fillId="0" borderId="0" xfId="0" applyNumberFormat="1" applyFill="1"/>
    <xf numFmtId="10" fontId="12" fillId="0" borderId="1" xfId="0" applyNumberFormat="1" applyFont="1" applyFill="1" applyBorder="1"/>
    <xf numFmtId="10" fontId="12" fillId="0" borderId="12" xfId="0" applyNumberFormat="1" applyFont="1" applyFill="1" applyBorder="1"/>
    <xf numFmtId="0" fontId="29" fillId="0" borderId="5" xfId="0" applyFont="1" applyBorder="1" applyAlignment="1">
      <alignment wrapText="1"/>
    </xf>
    <xf numFmtId="164" fontId="30" fillId="0" borderId="6" xfId="0" applyNumberFormat="1" applyFont="1" applyFill="1" applyBorder="1"/>
    <xf numFmtId="44" fontId="12" fillId="0" borderId="0" xfId="0" applyNumberFormat="1" applyFont="1" applyFill="1" applyBorder="1"/>
    <xf numFmtId="44" fontId="12" fillId="0" borderId="7" xfId="0" applyNumberFormat="1" applyFont="1" applyBorder="1"/>
    <xf numFmtId="44" fontId="12" fillId="0" borderId="8" xfId="0" applyNumberFormat="1" applyFont="1" applyFill="1" applyBorder="1"/>
    <xf numFmtId="10" fontId="12" fillId="0" borderId="11" xfId="0" applyNumberFormat="1" applyFont="1" applyFill="1" applyBorder="1"/>
    <xf numFmtId="0" fontId="29" fillId="0" borderId="3" xfId="0" applyFont="1" applyBorder="1" applyAlignment="1">
      <alignment wrapText="1"/>
    </xf>
    <xf numFmtId="4" fontId="0" fillId="0" borderId="10" xfId="0" applyNumberFormat="1" applyBorder="1"/>
    <xf numFmtId="4" fontId="0" fillId="2" borderId="0" xfId="0" applyNumberFormat="1" applyFill="1"/>
    <xf numFmtId="0" fontId="25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12" fillId="0" borderId="13" xfId="0" applyFont="1" applyFill="1" applyBorder="1" applyAlignment="1">
      <alignment horizontal="center"/>
    </xf>
    <xf numFmtId="0" fontId="12" fillId="0" borderId="14" xfId="0" applyFont="1" applyFill="1" applyBorder="1" applyAlignment="1">
      <alignment horizontal="center"/>
    </xf>
    <xf numFmtId="0" fontId="31" fillId="0" borderId="0" xfId="0" applyFont="1" applyAlignment="1">
      <alignment horizontal="center"/>
    </xf>
    <xf numFmtId="0" fontId="0" fillId="0" borderId="7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3" xfId="0" applyBorder="1" applyAlignment="1">
      <alignment horizontal="left"/>
    </xf>
    <xf numFmtId="43" fontId="20" fillId="0" borderId="1" xfId="0" applyNumberFormat="1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M14"/>
  <sheetViews>
    <sheetView workbookViewId="0">
      <selection activeCell="D17" sqref="D17"/>
    </sheetView>
  </sheetViews>
  <sheetFormatPr defaultRowHeight="15" x14ac:dyDescent="0.25"/>
  <sheetData>
    <row r="6" spans="1:13" ht="35.25" customHeight="1" x14ac:dyDescent="0.5">
      <c r="A6" s="121">
        <v>2017</v>
      </c>
      <c r="B6" s="121"/>
      <c r="C6" s="121"/>
      <c r="D6" s="121"/>
      <c r="E6" s="121"/>
      <c r="F6" s="121"/>
      <c r="G6" s="121"/>
      <c r="H6" s="121"/>
      <c r="I6" s="121"/>
      <c r="J6" s="121"/>
      <c r="K6" s="121"/>
      <c r="L6" s="121"/>
      <c r="M6" s="121"/>
    </row>
    <row r="8" spans="1:13" ht="45" customHeight="1" x14ac:dyDescent="0.55000000000000004">
      <c r="A8" s="120" t="s">
        <v>143</v>
      </c>
      <c r="B8" s="120"/>
      <c r="C8" s="120"/>
      <c r="D8" s="120"/>
      <c r="E8" s="120"/>
      <c r="F8" s="120"/>
      <c r="G8" s="120"/>
      <c r="H8" s="120"/>
      <c r="I8" s="120"/>
      <c r="J8" s="120"/>
      <c r="K8" s="120"/>
      <c r="L8" s="120"/>
      <c r="M8" s="120"/>
    </row>
    <row r="14" spans="1:13" ht="31.5" x14ac:dyDescent="0.5">
      <c r="A14" s="122" t="s">
        <v>0</v>
      </c>
      <c r="B14" s="122"/>
      <c r="C14" s="122"/>
      <c r="D14" s="122"/>
      <c r="E14" s="122"/>
      <c r="F14" s="122"/>
      <c r="G14" s="122"/>
      <c r="H14" s="122"/>
      <c r="I14" s="122"/>
      <c r="J14" s="122"/>
      <c r="K14" s="122"/>
      <c r="L14" s="122"/>
      <c r="M14" s="122"/>
    </row>
  </sheetData>
  <mergeCells count="3">
    <mergeCell ref="A8:M8"/>
    <mergeCell ref="A6:M6"/>
    <mergeCell ref="A14:M14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Q51"/>
  <sheetViews>
    <sheetView workbookViewId="0">
      <selection activeCell="G6" sqref="G6"/>
    </sheetView>
  </sheetViews>
  <sheetFormatPr defaultRowHeight="15" x14ac:dyDescent="0.25"/>
  <cols>
    <col min="1" max="1" width="19.28515625" bestFit="1" customWidth="1"/>
    <col min="2" max="2" width="5.7109375" customWidth="1"/>
    <col min="3" max="3" width="18.7109375" customWidth="1"/>
    <col min="4" max="6" width="14.7109375" customWidth="1"/>
    <col min="7" max="7" width="15.42578125" customWidth="1"/>
    <col min="8" max="8" width="14.7109375" customWidth="1"/>
    <col min="9" max="9" width="10.7109375" customWidth="1"/>
    <col min="10" max="10" width="14.42578125" customWidth="1"/>
    <col min="11" max="11" width="13.7109375" bestFit="1" customWidth="1"/>
    <col min="12" max="12" width="10.85546875" customWidth="1"/>
    <col min="16" max="16" width="9.140625" customWidth="1"/>
  </cols>
  <sheetData>
    <row r="2" spans="1:17" x14ac:dyDescent="0.25">
      <c r="B2" s="1" t="s">
        <v>0</v>
      </c>
    </row>
    <row r="3" spans="1:17" x14ac:dyDescent="0.25">
      <c r="B3" s="1" t="s">
        <v>136</v>
      </c>
      <c r="E3" s="125" t="s">
        <v>166</v>
      </c>
      <c r="F3" s="125"/>
      <c r="G3" s="125"/>
      <c r="H3" s="125"/>
    </row>
    <row r="5" spans="1:17" s="2" customFormat="1" ht="44.45" customHeight="1" x14ac:dyDescent="0.2">
      <c r="B5" s="2" t="s">
        <v>1</v>
      </c>
      <c r="C5" s="2" t="s">
        <v>2</v>
      </c>
      <c r="D5" s="3" t="s">
        <v>3</v>
      </c>
      <c r="E5" s="3" t="s">
        <v>4</v>
      </c>
      <c r="F5" s="3" t="s">
        <v>5</v>
      </c>
      <c r="G5" s="3" t="s">
        <v>6</v>
      </c>
      <c r="H5" s="3" t="s">
        <v>8</v>
      </c>
      <c r="I5" s="3" t="s">
        <v>131</v>
      </c>
      <c r="J5" s="3" t="s">
        <v>117</v>
      </c>
      <c r="K5" s="3" t="s">
        <v>7</v>
      </c>
    </row>
    <row r="6" spans="1:17" x14ac:dyDescent="0.25">
      <c r="D6" s="4"/>
      <c r="E6" s="4"/>
      <c r="F6" s="4"/>
      <c r="G6" s="4"/>
      <c r="H6" s="4"/>
      <c r="I6" s="5"/>
      <c r="J6" s="5"/>
      <c r="K6" s="5"/>
      <c r="Q6" s="32"/>
    </row>
    <row r="7" spans="1:17" x14ac:dyDescent="0.25">
      <c r="A7" t="s">
        <v>156</v>
      </c>
      <c r="B7" t="s">
        <v>9</v>
      </c>
      <c r="C7" t="s">
        <v>10</v>
      </c>
      <c r="D7" s="4">
        <f>general!M71</f>
        <v>163264</v>
      </c>
      <c r="E7" s="4">
        <f>SUM(general!L6:L20)</f>
        <v>76421</v>
      </c>
      <c r="F7" s="119">
        <v>13000</v>
      </c>
      <c r="G7" s="4">
        <f>D7-E7-F7</f>
        <v>73843</v>
      </c>
      <c r="H7" s="6">
        <v>30213960</v>
      </c>
      <c r="I7" s="5">
        <f>G7/(H7/1000)</f>
        <v>2.4440027060338996</v>
      </c>
      <c r="J7" s="5">
        <v>2.254686</v>
      </c>
      <c r="K7" s="5">
        <f>I7-J7</f>
        <v>0.18931670603389961</v>
      </c>
    </row>
    <row r="8" spans="1:17" s="102" customFormat="1" x14ac:dyDescent="0.25">
      <c r="A8" s="102" t="s">
        <v>158</v>
      </c>
      <c r="D8" s="101">
        <f>general!L71</f>
        <v>166066</v>
      </c>
      <c r="E8" s="101">
        <f>SUM(general!L6:L20)</f>
        <v>76421</v>
      </c>
      <c r="F8" s="101">
        <v>11000</v>
      </c>
      <c r="G8" s="101">
        <f>D8-E8-F8</f>
        <v>78645</v>
      </c>
      <c r="H8" s="103"/>
      <c r="I8" s="104"/>
      <c r="J8" s="104"/>
      <c r="K8" s="104"/>
    </row>
    <row r="9" spans="1:17" s="102" customFormat="1" x14ac:dyDescent="0.25">
      <c r="D9" s="101"/>
      <c r="E9" s="101"/>
      <c r="F9" s="101"/>
      <c r="G9" s="101"/>
      <c r="H9" s="103"/>
      <c r="I9" s="104"/>
      <c r="J9" s="104"/>
      <c r="K9" s="104"/>
    </row>
    <row r="10" spans="1:17" x14ac:dyDescent="0.25">
      <c r="A10" t="s">
        <v>156</v>
      </c>
      <c r="B10" t="s">
        <v>11</v>
      </c>
      <c r="C10" t="s">
        <v>12</v>
      </c>
      <c r="D10" s="4">
        <f>highway!L35</f>
        <v>476828</v>
      </c>
      <c r="E10" s="4">
        <f>SUM(highway!K5:K15)</f>
        <v>250203</v>
      </c>
      <c r="F10" s="4">
        <v>11000</v>
      </c>
      <c r="G10" s="4">
        <f>D10-E10-F10</f>
        <v>215625</v>
      </c>
      <c r="H10" s="6">
        <v>30213960</v>
      </c>
      <c r="I10" s="5">
        <f>G10/(H10/1000)</f>
        <v>7.1366017562742519</v>
      </c>
      <c r="J10" s="5">
        <v>7.1553019999999998</v>
      </c>
      <c r="K10" s="5">
        <f>I10-J10</f>
        <v>-1.8700243725747967E-2</v>
      </c>
    </row>
    <row r="11" spans="1:17" s="102" customFormat="1" x14ac:dyDescent="0.25">
      <c r="A11" s="102" t="s">
        <v>158</v>
      </c>
      <c r="D11" s="101">
        <f>highway!K35</f>
        <v>472022</v>
      </c>
      <c r="E11" s="101">
        <f>SUM(highway!K5:K15)</f>
        <v>250203</v>
      </c>
      <c r="F11" s="101">
        <v>11000</v>
      </c>
      <c r="G11" s="101">
        <f>D11-E11-F11</f>
        <v>210819</v>
      </c>
      <c r="H11" s="103"/>
      <c r="I11" s="104"/>
      <c r="J11" s="104"/>
      <c r="K11" s="104"/>
    </row>
    <row r="12" spans="1:17" s="102" customFormat="1" x14ac:dyDescent="0.25">
      <c r="D12" s="101"/>
      <c r="E12" s="101"/>
      <c r="F12" s="101"/>
      <c r="G12" s="101"/>
      <c r="H12" s="103"/>
      <c r="I12" s="104"/>
      <c r="J12" s="104"/>
      <c r="K12" s="104"/>
    </row>
    <row r="13" spans="1:17" x14ac:dyDescent="0.25">
      <c r="A13" t="s">
        <v>156</v>
      </c>
      <c r="B13" t="s">
        <v>13</v>
      </c>
      <c r="C13" t="s">
        <v>14</v>
      </c>
      <c r="D13" s="4">
        <v>9000</v>
      </c>
      <c r="E13" s="4">
        <v>0</v>
      </c>
      <c r="F13" s="4">
        <v>0</v>
      </c>
      <c r="G13" s="4">
        <f>D13-E13-F13</f>
        <v>9000</v>
      </c>
      <c r="H13" s="6">
        <v>30213960</v>
      </c>
      <c r="I13" s="5">
        <f>G13/(H13/1000)</f>
        <v>0.29787555156622963</v>
      </c>
      <c r="J13" s="5">
        <v>0.28132699999999999</v>
      </c>
      <c r="K13" s="5">
        <f>I13-J13</f>
        <v>1.6548551566229641E-2</v>
      </c>
    </row>
    <row r="14" spans="1:17" x14ac:dyDescent="0.25">
      <c r="A14" s="102" t="s">
        <v>158</v>
      </c>
      <c r="D14" s="105">
        <v>9000</v>
      </c>
      <c r="E14" s="105">
        <v>0</v>
      </c>
      <c r="F14" s="105">
        <v>0</v>
      </c>
      <c r="G14" s="105">
        <f>D14-E14-F14</f>
        <v>9000</v>
      </c>
      <c r="H14" s="4"/>
      <c r="I14" s="5"/>
      <c r="J14" s="5"/>
      <c r="K14" s="5"/>
    </row>
    <row r="15" spans="1:17" x14ac:dyDescent="0.25">
      <c r="A15" s="102"/>
      <c r="D15" s="105"/>
      <c r="E15" s="105"/>
      <c r="F15" s="105"/>
      <c r="G15" s="105"/>
      <c r="H15" s="4"/>
      <c r="I15" s="5"/>
      <c r="J15" s="5"/>
      <c r="K15" s="5"/>
    </row>
    <row r="16" spans="1:17" s="28" customFormat="1" x14ac:dyDescent="0.25">
      <c r="A16" t="s">
        <v>156</v>
      </c>
      <c r="C16" s="29" t="s">
        <v>19</v>
      </c>
      <c r="D16" s="30">
        <f>SUM(D7,D10,D13)</f>
        <v>649092</v>
      </c>
      <c r="E16" s="30">
        <f t="shared" ref="E16:G16" si="0">SUM(E7,E10,E13)</f>
        <v>326624</v>
      </c>
      <c r="F16" s="30">
        <f t="shared" si="0"/>
        <v>24000</v>
      </c>
      <c r="G16" s="30">
        <f t="shared" si="0"/>
        <v>298468</v>
      </c>
      <c r="H16" s="30"/>
      <c r="I16" s="31">
        <f>SUM(I7:I10)</f>
        <v>9.5806044623081519</v>
      </c>
      <c r="J16" s="31">
        <f>SUM(J7:J10)</f>
        <v>9.4099880000000002</v>
      </c>
      <c r="K16" s="31">
        <f>SUM(K7:K13)</f>
        <v>0.18716501387438128</v>
      </c>
    </row>
    <row r="17" spans="1:14" s="102" customFormat="1" x14ac:dyDescent="0.25">
      <c r="A17" s="102" t="s">
        <v>158</v>
      </c>
      <c r="D17" s="101">
        <f>SUM(D8,D11,D14)</f>
        <v>647088</v>
      </c>
      <c r="E17" s="101">
        <f t="shared" ref="E17:G17" si="1">SUM(E8,E11,E14)</f>
        <v>326624</v>
      </c>
      <c r="F17" s="101">
        <f t="shared" si="1"/>
        <v>22000</v>
      </c>
      <c r="G17" s="101">
        <f t="shared" si="1"/>
        <v>298464</v>
      </c>
      <c r="H17" s="101"/>
      <c r="I17" s="104"/>
      <c r="J17" s="104"/>
      <c r="K17" s="104"/>
    </row>
    <row r="18" spans="1:14" ht="15.75" thickBot="1" x14ac:dyDescent="0.3">
      <c r="D18" s="118">
        <f>SUM(D16-D17)</f>
        <v>2004</v>
      </c>
      <c r="E18" s="118">
        <f t="shared" ref="E18:G18" si="2">SUM(E16-E17)</f>
        <v>0</v>
      </c>
      <c r="F18" s="118">
        <f t="shared" si="2"/>
        <v>2000</v>
      </c>
      <c r="G18" s="118">
        <f t="shared" si="2"/>
        <v>4</v>
      </c>
      <c r="H18" s="4"/>
      <c r="I18" s="5"/>
      <c r="J18" s="5"/>
      <c r="K18" s="5"/>
    </row>
    <row r="19" spans="1:14" ht="27.75" customHeight="1" x14ac:dyDescent="0.25">
      <c r="D19" s="4"/>
      <c r="E19" s="4"/>
      <c r="F19" s="4"/>
      <c r="G19" s="4"/>
      <c r="H19" s="4"/>
      <c r="I19" s="5"/>
      <c r="J19" s="111" t="s">
        <v>156</v>
      </c>
      <c r="K19" s="117" t="s">
        <v>158</v>
      </c>
      <c r="L19" s="112" t="s">
        <v>157</v>
      </c>
    </row>
    <row r="20" spans="1:14" s="64" customFormat="1" ht="30" customHeight="1" x14ac:dyDescent="0.25">
      <c r="D20" s="66" t="str">
        <f>D5</f>
        <v>APPROPRIATIONS</v>
      </c>
      <c r="E20" s="66" t="str">
        <f t="shared" ref="E20:G20" si="3">E5</f>
        <v>ESTIMATED REVENUES</v>
      </c>
      <c r="F20" s="66" t="str">
        <f t="shared" si="3"/>
        <v>UNEXPENDED FUND BALANCE</v>
      </c>
      <c r="G20" s="66" t="str">
        <f t="shared" si="3"/>
        <v>AMOUNT TO BE RAISED BY TAXES</v>
      </c>
      <c r="H20" s="98" t="s">
        <v>156</v>
      </c>
      <c r="I20" s="65"/>
      <c r="J20" s="114">
        <f>G16</f>
        <v>298468</v>
      </c>
      <c r="K20" s="113">
        <f>G17</f>
        <v>298464</v>
      </c>
      <c r="L20" s="115">
        <f>G18</f>
        <v>4</v>
      </c>
      <c r="M20" s="106"/>
      <c r="N20" s="107"/>
    </row>
    <row r="21" spans="1:14" ht="15.75" thickBot="1" x14ac:dyDescent="0.3">
      <c r="C21">
        <v>2017</v>
      </c>
      <c r="D21" s="4">
        <f>D16</f>
        <v>649092</v>
      </c>
      <c r="E21" s="4">
        <f>E16</f>
        <v>326624</v>
      </c>
      <c r="F21" s="4">
        <f>F16</f>
        <v>24000</v>
      </c>
      <c r="G21" s="4">
        <f>G16</f>
        <v>298468</v>
      </c>
      <c r="H21" s="32">
        <f>SUM(G21-G22)/G22</f>
        <v>1.9312667128850155E-2</v>
      </c>
      <c r="I21" s="5"/>
      <c r="J21" s="116">
        <f>H21</f>
        <v>1.9312667128850155E-2</v>
      </c>
      <c r="K21" s="109">
        <v>1.9300000000000001E-2</v>
      </c>
      <c r="L21" s="110">
        <f>SUM(J21-K21)</f>
        <v>1.2667128850153697E-5</v>
      </c>
      <c r="M21" s="108"/>
      <c r="N21" s="59"/>
    </row>
    <row r="22" spans="1:14" x14ac:dyDescent="0.25">
      <c r="C22">
        <v>2016</v>
      </c>
      <c r="D22" s="4">
        <v>590910</v>
      </c>
      <c r="E22" s="4">
        <v>273097</v>
      </c>
      <c r="F22" s="4">
        <v>25000</v>
      </c>
      <c r="G22" s="4">
        <v>292813</v>
      </c>
      <c r="H22" s="32">
        <f>SUM(G22-G23)/G23</f>
        <v>5.7342389675481074E-2</v>
      </c>
      <c r="I22" s="5"/>
      <c r="J22" s="5"/>
      <c r="K22" s="5"/>
      <c r="M22" s="59"/>
    </row>
    <row r="23" spans="1:14" x14ac:dyDescent="0.25">
      <c r="C23">
        <v>2015</v>
      </c>
      <c r="D23" s="4">
        <v>588368</v>
      </c>
      <c r="E23" s="4">
        <v>264935</v>
      </c>
      <c r="F23" s="4">
        <v>46500</v>
      </c>
      <c r="G23" s="4">
        <v>276933</v>
      </c>
      <c r="H23" s="32">
        <f>SUM(G23-G24)/G24</f>
        <v>0.13515274982476708</v>
      </c>
      <c r="I23" s="5"/>
      <c r="J23" s="5"/>
      <c r="K23" s="5"/>
    </row>
    <row r="24" spans="1:14" x14ac:dyDescent="0.25">
      <c r="C24">
        <v>2014</v>
      </c>
      <c r="D24" s="4">
        <f>SUM('prior year summary'!D16:D18)</f>
        <v>585316</v>
      </c>
      <c r="E24" s="4">
        <f>SUM('prior year summary'!E16:E18)</f>
        <v>253455</v>
      </c>
      <c r="F24" s="4">
        <f>SUM('prior year summary'!F16:F18)</f>
        <v>87900</v>
      </c>
      <c r="G24" s="4">
        <f>D24-E24-F24</f>
        <v>243961</v>
      </c>
      <c r="H24" s="32">
        <f t="shared" ref="H24:H25" si="4">SUM(G24-G25)/G25</f>
        <v>4.9407463168082588E-2</v>
      </c>
      <c r="I24" s="5"/>
      <c r="J24" s="5"/>
      <c r="K24" s="5"/>
    </row>
    <row r="25" spans="1:14" x14ac:dyDescent="0.25">
      <c r="C25">
        <v>2013</v>
      </c>
      <c r="D25" s="4">
        <f>SUM('prior year summary'!D10:D12)</f>
        <v>539820</v>
      </c>
      <c r="E25" s="4">
        <f>SUM('prior year summary'!E10:E12)</f>
        <v>219095</v>
      </c>
      <c r="F25" s="4">
        <f>SUM('prior year summary'!F10:F12)</f>
        <v>88250</v>
      </c>
      <c r="G25" s="4">
        <f>D25-E25-F25</f>
        <v>232475</v>
      </c>
      <c r="H25" s="32">
        <f t="shared" si="4"/>
        <v>4.6963030349430529E-2</v>
      </c>
      <c r="I25" s="5"/>
      <c r="J25" s="5"/>
      <c r="K25" s="5"/>
    </row>
    <row r="26" spans="1:14" x14ac:dyDescent="0.25">
      <c r="C26">
        <v>2012</v>
      </c>
      <c r="D26" s="4">
        <f>SUM('prior year summary'!D4:D6)</f>
        <v>448344</v>
      </c>
      <c r="E26" s="4">
        <f>SUM('prior year summary'!E4:E6)</f>
        <v>220245</v>
      </c>
      <c r="F26" s="4">
        <f>SUM('prior year summary'!F4:F6)</f>
        <v>7000</v>
      </c>
      <c r="G26" s="4">
        <v>222047</v>
      </c>
      <c r="H26" s="32">
        <f>SUM(G26-G27)/G27</f>
        <v>8.9758438932459092E-2</v>
      </c>
      <c r="I26" s="5"/>
      <c r="J26" s="5"/>
      <c r="K26" s="5"/>
    </row>
    <row r="27" spans="1:14" x14ac:dyDescent="0.25">
      <c r="C27">
        <v>2011</v>
      </c>
      <c r="D27" s="4"/>
      <c r="E27" s="4"/>
      <c r="F27" s="4" t="s">
        <v>18</v>
      </c>
      <c r="G27" s="4">
        <f>59107+144651</f>
        <v>203758</v>
      </c>
      <c r="H27" s="4"/>
      <c r="I27" s="5"/>
    </row>
    <row r="28" spans="1:14" ht="15.75" thickBot="1" x14ac:dyDescent="0.3">
      <c r="D28" s="4"/>
      <c r="E28" s="4"/>
      <c r="F28" s="4"/>
    </row>
    <row r="29" spans="1:14" ht="15.75" thickBot="1" x14ac:dyDescent="0.3">
      <c r="C29" s="33"/>
      <c r="D29" s="34"/>
      <c r="E29" s="35"/>
      <c r="F29" s="35"/>
      <c r="G29" s="35"/>
      <c r="H29" s="35"/>
      <c r="I29" s="36"/>
    </row>
    <row r="30" spans="1:14" x14ac:dyDescent="0.25">
      <c r="C30" s="37" t="s">
        <v>132</v>
      </c>
      <c r="D30" s="38">
        <v>296337</v>
      </c>
      <c r="E30" s="39"/>
      <c r="F30" s="128" t="s">
        <v>160</v>
      </c>
      <c r="G30" s="129"/>
      <c r="H30" s="77">
        <v>296337</v>
      </c>
      <c r="I30" s="89"/>
    </row>
    <row r="31" spans="1:14" x14ac:dyDescent="0.25">
      <c r="C31" s="37" t="s">
        <v>126</v>
      </c>
      <c r="D31" s="38">
        <f>G22</f>
        <v>292813</v>
      </c>
      <c r="E31" s="39"/>
      <c r="F31" s="126" t="s">
        <v>161</v>
      </c>
      <c r="G31" s="127"/>
      <c r="H31" s="74">
        <f>G22</f>
        <v>292813</v>
      </c>
      <c r="I31" s="82"/>
      <c r="L31" s="55"/>
    </row>
    <row r="32" spans="1:14" ht="15.75" thickBot="1" x14ac:dyDescent="0.3">
      <c r="C32" s="40" t="s">
        <v>112</v>
      </c>
      <c r="D32" s="41">
        <f>SUM(D30-D31)</f>
        <v>3524</v>
      </c>
      <c r="E32" s="39"/>
      <c r="F32" s="85" t="s">
        <v>159</v>
      </c>
      <c r="G32" s="90"/>
      <c r="H32" s="75">
        <f>SUM(H30-H31)</f>
        <v>3524</v>
      </c>
      <c r="I32" s="93">
        <f>SUM(H32/H31)</f>
        <v>1.2034984785511573E-2</v>
      </c>
      <c r="L32" s="55"/>
    </row>
    <row r="33" spans="3:12" ht="15.75" thickBot="1" x14ac:dyDescent="0.3">
      <c r="C33" s="37"/>
      <c r="D33" s="38"/>
      <c r="E33" s="39"/>
      <c r="F33" s="87"/>
      <c r="G33" s="86"/>
      <c r="H33" s="6"/>
      <c r="I33" s="83"/>
      <c r="L33" s="55"/>
    </row>
    <row r="34" spans="3:12" x14ac:dyDescent="0.25">
      <c r="C34" s="37"/>
      <c r="D34" s="38">
        <f>D32</f>
        <v>3524</v>
      </c>
      <c r="E34" s="42"/>
      <c r="F34" s="126" t="s">
        <v>151</v>
      </c>
      <c r="G34" s="127"/>
      <c r="H34" s="77">
        <f>G21</f>
        <v>298468</v>
      </c>
      <c r="I34" s="89"/>
      <c r="L34" s="55"/>
    </row>
    <row r="35" spans="3:12" x14ac:dyDescent="0.25">
      <c r="C35" s="37"/>
      <c r="D35" s="38">
        <f>D31</f>
        <v>292813</v>
      </c>
      <c r="E35" s="39"/>
      <c r="F35" s="126" t="s">
        <v>126</v>
      </c>
      <c r="G35" s="127"/>
      <c r="H35" s="74">
        <v>292813</v>
      </c>
      <c r="I35" s="82"/>
      <c r="L35" s="55"/>
    </row>
    <row r="36" spans="3:12" x14ac:dyDescent="0.25">
      <c r="C36" s="40" t="s">
        <v>113</v>
      </c>
      <c r="D36" s="43">
        <f>SUM(D34/D35)</f>
        <v>1.2034984785511573E-2</v>
      </c>
      <c r="E36" s="39"/>
      <c r="F36" s="88" t="s">
        <v>153</v>
      </c>
      <c r="G36" s="86"/>
      <c r="H36" s="74">
        <f>SUM(H34-H35)</f>
        <v>5655</v>
      </c>
      <c r="I36" s="84">
        <f>SUM(H36/H35)</f>
        <v>1.9312667128850155E-2</v>
      </c>
    </row>
    <row r="37" spans="3:12" ht="15.75" thickBot="1" x14ac:dyDescent="0.3">
      <c r="C37" s="37"/>
      <c r="D37" s="39"/>
      <c r="E37" s="39"/>
      <c r="F37" s="92"/>
      <c r="G37" s="90"/>
      <c r="H37" s="75"/>
      <c r="I37" s="91"/>
    </row>
    <row r="38" spans="3:12" ht="15.75" thickBot="1" x14ac:dyDescent="0.3">
      <c r="C38" s="37"/>
      <c r="D38" s="39"/>
      <c r="E38" s="39"/>
      <c r="F38" s="94"/>
      <c r="G38" s="90"/>
      <c r="H38" s="75"/>
      <c r="I38" s="91"/>
    </row>
    <row r="39" spans="3:12" ht="15.75" thickBot="1" x14ac:dyDescent="0.3">
      <c r="C39" s="44"/>
      <c r="D39" s="45"/>
      <c r="E39" s="45"/>
      <c r="F39" s="123" t="s">
        <v>152</v>
      </c>
      <c r="G39" s="124"/>
      <c r="H39" s="95">
        <f>SUM(H36-H32)</f>
        <v>2131</v>
      </c>
      <c r="I39" s="96">
        <f>SUM(H39/H35)</f>
        <v>7.2776823433385813E-3</v>
      </c>
    </row>
    <row r="42" spans="3:12" x14ac:dyDescent="0.25">
      <c r="F42" s="48"/>
      <c r="J42" s="49"/>
    </row>
    <row r="43" spans="3:12" x14ac:dyDescent="0.25">
      <c r="D43" s="49"/>
      <c r="E43" s="49"/>
      <c r="F43" s="97"/>
      <c r="G43" s="49"/>
      <c r="H43" s="49"/>
      <c r="I43" s="49"/>
      <c r="J43" s="49"/>
    </row>
    <row r="44" spans="3:12" x14ac:dyDescent="0.25">
      <c r="D44" s="49"/>
      <c r="E44" s="49"/>
      <c r="F44" s="97"/>
      <c r="G44" s="49"/>
      <c r="H44" s="49"/>
      <c r="I44" s="49"/>
      <c r="J44" s="49"/>
    </row>
    <row r="45" spans="3:12" x14ac:dyDescent="0.25">
      <c r="D45" s="49"/>
      <c r="E45" s="49"/>
      <c r="F45" s="97"/>
      <c r="G45" s="49"/>
      <c r="H45" s="49"/>
      <c r="I45" s="49"/>
      <c r="J45" s="49"/>
    </row>
    <row r="46" spans="3:12" x14ac:dyDescent="0.25">
      <c r="D46" s="49"/>
      <c r="E46" s="49"/>
      <c r="F46" s="97"/>
      <c r="G46" s="49"/>
      <c r="H46" s="49"/>
      <c r="I46" s="49"/>
      <c r="J46" s="49"/>
    </row>
    <row r="47" spans="3:12" x14ac:dyDescent="0.25">
      <c r="D47" s="49"/>
      <c r="E47" s="49"/>
      <c r="F47" s="97"/>
      <c r="G47" s="49"/>
      <c r="H47" s="49"/>
      <c r="I47" s="49"/>
      <c r="J47" s="49"/>
    </row>
    <row r="48" spans="3:12" x14ac:dyDescent="0.25">
      <c r="D48" s="49"/>
      <c r="E48" s="49"/>
      <c r="F48" s="97"/>
      <c r="G48" s="49"/>
      <c r="H48" s="49"/>
      <c r="I48" s="49"/>
      <c r="J48" s="49"/>
    </row>
    <row r="49" spans="4:10" x14ac:dyDescent="0.25">
      <c r="D49" s="49"/>
      <c r="E49" s="49"/>
      <c r="F49" s="49"/>
      <c r="G49" s="49"/>
      <c r="H49" s="49"/>
      <c r="I49" s="49"/>
      <c r="J49" s="49"/>
    </row>
    <row r="50" spans="4:10" x14ac:dyDescent="0.25">
      <c r="D50" s="49"/>
      <c r="E50" s="49"/>
      <c r="F50" s="49"/>
      <c r="G50" s="49"/>
      <c r="H50" s="49"/>
      <c r="I50" s="49"/>
      <c r="J50" s="49"/>
    </row>
    <row r="51" spans="4:10" x14ac:dyDescent="0.25">
      <c r="D51" s="49"/>
      <c r="E51" s="49"/>
      <c r="F51" s="49"/>
      <c r="G51" s="49"/>
      <c r="H51" s="49"/>
      <c r="I51" s="49"/>
    </row>
  </sheetData>
  <mergeCells count="6">
    <mergeCell ref="F39:G39"/>
    <mergeCell ref="E3:H3"/>
    <mergeCell ref="F35:G35"/>
    <mergeCell ref="F30:G30"/>
    <mergeCell ref="F31:G31"/>
    <mergeCell ref="F34:G34"/>
  </mergeCells>
  <printOptions gridLines="1"/>
  <pageMargins left="0.45" right="0.45" top="0.75" bottom="0.75" header="0.3" footer="0.3"/>
  <pageSetup scale="76" orientation="landscape" r:id="rId1"/>
  <headerFooter>
    <oddFooter>&amp;L&amp;D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72"/>
  <sheetViews>
    <sheetView zoomScaleNormal="100" workbookViewId="0">
      <pane ySplit="2" topLeftCell="A3" activePane="bottomLeft" state="frozen"/>
      <selection pane="bottomLeft" activeCell="N59" sqref="N59"/>
    </sheetView>
  </sheetViews>
  <sheetFormatPr defaultRowHeight="15" x14ac:dyDescent="0.25"/>
  <cols>
    <col min="1" max="1" width="1.42578125" style="59" customWidth="1"/>
    <col min="2" max="2" width="1.7109375" style="59" customWidth="1"/>
    <col min="3" max="3" width="31.28515625" style="59" customWidth="1"/>
    <col min="4" max="4" width="9.42578125" customWidth="1"/>
    <col min="5" max="8" width="9.7109375" customWidth="1"/>
    <col min="9" max="9" width="8.85546875" customWidth="1"/>
    <col min="10" max="13" width="9.7109375" customWidth="1"/>
    <col min="14" max="14" width="20.28515625" customWidth="1"/>
    <col min="15" max="15" width="39" style="79" bestFit="1" customWidth="1"/>
  </cols>
  <sheetData>
    <row r="1" spans="1:16" ht="28.9" customHeight="1" thickBot="1" x14ac:dyDescent="0.3">
      <c r="A1" s="57"/>
      <c r="B1" s="57"/>
      <c r="C1" s="57"/>
      <c r="D1" s="15" t="s">
        <v>20</v>
      </c>
      <c r="E1" s="15" t="s">
        <v>21</v>
      </c>
      <c r="F1" s="15" t="s">
        <v>20</v>
      </c>
      <c r="G1" s="15" t="s">
        <v>21</v>
      </c>
      <c r="H1" s="15" t="s">
        <v>20</v>
      </c>
      <c r="I1" s="15" t="s">
        <v>21</v>
      </c>
      <c r="J1" s="15" t="s">
        <v>20</v>
      </c>
      <c r="K1" s="15" t="s">
        <v>21</v>
      </c>
      <c r="L1" s="15" t="s">
        <v>22</v>
      </c>
      <c r="M1" s="15" t="s">
        <v>23</v>
      </c>
      <c r="N1" s="15" t="s">
        <v>20</v>
      </c>
    </row>
    <row r="2" spans="1:16" ht="16.5" thickTop="1" thickBot="1" x14ac:dyDescent="0.3">
      <c r="A2" s="58"/>
      <c r="B2" s="58"/>
      <c r="C2" s="58"/>
      <c r="D2" s="17" t="s">
        <v>24</v>
      </c>
      <c r="E2" s="17" t="s">
        <v>129</v>
      </c>
      <c r="F2" s="17" t="s">
        <v>25</v>
      </c>
      <c r="G2" s="17" t="s">
        <v>130</v>
      </c>
      <c r="H2" s="17" t="s">
        <v>26</v>
      </c>
      <c r="I2" s="17" t="s">
        <v>128</v>
      </c>
      <c r="J2" s="17" t="s">
        <v>116</v>
      </c>
      <c r="K2" s="17" t="s">
        <v>133</v>
      </c>
      <c r="L2" s="17" t="s">
        <v>127</v>
      </c>
      <c r="M2" s="17" t="s">
        <v>127</v>
      </c>
      <c r="N2" s="17" t="s">
        <v>127</v>
      </c>
    </row>
    <row r="3" spans="1:16" ht="15.75" thickTop="1" x14ac:dyDescent="0.25">
      <c r="A3" s="53"/>
      <c r="B3" s="53"/>
      <c r="C3" s="53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</row>
    <row r="4" spans="1:16" x14ac:dyDescent="0.25">
      <c r="A4" s="53"/>
      <c r="B4" s="53"/>
      <c r="C4" s="53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</row>
    <row r="5" spans="1:16" x14ac:dyDescent="0.25">
      <c r="A5" s="53"/>
      <c r="B5" s="53"/>
      <c r="C5" s="53" t="s">
        <v>28</v>
      </c>
      <c r="D5" s="19">
        <v>68345</v>
      </c>
      <c r="E5" s="19">
        <v>68345</v>
      </c>
      <c r="F5" s="19">
        <v>71197</v>
      </c>
      <c r="G5" s="19">
        <v>71197</v>
      </c>
      <c r="H5" s="19">
        <v>66238</v>
      </c>
      <c r="I5" s="19">
        <v>66238</v>
      </c>
      <c r="J5" s="19">
        <v>68123</v>
      </c>
      <c r="K5" s="19">
        <v>68123</v>
      </c>
      <c r="L5" s="51">
        <f>summary!$G$7</f>
        <v>73843</v>
      </c>
      <c r="M5" s="19">
        <f>summary!$G$7</f>
        <v>73843</v>
      </c>
      <c r="N5" s="19">
        <f>summary!$G$7</f>
        <v>73843</v>
      </c>
    </row>
    <row r="6" spans="1:16" x14ac:dyDescent="0.25">
      <c r="A6" s="53"/>
      <c r="B6" s="53"/>
      <c r="C6" s="53" t="s">
        <v>29</v>
      </c>
      <c r="D6" s="19">
        <v>53000</v>
      </c>
      <c r="E6" s="19">
        <v>61499.56</v>
      </c>
      <c r="F6" s="19">
        <v>53000</v>
      </c>
      <c r="G6" s="19">
        <v>63352.17</v>
      </c>
      <c r="H6" s="19">
        <v>60000</v>
      </c>
      <c r="I6" s="19">
        <v>61744.85</v>
      </c>
      <c r="J6" s="19">
        <v>61000</v>
      </c>
      <c r="K6" s="19">
        <v>38524.03</v>
      </c>
      <c r="L6" s="19">
        <v>60000</v>
      </c>
      <c r="M6" s="19">
        <v>60000</v>
      </c>
      <c r="N6" s="19"/>
      <c r="P6" s="4"/>
    </row>
    <row r="7" spans="1:16" x14ac:dyDescent="0.25">
      <c r="A7" s="53"/>
      <c r="B7" s="53"/>
      <c r="C7" s="53" t="s">
        <v>125</v>
      </c>
      <c r="D7" s="19">
        <v>1800</v>
      </c>
      <c r="E7" s="19">
        <v>2310.2600000000002</v>
      </c>
      <c r="F7" s="19">
        <v>2000</v>
      </c>
      <c r="G7" s="19">
        <v>2007.52</v>
      </c>
      <c r="H7" s="19">
        <v>2000</v>
      </c>
      <c r="I7" s="19">
        <v>2567.62</v>
      </c>
      <c r="J7" s="19">
        <v>2200</v>
      </c>
      <c r="K7" s="19">
        <v>2236.7800000000002</v>
      </c>
      <c r="L7" s="19">
        <v>2200</v>
      </c>
      <c r="M7" s="19">
        <v>2200</v>
      </c>
      <c r="N7" s="19"/>
    </row>
    <row r="8" spans="1:16" x14ac:dyDescent="0.25">
      <c r="A8" s="53"/>
      <c r="B8" s="53"/>
      <c r="C8" s="53" t="s">
        <v>30</v>
      </c>
      <c r="D8" s="19">
        <v>25</v>
      </c>
      <c r="E8" s="19">
        <v>38</v>
      </c>
      <c r="F8" s="19">
        <v>25</v>
      </c>
      <c r="G8" s="19">
        <v>30</v>
      </c>
      <c r="H8" s="19">
        <v>25</v>
      </c>
      <c r="I8" s="19">
        <v>30</v>
      </c>
      <c r="J8" s="19">
        <v>25</v>
      </c>
      <c r="K8" s="19">
        <v>40</v>
      </c>
      <c r="L8" s="19">
        <v>40</v>
      </c>
      <c r="M8" s="19">
        <v>40</v>
      </c>
      <c r="N8" s="19"/>
    </row>
    <row r="9" spans="1:16" x14ac:dyDescent="0.25">
      <c r="A9" s="53"/>
      <c r="B9" s="53"/>
      <c r="C9" s="53" t="s">
        <v>31</v>
      </c>
      <c r="D9" s="19">
        <v>100</v>
      </c>
      <c r="E9" s="19">
        <v>230</v>
      </c>
      <c r="F9" s="19">
        <v>200</v>
      </c>
      <c r="G9" s="19">
        <v>270</v>
      </c>
      <c r="H9" s="19">
        <v>250</v>
      </c>
      <c r="I9" s="19">
        <v>180</v>
      </c>
      <c r="J9" s="19">
        <v>250</v>
      </c>
      <c r="K9" s="19">
        <v>60</v>
      </c>
      <c r="L9" s="19">
        <v>120</v>
      </c>
      <c r="M9" s="19">
        <v>120</v>
      </c>
      <c r="N9" s="19"/>
    </row>
    <row r="10" spans="1:16" x14ac:dyDescent="0.25">
      <c r="A10" s="53"/>
      <c r="B10" s="53"/>
      <c r="C10" s="53" t="s">
        <v>32</v>
      </c>
      <c r="D10" s="19">
        <v>100</v>
      </c>
      <c r="E10" s="19">
        <v>36.39</v>
      </c>
      <c r="F10" s="19">
        <v>80</v>
      </c>
      <c r="G10" s="19">
        <v>31.72</v>
      </c>
      <c r="H10" s="19">
        <v>20</v>
      </c>
      <c r="I10" s="19">
        <v>19.690000000000001</v>
      </c>
      <c r="J10" s="19">
        <v>20</v>
      </c>
      <c r="K10" s="19">
        <v>14.43</v>
      </c>
      <c r="L10" s="19">
        <v>20</v>
      </c>
      <c r="M10" s="19">
        <v>20</v>
      </c>
      <c r="N10" s="19"/>
    </row>
    <row r="11" spans="1:16" x14ac:dyDescent="0.25">
      <c r="A11" s="53"/>
      <c r="B11" s="53"/>
      <c r="C11" s="53" t="s">
        <v>33</v>
      </c>
      <c r="D11" s="19">
        <v>400</v>
      </c>
      <c r="E11" s="19">
        <v>392</v>
      </c>
      <c r="F11" s="19">
        <v>400</v>
      </c>
      <c r="G11" s="19">
        <v>384.4</v>
      </c>
      <c r="H11" s="19">
        <v>200</v>
      </c>
      <c r="I11" s="19">
        <v>786</v>
      </c>
      <c r="J11" s="19">
        <v>600</v>
      </c>
      <c r="K11" s="19">
        <v>359.4</v>
      </c>
      <c r="L11" s="19">
        <v>450</v>
      </c>
      <c r="M11" s="19">
        <v>450</v>
      </c>
      <c r="N11" s="19"/>
    </row>
    <row r="12" spans="1:16" x14ac:dyDescent="0.25">
      <c r="A12" s="53"/>
      <c r="B12" s="53"/>
      <c r="C12" s="53" t="s">
        <v>34</v>
      </c>
      <c r="D12" s="19">
        <v>1000</v>
      </c>
      <c r="E12" s="19">
        <v>1573.26</v>
      </c>
      <c r="F12" s="19">
        <v>1000</v>
      </c>
      <c r="G12" s="19">
        <v>1573.32</v>
      </c>
      <c r="H12" s="19">
        <v>1000</v>
      </c>
      <c r="I12" s="19">
        <v>2118</v>
      </c>
      <c r="J12" s="19">
        <v>1400</v>
      </c>
      <c r="K12" s="19">
        <v>342.24</v>
      </c>
      <c r="L12" s="19">
        <v>750</v>
      </c>
      <c r="M12" s="19">
        <v>750</v>
      </c>
      <c r="N12" s="19"/>
    </row>
    <row r="13" spans="1:16" x14ac:dyDescent="0.25">
      <c r="A13" s="53"/>
      <c r="B13" s="53"/>
      <c r="C13" s="53" t="s">
        <v>35</v>
      </c>
      <c r="D13" s="19">
        <v>1200</v>
      </c>
      <c r="E13" s="19">
        <v>1385</v>
      </c>
      <c r="F13" s="19">
        <v>1200</v>
      </c>
      <c r="G13" s="19">
        <v>1112</v>
      </c>
      <c r="H13" s="19">
        <v>1000</v>
      </c>
      <c r="I13" s="19">
        <v>1168.75</v>
      </c>
      <c r="J13" s="19">
        <v>1172</v>
      </c>
      <c r="K13" s="19">
        <v>2550</v>
      </c>
      <c r="L13" s="19">
        <v>3000</v>
      </c>
      <c r="M13" s="19">
        <v>3000</v>
      </c>
      <c r="N13" s="19"/>
    </row>
    <row r="14" spans="1:16" x14ac:dyDescent="0.25">
      <c r="A14" s="53"/>
      <c r="B14" s="53"/>
      <c r="C14" s="53" t="s">
        <v>36</v>
      </c>
      <c r="D14" s="19"/>
      <c r="E14" s="19">
        <v>1333</v>
      </c>
      <c r="F14" s="19"/>
      <c r="G14" s="19">
        <v>311.20999999999998</v>
      </c>
      <c r="H14" s="19">
        <v>0</v>
      </c>
      <c r="I14" s="19">
        <v>0</v>
      </c>
      <c r="J14" s="19">
        <v>0</v>
      </c>
      <c r="K14" s="19">
        <v>0</v>
      </c>
      <c r="L14" s="19">
        <v>0</v>
      </c>
      <c r="M14" s="19">
        <v>0</v>
      </c>
      <c r="N14" s="19"/>
    </row>
    <row r="15" spans="1:16" x14ac:dyDescent="0.25">
      <c r="A15" s="53"/>
      <c r="B15" s="53"/>
      <c r="C15" s="53" t="s">
        <v>37</v>
      </c>
      <c r="D15" s="19"/>
      <c r="E15" s="19">
        <v>24.36</v>
      </c>
      <c r="F15" s="19"/>
      <c r="G15" s="19">
        <v>40</v>
      </c>
      <c r="H15" s="19">
        <v>0</v>
      </c>
      <c r="I15" s="19">
        <v>40</v>
      </c>
      <c r="J15" s="19">
        <v>0</v>
      </c>
      <c r="K15" s="19">
        <v>0</v>
      </c>
      <c r="L15" s="19">
        <v>0</v>
      </c>
      <c r="M15" s="19">
        <v>0</v>
      </c>
      <c r="N15" s="19"/>
    </row>
    <row r="16" spans="1:16" x14ac:dyDescent="0.25">
      <c r="A16" s="53"/>
      <c r="B16" s="53"/>
      <c r="C16" s="53" t="s">
        <v>38</v>
      </c>
      <c r="D16" s="19">
        <v>3500</v>
      </c>
      <c r="E16" s="19">
        <v>3541</v>
      </c>
      <c r="F16" s="19">
        <v>3500</v>
      </c>
      <c r="G16" s="19">
        <v>3541</v>
      </c>
      <c r="H16" s="19">
        <v>3500</v>
      </c>
      <c r="I16" s="19">
        <v>3541</v>
      </c>
      <c r="J16" s="19">
        <v>3500</v>
      </c>
      <c r="K16" s="19">
        <v>0</v>
      </c>
      <c r="L16" s="19">
        <v>3541</v>
      </c>
      <c r="M16" s="19">
        <v>3541</v>
      </c>
      <c r="N16" s="19"/>
    </row>
    <row r="17" spans="1:17" x14ac:dyDescent="0.25">
      <c r="A17" s="53"/>
      <c r="B17" s="53"/>
      <c r="C17" s="53" t="s">
        <v>39</v>
      </c>
      <c r="D17" s="19">
        <v>5000</v>
      </c>
      <c r="E17" s="19">
        <v>11677.9</v>
      </c>
      <c r="F17" s="19">
        <v>5000</v>
      </c>
      <c r="G17" s="19">
        <v>6435.03</v>
      </c>
      <c r="H17" s="19">
        <v>5000</v>
      </c>
      <c r="I17" s="19">
        <v>6374.13</v>
      </c>
      <c r="J17" s="19">
        <v>6000</v>
      </c>
      <c r="K17" s="19">
        <v>3951.37</v>
      </c>
      <c r="L17" s="19">
        <v>6300</v>
      </c>
      <c r="M17" s="19">
        <v>6300</v>
      </c>
      <c r="N17" s="19"/>
      <c r="O17" s="81"/>
    </row>
    <row r="18" spans="1:17" x14ac:dyDescent="0.25">
      <c r="A18" s="53"/>
      <c r="B18" s="53"/>
      <c r="C18" s="53" t="s">
        <v>40</v>
      </c>
      <c r="D18" s="19"/>
      <c r="E18" s="19"/>
      <c r="F18" s="19">
        <v>5600</v>
      </c>
      <c r="G18" s="19">
        <v>5600</v>
      </c>
      <c r="H18" s="19">
        <v>0</v>
      </c>
      <c r="I18" s="19">
        <v>0</v>
      </c>
      <c r="J18" s="19">
        <v>0</v>
      </c>
      <c r="K18" s="19">
        <v>0</v>
      </c>
      <c r="L18" s="19">
        <v>0</v>
      </c>
      <c r="M18" s="19">
        <v>0</v>
      </c>
      <c r="N18" s="19"/>
    </row>
    <row r="19" spans="1:17" x14ac:dyDescent="0.25">
      <c r="A19" s="53"/>
      <c r="B19" s="53"/>
      <c r="C19" s="53" t="s">
        <v>41</v>
      </c>
      <c r="D19" s="19"/>
      <c r="E19" s="19"/>
      <c r="F19" s="19"/>
      <c r="G19" s="19">
        <v>2500</v>
      </c>
      <c r="H19" s="19"/>
      <c r="I19" s="19">
        <v>0</v>
      </c>
      <c r="J19" s="19">
        <v>0</v>
      </c>
      <c r="K19" s="19">
        <v>0</v>
      </c>
      <c r="L19" s="19">
        <v>0</v>
      </c>
      <c r="M19" s="19">
        <v>0</v>
      </c>
      <c r="N19" s="19"/>
    </row>
    <row r="20" spans="1:17" ht="15.75" thickBot="1" x14ac:dyDescent="0.3">
      <c r="A20" s="53"/>
      <c r="B20" s="53"/>
      <c r="C20" s="53" t="s">
        <v>42</v>
      </c>
      <c r="D20" s="20"/>
      <c r="E20" s="20">
        <v>4252.49</v>
      </c>
      <c r="F20" s="20"/>
      <c r="G20" s="20">
        <v>0</v>
      </c>
      <c r="H20" s="20">
        <v>0</v>
      </c>
      <c r="I20" s="20">
        <v>0</v>
      </c>
      <c r="J20" s="20">
        <v>0</v>
      </c>
      <c r="K20" s="20">
        <v>0</v>
      </c>
      <c r="L20" s="20">
        <v>0</v>
      </c>
      <c r="M20" s="20">
        <v>0</v>
      </c>
      <c r="N20" s="20"/>
    </row>
    <row r="21" spans="1:17" x14ac:dyDescent="0.25">
      <c r="A21" s="53"/>
      <c r="B21" s="53"/>
      <c r="C21" s="53"/>
      <c r="D21" s="19">
        <f>ROUND(SUM(D4:D20),5)</f>
        <v>134470</v>
      </c>
      <c r="E21" s="19">
        <f>ROUND(SUM(E4:E20),5)</f>
        <v>156638.22</v>
      </c>
      <c r="F21" s="19">
        <f>ROUND(SUM(F4:F20),5)</f>
        <v>143202</v>
      </c>
      <c r="G21" s="19">
        <f>ROUND(SUM(G4:G20),5)</f>
        <v>158385.37</v>
      </c>
      <c r="H21" s="19">
        <f t="shared" ref="H21" si="0">ROUND(SUM(H4:H20),5)</f>
        <v>139233</v>
      </c>
      <c r="I21" s="19">
        <f>ROUND(SUM(I4:I20),5)</f>
        <v>144808.04</v>
      </c>
      <c r="J21" s="19">
        <f t="shared" ref="J21" si="1">ROUND(SUM(J4:J20),5)</f>
        <v>144290</v>
      </c>
      <c r="K21" s="19">
        <f>ROUND(SUM(K4:K20),5)</f>
        <v>116201.25</v>
      </c>
      <c r="L21" s="19">
        <f t="shared" ref="L21:N21" si="2">ROUND(SUM(L4:L20),5)</f>
        <v>150264</v>
      </c>
      <c r="M21" s="19">
        <f t="shared" si="2"/>
        <v>150264</v>
      </c>
      <c r="N21" s="19">
        <f t="shared" si="2"/>
        <v>73843</v>
      </c>
    </row>
    <row r="22" spans="1:17" x14ac:dyDescent="0.25">
      <c r="A22" s="53"/>
      <c r="B22" s="53"/>
      <c r="C22" s="53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Q22" s="54"/>
    </row>
    <row r="23" spans="1:17" x14ac:dyDescent="0.25">
      <c r="A23" s="53"/>
      <c r="B23" s="53"/>
      <c r="C23" s="53" t="s">
        <v>45</v>
      </c>
      <c r="D23" s="19">
        <v>8000</v>
      </c>
      <c r="E23" s="19">
        <v>8000</v>
      </c>
      <c r="F23" s="19">
        <v>8000</v>
      </c>
      <c r="G23" s="19">
        <v>8166.83</v>
      </c>
      <c r="H23" s="19">
        <v>8000</v>
      </c>
      <c r="I23" s="19">
        <v>7583.48</v>
      </c>
      <c r="J23" s="19">
        <v>8000</v>
      </c>
      <c r="K23" s="19">
        <v>5333.44</v>
      </c>
      <c r="L23" s="19">
        <v>8400</v>
      </c>
      <c r="M23" s="19">
        <v>8400</v>
      </c>
      <c r="N23" s="19"/>
      <c r="Q23" s="32"/>
    </row>
    <row r="24" spans="1:17" x14ac:dyDescent="0.25">
      <c r="A24" s="53"/>
      <c r="B24" s="53"/>
      <c r="C24" s="53" t="s">
        <v>118</v>
      </c>
      <c r="D24" s="19"/>
      <c r="E24" s="19"/>
      <c r="F24" s="19"/>
      <c r="G24" s="19"/>
      <c r="H24" s="19"/>
      <c r="I24" s="19">
        <v>189.64</v>
      </c>
      <c r="J24" s="19">
        <v>600</v>
      </c>
      <c r="K24" s="19">
        <v>76.849999999999994</v>
      </c>
      <c r="L24" s="19">
        <v>400</v>
      </c>
      <c r="M24" s="19">
        <v>400</v>
      </c>
      <c r="N24" s="19"/>
      <c r="Q24" s="54"/>
    </row>
    <row r="25" spans="1:17" x14ac:dyDescent="0.25">
      <c r="A25" s="53"/>
      <c r="B25" s="53"/>
      <c r="C25" s="53" t="s">
        <v>46</v>
      </c>
      <c r="D25" s="19">
        <v>2400</v>
      </c>
      <c r="E25" s="19">
        <v>2400</v>
      </c>
      <c r="F25" s="19">
        <v>2400</v>
      </c>
      <c r="G25" s="19">
        <v>2400</v>
      </c>
      <c r="H25" s="19">
        <v>2400</v>
      </c>
      <c r="I25" s="19">
        <v>0</v>
      </c>
      <c r="J25" s="19">
        <v>2400</v>
      </c>
      <c r="K25" s="19">
        <v>1600</v>
      </c>
      <c r="L25" s="19">
        <v>2400</v>
      </c>
      <c r="M25" s="19">
        <v>2400</v>
      </c>
      <c r="N25" s="19"/>
    </row>
    <row r="26" spans="1:17" x14ac:dyDescent="0.25">
      <c r="A26" s="53"/>
      <c r="B26" s="53"/>
      <c r="C26" s="53" t="s">
        <v>47</v>
      </c>
      <c r="D26" s="19">
        <v>250</v>
      </c>
      <c r="E26" s="19">
        <v>950</v>
      </c>
      <c r="F26" s="19">
        <v>250</v>
      </c>
      <c r="G26" s="19">
        <v>0</v>
      </c>
      <c r="H26" s="19">
        <v>0</v>
      </c>
      <c r="I26" s="19">
        <v>0</v>
      </c>
      <c r="J26" s="19">
        <v>0</v>
      </c>
      <c r="K26" s="19">
        <v>0</v>
      </c>
      <c r="L26" s="19">
        <v>0</v>
      </c>
      <c r="M26" s="19">
        <v>0</v>
      </c>
      <c r="N26" s="19"/>
      <c r="O26" s="80"/>
      <c r="P26" s="19"/>
    </row>
    <row r="27" spans="1:17" x14ac:dyDescent="0.25">
      <c r="A27" s="53"/>
      <c r="B27" s="53"/>
      <c r="C27" s="53" t="s">
        <v>48</v>
      </c>
      <c r="D27" s="19">
        <v>1380</v>
      </c>
      <c r="E27" s="19">
        <v>2164.94</v>
      </c>
      <c r="F27" s="19">
        <v>1380</v>
      </c>
      <c r="G27" s="19">
        <v>1437.84</v>
      </c>
      <c r="H27" s="19">
        <v>1750</v>
      </c>
      <c r="I27" s="19">
        <v>2200.59</v>
      </c>
      <c r="J27" s="19">
        <v>1750</v>
      </c>
      <c r="K27" s="19">
        <v>2928.59</v>
      </c>
      <c r="L27" s="19">
        <v>2100</v>
      </c>
      <c r="M27" s="19">
        <v>2100</v>
      </c>
      <c r="N27" s="19"/>
    </row>
    <row r="28" spans="1:17" x14ac:dyDescent="0.25">
      <c r="A28" s="53"/>
      <c r="B28" s="53"/>
      <c r="C28" s="53" t="s">
        <v>49</v>
      </c>
      <c r="D28" s="19"/>
      <c r="E28" s="19"/>
      <c r="F28" s="19">
        <v>5600</v>
      </c>
      <c r="G28" s="19">
        <v>5757.16</v>
      </c>
      <c r="H28" s="19">
        <v>0</v>
      </c>
      <c r="I28" s="19">
        <v>0</v>
      </c>
      <c r="J28" s="19">
        <v>0</v>
      </c>
      <c r="K28" s="19">
        <v>0</v>
      </c>
      <c r="L28" s="19">
        <v>0</v>
      </c>
      <c r="M28" s="19">
        <v>0</v>
      </c>
      <c r="N28" s="19"/>
    </row>
    <row r="29" spans="1:17" x14ac:dyDescent="0.25">
      <c r="A29" s="78"/>
      <c r="B29" s="78"/>
      <c r="C29" s="78" t="s">
        <v>50</v>
      </c>
      <c r="D29" s="51">
        <v>4800</v>
      </c>
      <c r="E29" s="51">
        <v>4800</v>
      </c>
      <c r="F29" s="51">
        <v>4800</v>
      </c>
      <c r="G29" s="51">
        <v>4800</v>
      </c>
      <c r="H29" s="51">
        <v>4800</v>
      </c>
      <c r="I29" s="51">
        <v>4800</v>
      </c>
      <c r="J29" s="51">
        <v>4800</v>
      </c>
      <c r="K29" s="51">
        <v>3200</v>
      </c>
      <c r="L29" s="51">
        <v>5040</v>
      </c>
      <c r="M29" s="51">
        <v>4800</v>
      </c>
      <c r="N29" s="51" t="s">
        <v>165</v>
      </c>
    </row>
    <row r="30" spans="1:17" x14ac:dyDescent="0.25">
      <c r="A30" s="53"/>
      <c r="B30" s="53"/>
      <c r="C30" s="53" t="s">
        <v>51</v>
      </c>
      <c r="D30" s="19">
        <v>200</v>
      </c>
      <c r="E30" s="19">
        <v>353.53</v>
      </c>
      <c r="F30" s="19">
        <v>200</v>
      </c>
      <c r="G30" s="19">
        <v>957.17</v>
      </c>
      <c r="H30" s="19">
        <v>300</v>
      </c>
      <c r="I30" s="19">
        <v>2045.95</v>
      </c>
      <c r="J30" s="19">
        <v>300</v>
      </c>
      <c r="K30" s="19">
        <v>89.04</v>
      </c>
      <c r="L30" s="19">
        <v>300</v>
      </c>
      <c r="M30" s="19">
        <v>300</v>
      </c>
      <c r="N30" s="19"/>
    </row>
    <row r="31" spans="1:17" x14ac:dyDescent="0.25">
      <c r="A31" s="53"/>
      <c r="B31" s="53"/>
      <c r="C31" s="53" t="s">
        <v>52</v>
      </c>
      <c r="D31" s="19">
        <v>2000</v>
      </c>
      <c r="E31" s="19">
        <v>1295.96</v>
      </c>
      <c r="F31" s="19">
        <v>1750</v>
      </c>
      <c r="G31" s="19">
        <v>8380.2900000000009</v>
      </c>
      <c r="H31" s="19">
        <v>6600</v>
      </c>
      <c r="I31" s="19">
        <v>6898.09</v>
      </c>
      <c r="J31" s="19">
        <v>6600</v>
      </c>
      <c r="K31" s="19">
        <v>3940.43</v>
      </c>
      <c r="L31" s="19">
        <v>6800</v>
      </c>
      <c r="M31" s="19">
        <v>6800</v>
      </c>
      <c r="N31" s="19"/>
      <c r="O31" s="80"/>
    </row>
    <row r="32" spans="1:17" x14ac:dyDescent="0.25">
      <c r="A32" s="53"/>
      <c r="B32" s="53"/>
      <c r="C32" s="53" t="s">
        <v>53</v>
      </c>
      <c r="D32" s="19">
        <v>1800</v>
      </c>
      <c r="E32" s="52">
        <v>1800</v>
      </c>
      <c r="F32" s="52">
        <v>0</v>
      </c>
      <c r="G32" s="52">
        <v>0</v>
      </c>
      <c r="H32" s="52">
        <v>0</v>
      </c>
      <c r="I32" s="52">
        <v>0</v>
      </c>
      <c r="J32" s="19">
        <v>0</v>
      </c>
      <c r="K32" s="19">
        <v>0</v>
      </c>
      <c r="L32" s="19">
        <v>0</v>
      </c>
      <c r="M32" s="19">
        <v>0</v>
      </c>
      <c r="N32" s="19"/>
      <c r="O32" s="80"/>
    </row>
    <row r="33" spans="1:16" x14ac:dyDescent="0.25">
      <c r="A33" s="53"/>
      <c r="B33" s="53"/>
      <c r="C33" s="53" t="s">
        <v>54</v>
      </c>
      <c r="D33" s="19">
        <v>300</v>
      </c>
      <c r="E33" s="52">
        <v>225.5</v>
      </c>
      <c r="F33" s="52">
        <v>0</v>
      </c>
      <c r="G33" s="52">
        <v>0</v>
      </c>
      <c r="H33" s="52">
        <v>0</v>
      </c>
      <c r="I33" s="52">
        <v>147</v>
      </c>
      <c r="J33" s="19">
        <v>0</v>
      </c>
      <c r="K33" s="19">
        <v>0</v>
      </c>
      <c r="L33" s="19">
        <v>0</v>
      </c>
      <c r="M33" s="19">
        <v>0</v>
      </c>
      <c r="N33" s="19"/>
      <c r="O33" s="80"/>
    </row>
    <row r="34" spans="1:16" x14ac:dyDescent="0.25">
      <c r="A34" s="53"/>
      <c r="B34" s="53"/>
      <c r="C34" s="53" t="s">
        <v>55</v>
      </c>
      <c r="D34" s="19">
        <v>7100</v>
      </c>
      <c r="E34" s="52">
        <v>7100.04</v>
      </c>
      <c r="F34" s="52">
        <v>7100</v>
      </c>
      <c r="G34" s="52">
        <v>7100.04</v>
      </c>
      <c r="H34" s="52">
        <v>7100</v>
      </c>
      <c r="I34" s="52">
        <v>7100.04</v>
      </c>
      <c r="J34" s="19">
        <v>7100</v>
      </c>
      <c r="K34" s="19">
        <v>4733.3599999999997</v>
      </c>
      <c r="L34" s="19">
        <v>7100</v>
      </c>
      <c r="M34" s="19">
        <v>7100</v>
      </c>
      <c r="N34" s="19"/>
      <c r="O34" s="80"/>
    </row>
    <row r="35" spans="1:16" x14ac:dyDescent="0.25">
      <c r="A35" s="53"/>
      <c r="B35" s="53"/>
      <c r="C35" s="53" t="s">
        <v>56</v>
      </c>
      <c r="D35" s="19"/>
      <c r="E35" s="52"/>
      <c r="F35" s="52"/>
      <c r="G35" s="52"/>
      <c r="H35" s="52">
        <v>9500</v>
      </c>
      <c r="I35" s="52">
        <v>9000</v>
      </c>
      <c r="J35" s="19">
        <v>9600</v>
      </c>
      <c r="K35" s="19">
        <v>4576.3599999999997</v>
      </c>
      <c r="L35" s="19">
        <v>9600</v>
      </c>
      <c r="M35" s="19">
        <v>9600</v>
      </c>
      <c r="N35" s="19"/>
      <c r="O35" s="80"/>
    </row>
    <row r="36" spans="1:16" x14ac:dyDescent="0.25">
      <c r="A36" s="53"/>
      <c r="B36" s="53"/>
      <c r="C36" s="53" t="s">
        <v>57</v>
      </c>
      <c r="D36" s="19">
        <v>3700</v>
      </c>
      <c r="E36" s="52">
        <v>3700</v>
      </c>
      <c r="F36" s="52">
        <v>5500</v>
      </c>
      <c r="G36" s="52">
        <v>5499.96</v>
      </c>
      <c r="H36" s="52">
        <v>6500</v>
      </c>
      <c r="I36" s="52">
        <v>6500.04</v>
      </c>
      <c r="J36" s="19">
        <v>6500</v>
      </c>
      <c r="K36" s="19">
        <v>4333.3599999999997</v>
      </c>
      <c r="L36" s="19">
        <v>6695</v>
      </c>
      <c r="M36" s="19">
        <v>6695</v>
      </c>
      <c r="N36" s="19"/>
      <c r="O36" s="80"/>
    </row>
    <row r="37" spans="1:16" x14ac:dyDescent="0.25">
      <c r="A37" s="53"/>
      <c r="B37" s="53"/>
      <c r="C37" s="53" t="s">
        <v>114</v>
      </c>
      <c r="D37" s="19"/>
      <c r="E37" s="19"/>
      <c r="F37" s="19"/>
      <c r="G37" s="19">
        <v>521.85</v>
      </c>
      <c r="H37" s="19"/>
      <c r="I37" s="19">
        <v>0</v>
      </c>
      <c r="J37" s="19">
        <v>0</v>
      </c>
      <c r="K37" s="19">
        <v>0</v>
      </c>
      <c r="L37" s="19">
        <v>0</v>
      </c>
      <c r="M37" s="19">
        <v>0</v>
      </c>
      <c r="N37" s="19"/>
      <c r="O37" s="80"/>
    </row>
    <row r="38" spans="1:16" x14ac:dyDescent="0.25">
      <c r="A38" s="53"/>
      <c r="B38" s="53"/>
      <c r="C38" s="53" t="s">
        <v>58</v>
      </c>
      <c r="D38" s="19">
        <v>200</v>
      </c>
      <c r="E38" s="19">
        <v>469.29</v>
      </c>
      <c r="F38" s="19">
        <v>500</v>
      </c>
      <c r="G38" s="19">
        <v>1042.4000000000001</v>
      </c>
      <c r="H38" s="19">
        <v>900</v>
      </c>
      <c r="I38" s="19">
        <v>1330.56</v>
      </c>
      <c r="J38" s="19">
        <v>900</v>
      </c>
      <c r="K38" s="52">
        <v>1326.01</v>
      </c>
      <c r="L38" s="19">
        <v>1800</v>
      </c>
      <c r="M38" s="19">
        <v>1800</v>
      </c>
      <c r="N38" s="19"/>
      <c r="O38" s="81"/>
    </row>
    <row r="39" spans="1:16" x14ac:dyDescent="0.25">
      <c r="A39" s="53"/>
      <c r="B39" s="53"/>
      <c r="C39" s="53" t="s">
        <v>59</v>
      </c>
      <c r="D39" s="19">
        <v>500</v>
      </c>
      <c r="E39" s="19">
        <v>1320</v>
      </c>
      <c r="F39" s="19">
        <v>700</v>
      </c>
      <c r="G39" s="19">
        <v>1467.75</v>
      </c>
      <c r="H39" s="19">
        <v>700</v>
      </c>
      <c r="I39" s="19">
        <v>700</v>
      </c>
      <c r="J39" s="19">
        <v>700</v>
      </c>
      <c r="K39" s="19">
        <v>0</v>
      </c>
      <c r="L39" s="19">
        <v>700</v>
      </c>
      <c r="M39" s="19">
        <v>700</v>
      </c>
      <c r="N39" s="19"/>
    </row>
    <row r="40" spans="1:16" x14ac:dyDescent="0.25">
      <c r="A40" s="53"/>
      <c r="B40" s="53"/>
      <c r="C40" s="53" t="s">
        <v>60</v>
      </c>
      <c r="D40" s="19"/>
      <c r="E40" s="19">
        <v>1400</v>
      </c>
      <c r="F40" s="19">
        <v>1600</v>
      </c>
      <c r="G40" s="19">
        <v>1599.96</v>
      </c>
      <c r="H40" s="19">
        <v>0</v>
      </c>
      <c r="I40" s="19">
        <v>0</v>
      </c>
      <c r="J40" s="19">
        <v>0</v>
      </c>
      <c r="K40" s="19">
        <v>0</v>
      </c>
      <c r="L40" s="19">
        <v>0</v>
      </c>
      <c r="M40" s="19">
        <v>0</v>
      </c>
      <c r="N40" s="19"/>
    </row>
    <row r="41" spans="1:16" x14ac:dyDescent="0.25">
      <c r="A41" s="53"/>
      <c r="B41" s="53"/>
      <c r="C41" s="53" t="s">
        <v>61</v>
      </c>
      <c r="D41" s="19"/>
      <c r="E41" s="19"/>
      <c r="F41" s="19">
        <v>1500</v>
      </c>
      <c r="G41" s="19">
        <v>0</v>
      </c>
      <c r="H41" s="19">
        <v>0</v>
      </c>
      <c r="I41" s="19">
        <v>0</v>
      </c>
      <c r="J41" s="19">
        <v>0</v>
      </c>
      <c r="K41" s="19">
        <v>0</v>
      </c>
      <c r="L41" s="19">
        <v>0</v>
      </c>
      <c r="M41" s="19">
        <v>0</v>
      </c>
      <c r="N41" s="19"/>
    </row>
    <row r="42" spans="1:16" x14ac:dyDescent="0.25">
      <c r="A42" s="53"/>
      <c r="B42" s="53"/>
      <c r="C42" s="53" t="s">
        <v>62</v>
      </c>
      <c r="D42" s="19">
        <v>100</v>
      </c>
      <c r="E42" s="19">
        <v>120</v>
      </c>
      <c r="F42" s="19">
        <v>140</v>
      </c>
      <c r="G42" s="19">
        <v>108</v>
      </c>
      <c r="H42" s="19">
        <v>140</v>
      </c>
      <c r="I42" s="19">
        <v>122.5</v>
      </c>
      <c r="J42" s="19">
        <v>140</v>
      </c>
      <c r="K42" s="19">
        <v>156.6</v>
      </c>
      <c r="L42" s="19">
        <v>200</v>
      </c>
      <c r="M42" s="19">
        <v>200</v>
      </c>
      <c r="N42" s="19"/>
    </row>
    <row r="43" spans="1:16" x14ac:dyDescent="0.25">
      <c r="A43" s="53"/>
      <c r="B43" s="53"/>
      <c r="C43" s="53" t="s">
        <v>144</v>
      </c>
      <c r="D43" s="19"/>
      <c r="E43" s="19"/>
      <c r="F43" s="19"/>
      <c r="G43" s="19"/>
      <c r="H43" s="19"/>
      <c r="I43" s="19"/>
      <c r="J43" s="19"/>
      <c r="K43" s="19"/>
      <c r="L43" s="19">
        <v>4500</v>
      </c>
      <c r="M43" s="19">
        <v>4500</v>
      </c>
      <c r="N43" s="19"/>
    </row>
    <row r="44" spans="1:16" x14ac:dyDescent="0.25">
      <c r="A44" s="53"/>
      <c r="B44" s="78"/>
      <c r="C44" s="78" t="s">
        <v>63</v>
      </c>
      <c r="D44" s="51">
        <v>500</v>
      </c>
      <c r="E44" s="51">
        <v>0</v>
      </c>
      <c r="F44" s="51">
        <v>500</v>
      </c>
      <c r="G44" s="51">
        <v>0</v>
      </c>
      <c r="H44" s="51">
        <v>0</v>
      </c>
      <c r="I44" s="51">
        <v>369.99</v>
      </c>
      <c r="J44" s="51">
        <v>0</v>
      </c>
      <c r="K44" s="51">
        <v>692.99</v>
      </c>
      <c r="L44" s="51">
        <v>1000</v>
      </c>
      <c r="M44" s="51">
        <v>750</v>
      </c>
      <c r="N44" s="51" t="s">
        <v>162</v>
      </c>
    </row>
    <row r="45" spans="1:16" x14ac:dyDescent="0.25">
      <c r="A45" s="53"/>
      <c r="B45" s="53"/>
      <c r="C45" s="53" t="s">
        <v>64</v>
      </c>
      <c r="D45" s="19">
        <v>15000</v>
      </c>
      <c r="E45" s="19">
        <v>21021.78</v>
      </c>
      <c r="F45" s="19">
        <v>15000</v>
      </c>
      <c r="G45" s="19">
        <v>17299.46</v>
      </c>
      <c r="H45" s="19">
        <v>21000</v>
      </c>
      <c r="I45" s="19">
        <v>17442.14</v>
      </c>
      <c r="J45" s="19">
        <v>19000</v>
      </c>
      <c r="K45" s="19">
        <v>9734.57</v>
      </c>
      <c r="L45" s="19">
        <v>18000</v>
      </c>
      <c r="M45" s="19">
        <v>18000</v>
      </c>
      <c r="N45" s="19"/>
    </row>
    <row r="46" spans="1:16" x14ac:dyDescent="0.25">
      <c r="A46" s="53"/>
      <c r="B46" s="53"/>
      <c r="C46" s="53" t="s">
        <v>119</v>
      </c>
      <c r="D46" s="19"/>
      <c r="E46" s="19"/>
      <c r="F46" s="19"/>
      <c r="G46" s="19"/>
      <c r="H46" s="19"/>
      <c r="I46" s="19">
        <v>1000</v>
      </c>
      <c r="J46" s="19">
        <v>1000</v>
      </c>
      <c r="K46" s="19">
        <v>0</v>
      </c>
      <c r="L46" s="19">
        <v>1000</v>
      </c>
      <c r="M46" s="19">
        <v>1000</v>
      </c>
      <c r="N46" s="19"/>
    </row>
    <row r="47" spans="1:16" x14ac:dyDescent="0.25">
      <c r="A47" s="53"/>
      <c r="B47" s="53"/>
      <c r="C47" s="53" t="s">
        <v>65</v>
      </c>
      <c r="D47" s="19">
        <v>1000</v>
      </c>
      <c r="E47" s="19">
        <v>1388.04</v>
      </c>
      <c r="F47" s="19">
        <v>1000</v>
      </c>
      <c r="G47" s="19">
        <v>917.28</v>
      </c>
      <c r="H47" s="19">
        <v>1000</v>
      </c>
      <c r="I47" s="19">
        <v>1223.22</v>
      </c>
      <c r="J47" s="19">
        <v>1000</v>
      </c>
      <c r="K47" s="19">
        <v>565.5</v>
      </c>
      <c r="L47" s="19">
        <v>1200</v>
      </c>
      <c r="M47" s="19">
        <v>1200</v>
      </c>
      <c r="N47" s="19"/>
    </row>
    <row r="48" spans="1:16" x14ac:dyDescent="0.25">
      <c r="A48" s="78"/>
      <c r="B48" s="78"/>
      <c r="C48" s="78" t="s">
        <v>66</v>
      </c>
      <c r="D48" s="51">
        <v>11000</v>
      </c>
      <c r="E48" s="51">
        <v>9786.85</v>
      </c>
      <c r="F48" s="51">
        <v>11000</v>
      </c>
      <c r="G48" s="51">
        <v>11119.24</v>
      </c>
      <c r="H48" s="51">
        <v>12000</v>
      </c>
      <c r="I48" s="51">
        <v>11147.42</v>
      </c>
      <c r="J48" s="51">
        <v>12000</v>
      </c>
      <c r="K48" s="51">
        <v>11075.66</v>
      </c>
      <c r="L48" s="51">
        <v>11300</v>
      </c>
      <c r="M48" s="51">
        <v>10207</v>
      </c>
      <c r="N48" s="51" t="s">
        <v>147</v>
      </c>
      <c r="P48" s="19"/>
    </row>
    <row r="49" spans="1:17" x14ac:dyDescent="0.25">
      <c r="A49" s="53"/>
      <c r="B49" s="53"/>
      <c r="C49" s="53" t="s">
        <v>67</v>
      </c>
      <c r="D49" s="19">
        <v>700</v>
      </c>
      <c r="E49" s="19">
        <v>245</v>
      </c>
      <c r="F49" s="19">
        <v>700</v>
      </c>
      <c r="G49" s="19">
        <v>1669</v>
      </c>
      <c r="H49" s="19">
        <v>1000</v>
      </c>
      <c r="I49" s="19">
        <v>550</v>
      </c>
      <c r="J49" s="19">
        <v>1000</v>
      </c>
      <c r="K49" s="19">
        <v>395</v>
      </c>
      <c r="L49" s="19">
        <v>500</v>
      </c>
      <c r="M49" s="19">
        <v>500</v>
      </c>
      <c r="N49" s="19"/>
    </row>
    <row r="50" spans="1:17" x14ac:dyDescent="0.25">
      <c r="A50" s="53"/>
      <c r="B50" s="53"/>
      <c r="C50" s="53" t="s">
        <v>68</v>
      </c>
      <c r="D50" s="19"/>
      <c r="E50" s="19"/>
      <c r="F50" s="19"/>
      <c r="G50" s="19">
        <v>28</v>
      </c>
      <c r="H50" s="19">
        <v>0</v>
      </c>
      <c r="I50" s="19">
        <v>15</v>
      </c>
      <c r="J50" s="19">
        <v>15</v>
      </c>
      <c r="K50" s="19">
        <v>15</v>
      </c>
      <c r="L50" s="19">
        <v>15</v>
      </c>
      <c r="M50" s="19">
        <v>15</v>
      </c>
      <c r="N50" s="19"/>
    </row>
    <row r="51" spans="1:17" x14ac:dyDescent="0.25">
      <c r="A51" s="78"/>
      <c r="B51" s="78"/>
      <c r="C51" s="78" t="s">
        <v>69</v>
      </c>
      <c r="D51" s="51">
        <v>2500</v>
      </c>
      <c r="E51" s="51">
        <v>544.83000000000004</v>
      </c>
      <c r="F51" s="51">
        <v>2500</v>
      </c>
      <c r="G51" s="51">
        <v>0</v>
      </c>
      <c r="H51" s="51">
        <v>3000</v>
      </c>
      <c r="I51" s="51">
        <v>0</v>
      </c>
      <c r="J51" s="51">
        <v>3000</v>
      </c>
      <c r="K51" s="51">
        <v>0</v>
      </c>
      <c r="L51" s="51">
        <v>1500</v>
      </c>
      <c r="M51" s="51">
        <v>500</v>
      </c>
      <c r="N51" s="51" t="s">
        <v>148</v>
      </c>
    </row>
    <row r="52" spans="1:17" x14ac:dyDescent="0.25">
      <c r="A52" s="53"/>
      <c r="B52" s="53"/>
      <c r="C52" s="53" t="s">
        <v>70</v>
      </c>
      <c r="D52" s="19">
        <v>500</v>
      </c>
      <c r="E52" s="19">
        <v>0</v>
      </c>
      <c r="F52" s="19">
        <v>500</v>
      </c>
      <c r="G52" s="19">
        <v>0</v>
      </c>
      <c r="H52" s="19">
        <v>0</v>
      </c>
      <c r="I52" s="19">
        <v>0</v>
      </c>
      <c r="J52" s="19">
        <v>0</v>
      </c>
      <c r="K52" s="19">
        <v>0</v>
      </c>
      <c r="L52" s="19">
        <v>0</v>
      </c>
      <c r="M52" s="19">
        <v>0</v>
      </c>
      <c r="N52" s="19"/>
    </row>
    <row r="53" spans="1:17" x14ac:dyDescent="0.25">
      <c r="A53" s="53"/>
      <c r="B53" s="53"/>
      <c r="C53" s="53" t="s">
        <v>71</v>
      </c>
      <c r="D53" s="19">
        <v>1500</v>
      </c>
      <c r="E53" s="19">
        <v>1500</v>
      </c>
      <c r="F53" s="19">
        <v>1500</v>
      </c>
      <c r="G53" s="19">
        <v>1500</v>
      </c>
      <c r="H53" s="19">
        <v>1500</v>
      </c>
      <c r="I53" s="19">
        <v>1500</v>
      </c>
      <c r="J53" s="19">
        <v>1500</v>
      </c>
      <c r="K53" s="19">
        <v>1000</v>
      </c>
      <c r="L53" s="19">
        <v>1500</v>
      </c>
      <c r="M53" s="19">
        <v>1500</v>
      </c>
      <c r="N53" s="19"/>
    </row>
    <row r="54" spans="1:17" x14ac:dyDescent="0.25">
      <c r="A54" s="53"/>
      <c r="B54" s="53"/>
      <c r="C54" s="53" t="s">
        <v>72</v>
      </c>
      <c r="D54" s="19">
        <v>900</v>
      </c>
      <c r="E54" s="19">
        <v>570.5</v>
      </c>
      <c r="F54" s="19">
        <v>500</v>
      </c>
      <c r="G54" s="19">
        <v>245</v>
      </c>
      <c r="H54" s="19">
        <v>250</v>
      </c>
      <c r="I54" s="19">
        <v>262.5</v>
      </c>
      <c r="J54" s="19">
        <v>400</v>
      </c>
      <c r="K54" s="19">
        <v>0</v>
      </c>
      <c r="L54" s="19">
        <v>400</v>
      </c>
      <c r="M54" s="19">
        <v>400</v>
      </c>
      <c r="N54" s="19"/>
    </row>
    <row r="55" spans="1:17" x14ac:dyDescent="0.25">
      <c r="A55" s="53"/>
      <c r="B55" s="53"/>
      <c r="C55" s="53" t="s">
        <v>73</v>
      </c>
      <c r="D55" s="19">
        <v>120</v>
      </c>
      <c r="E55" s="19">
        <v>262</v>
      </c>
      <c r="F55" s="19">
        <v>120</v>
      </c>
      <c r="G55" s="19">
        <v>120</v>
      </c>
      <c r="H55" s="19">
        <v>120</v>
      </c>
      <c r="I55" s="19">
        <v>120</v>
      </c>
      <c r="J55" s="19">
        <v>120</v>
      </c>
      <c r="K55" s="19">
        <v>80</v>
      </c>
      <c r="L55" s="19">
        <v>120</v>
      </c>
      <c r="M55" s="19">
        <v>120</v>
      </c>
      <c r="N55" s="19"/>
    </row>
    <row r="56" spans="1:17" x14ac:dyDescent="0.25">
      <c r="A56" s="53"/>
      <c r="B56" s="53"/>
      <c r="C56" s="53" t="s">
        <v>74</v>
      </c>
      <c r="D56" s="19">
        <v>10</v>
      </c>
      <c r="E56" s="19">
        <v>0</v>
      </c>
      <c r="F56" s="19">
        <v>10</v>
      </c>
      <c r="G56" s="19">
        <v>0</v>
      </c>
      <c r="H56" s="19">
        <v>0</v>
      </c>
      <c r="I56" s="19">
        <v>0</v>
      </c>
      <c r="J56" s="19">
        <v>0</v>
      </c>
      <c r="K56" s="19">
        <v>0</v>
      </c>
      <c r="L56" s="19">
        <v>0</v>
      </c>
      <c r="M56" s="19">
        <v>0</v>
      </c>
      <c r="N56" s="19"/>
    </row>
    <row r="57" spans="1:17" x14ac:dyDescent="0.25">
      <c r="A57" s="53"/>
      <c r="B57" s="53"/>
      <c r="C57" s="53" t="s">
        <v>75</v>
      </c>
      <c r="D57" s="19">
        <v>37080</v>
      </c>
      <c r="E57" s="19">
        <v>37038.21</v>
      </c>
      <c r="F57" s="19">
        <v>37822</v>
      </c>
      <c r="G57" s="19">
        <v>37793.65</v>
      </c>
      <c r="H57" s="19">
        <v>38957</v>
      </c>
      <c r="I57" s="19">
        <v>40324.26</v>
      </c>
      <c r="J57" s="19">
        <v>40125</v>
      </c>
      <c r="K57" s="19">
        <v>27778.86</v>
      </c>
      <c r="L57" s="56">
        <v>41329</v>
      </c>
      <c r="M57" s="56">
        <v>41329</v>
      </c>
      <c r="N57" s="19"/>
    </row>
    <row r="58" spans="1:17" x14ac:dyDescent="0.25">
      <c r="A58" s="53"/>
      <c r="B58" s="53"/>
      <c r="C58" s="53" t="s">
        <v>115</v>
      </c>
      <c r="D58" s="19"/>
      <c r="E58" s="19"/>
      <c r="F58" s="19"/>
      <c r="G58" s="19">
        <v>663.98</v>
      </c>
      <c r="H58" s="19"/>
      <c r="I58" s="19">
        <v>15</v>
      </c>
      <c r="J58" s="19">
        <v>0</v>
      </c>
      <c r="K58" s="19">
        <v>0</v>
      </c>
      <c r="L58" s="19">
        <v>0</v>
      </c>
      <c r="M58" s="19">
        <v>0</v>
      </c>
      <c r="N58" s="19"/>
    </row>
    <row r="59" spans="1:17" x14ac:dyDescent="0.25">
      <c r="A59" s="78"/>
      <c r="B59" s="78"/>
      <c r="C59" s="78" t="s">
        <v>76</v>
      </c>
      <c r="D59" s="51">
        <v>2900</v>
      </c>
      <c r="E59" s="51">
        <v>2633.4</v>
      </c>
      <c r="F59" s="51">
        <v>2900</v>
      </c>
      <c r="G59" s="51">
        <v>3285.07</v>
      </c>
      <c r="H59" s="51">
        <v>3200</v>
      </c>
      <c r="I59" s="51">
        <v>2671.8</v>
      </c>
      <c r="J59" s="51">
        <v>3200</v>
      </c>
      <c r="K59" s="51">
        <v>1676.99</v>
      </c>
      <c r="L59" s="51">
        <v>2750</v>
      </c>
      <c r="M59" s="51">
        <v>2550</v>
      </c>
      <c r="N59" s="51" t="s">
        <v>163</v>
      </c>
    </row>
    <row r="60" spans="1:17" x14ac:dyDescent="0.25">
      <c r="A60" s="53"/>
      <c r="B60" s="53"/>
      <c r="C60" s="53" t="s">
        <v>77</v>
      </c>
      <c r="D60" s="19">
        <v>100</v>
      </c>
      <c r="E60" s="19">
        <v>70</v>
      </c>
      <c r="F60" s="19">
        <v>100</v>
      </c>
      <c r="G60" s="19">
        <v>37</v>
      </c>
      <c r="H60" s="19">
        <v>100</v>
      </c>
      <c r="I60" s="19">
        <v>218.72</v>
      </c>
      <c r="J60" s="19">
        <v>100</v>
      </c>
      <c r="K60" s="19">
        <v>50</v>
      </c>
      <c r="L60" s="19">
        <v>100</v>
      </c>
      <c r="M60" s="19">
        <v>100</v>
      </c>
      <c r="N60" s="19"/>
    </row>
    <row r="61" spans="1:17" x14ac:dyDescent="0.25">
      <c r="A61" s="53"/>
      <c r="B61" s="53"/>
      <c r="C61" s="53" t="s">
        <v>78</v>
      </c>
      <c r="D61" s="19">
        <v>100</v>
      </c>
      <c r="E61" s="19">
        <v>0</v>
      </c>
      <c r="F61" s="19">
        <v>100</v>
      </c>
      <c r="G61" s="19">
        <v>0</v>
      </c>
      <c r="H61" s="19">
        <v>100</v>
      </c>
      <c r="I61" s="19">
        <v>206.28</v>
      </c>
      <c r="J61" s="19">
        <v>300</v>
      </c>
      <c r="K61" s="19">
        <v>167.53</v>
      </c>
      <c r="L61" s="19">
        <v>400</v>
      </c>
      <c r="M61" s="19">
        <v>400</v>
      </c>
      <c r="N61" s="19"/>
    </row>
    <row r="62" spans="1:17" x14ac:dyDescent="0.25">
      <c r="A62" s="53"/>
      <c r="B62" s="53"/>
      <c r="C62" s="53" t="s">
        <v>79</v>
      </c>
      <c r="D62" s="19">
        <v>400</v>
      </c>
      <c r="E62" s="19">
        <v>324</v>
      </c>
      <c r="F62" s="19">
        <v>400</v>
      </c>
      <c r="G62" s="19">
        <v>351</v>
      </c>
      <c r="H62" s="19">
        <v>400</v>
      </c>
      <c r="I62" s="19">
        <v>347</v>
      </c>
      <c r="J62" s="19">
        <v>400</v>
      </c>
      <c r="K62" s="19">
        <v>288</v>
      </c>
      <c r="L62" s="19">
        <v>400</v>
      </c>
      <c r="M62" s="19">
        <v>400</v>
      </c>
      <c r="N62" s="19"/>
    </row>
    <row r="63" spans="1:17" x14ac:dyDescent="0.25">
      <c r="A63" s="53"/>
      <c r="B63" s="53"/>
      <c r="C63" s="53" t="s">
        <v>80</v>
      </c>
      <c r="D63" s="19">
        <v>4000</v>
      </c>
      <c r="E63" s="19">
        <v>3999.96</v>
      </c>
      <c r="F63" s="19">
        <v>4000</v>
      </c>
      <c r="G63" s="19">
        <v>3999.96</v>
      </c>
      <c r="H63" s="19">
        <v>4000</v>
      </c>
      <c r="I63" s="19">
        <v>3999.96</v>
      </c>
      <c r="J63" s="19">
        <v>4000</v>
      </c>
      <c r="K63" s="19">
        <v>2666.64</v>
      </c>
      <c r="L63" s="19">
        <v>4000</v>
      </c>
      <c r="M63" s="19">
        <v>4000</v>
      </c>
      <c r="N63" s="19"/>
      <c r="Q63" s="32"/>
    </row>
    <row r="64" spans="1:17" x14ac:dyDescent="0.25">
      <c r="A64" s="53"/>
      <c r="B64" s="53"/>
      <c r="C64" s="53" t="s">
        <v>81</v>
      </c>
      <c r="D64" s="19">
        <v>1000</v>
      </c>
      <c r="E64" s="19">
        <v>507</v>
      </c>
      <c r="F64" s="19">
        <v>700</v>
      </c>
      <c r="G64" s="19">
        <v>0</v>
      </c>
      <c r="H64" s="19">
        <v>500</v>
      </c>
      <c r="I64" s="19">
        <v>0</v>
      </c>
      <c r="J64" s="19">
        <v>500</v>
      </c>
      <c r="K64" s="19">
        <v>0</v>
      </c>
      <c r="L64" s="19">
        <v>300</v>
      </c>
      <c r="M64" s="19">
        <v>300</v>
      </c>
      <c r="N64" s="19"/>
    </row>
    <row r="65" spans="1:17" x14ac:dyDescent="0.25">
      <c r="A65" s="53"/>
      <c r="B65" s="53"/>
      <c r="C65" s="53" t="s">
        <v>82</v>
      </c>
      <c r="D65" s="19">
        <v>175</v>
      </c>
      <c r="E65" s="19">
        <v>160.19999999999999</v>
      </c>
      <c r="F65" s="19">
        <v>175</v>
      </c>
      <c r="G65" s="19">
        <v>180.05</v>
      </c>
      <c r="H65" s="19">
        <v>200</v>
      </c>
      <c r="I65" s="19">
        <v>180.28</v>
      </c>
      <c r="J65" s="19">
        <v>200</v>
      </c>
      <c r="K65" s="19">
        <v>132.99</v>
      </c>
      <c r="L65" s="19">
        <v>200</v>
      </c>
      <c r="M65" s="19">
        <v>200</v>
      </c>
      <c r="N65" s="19"/>
      <c r="Q65" s="50"/>
    </row>
    <row r="66" spans="1:17" x14ac:dyDescent="0.25">
      <c r="A66" s="53"/>
      <c r="B66" s="53"/>
      <c r="C66" s="53" t="s">
        <v>83</v>
      </c>
      <c r="D66" s="19">
        <v>12645</v>
      </c>
      <c r="E66" s="19">
        <v>11340.73</v>
      </c>
      <c r="F66" s="19">
        <v>12645</v>
      </c>
      <c r="G66" s="19">
        <v>8590</v>
      </c>
      <c r="H66" s="19">
        <v>10600</v>
      </c>
      <c r="I66" s="19">
        <v>9968</v>
      </c>
      <c r="J66" s="19">
        <v>8635</v>
      </c>
      <c r="K66" s="19">
        <v>0</v>
      </c>
      <c r="L66" s="19">
        <v>8950</v>
      </c>
      <c r="M66" s="19">
        <v>8950</v>
      </c>
      <c r="N66" s="19"/>
    </row>
    <row r="67" spans="1:17" x14ac:dyDescent="0.25">
      <c r="A67" s="53"/>
      <c r="B67" s="53"/>
      <c r="C67" s="53" t="s">
        <v>84</v>
      </c>
      <c r="D67" s="19">
        <v>5400</v>
      </c>
      <c r="E67" s="19">
        <v>5488.12</v>
      </c>
      <c r="F67" s="19">
        <v>5400</v>
      </c>
      <c r="G67" s="19">
        <v>5360.45</v>
      </c>
      <c r="H67" s="19">
        <f>ROUND(SUM(H23+H25+H29+H32+H34+H40+H53+H55+H57+H63)*0.0765,0)</f>
        <v>5116</v>
      </c>
      <c r="I67" s="19">
        <v>5502.45</v>
      </c>
      <c r="J67" s="19">
        <f>ROUND(SUM(J23+J25+J29+J32+J34+J40+J53+J55+J57+J63)*0.0765,0)</f>
        <v>5205</v>
      </c>
      <c r="K67" s="19">
        <v>3880.53</v>
      </c>
      <c r="L67" s="19">
        <f>ROUND(SUM(L23+L25+L29+L32+L34+L40+L53+L55+L57+L63)*0.0765,0)</f>
        <v>5347</v>
      </c>
      <c r="M67" s="19">
        <f>ROUND(SUM(M23+M25+M29+M32+M34+M40+M53+M55+M57+M63)*0.0765,0)</f>
        <v>5328</v>
      </c>
      <c r="N67" s="19" t="e">
        <f>ROUND(SUM(N23+N25+N29+N32+N34+N40+N53+N55+N57+N63)*0.0765,0)</f>
        <v>#VALUE!</v>
      </c>
    </row>
    <row r="68" spans="1:17" x14ac:dyDescent="0.25">
      <c r="A68" s="53"/>
      <c r="B68" s="53"/>
      <c r="C68" s="53" t="s">
        <v>85</v>
      </c>
      <c r="D68" s="19">
        <v>7210</v>
      </c>
      <c r="E68" s="19">
        <v>7132.34</v>
      </c>
      <c r="F68" s="19">
        <v>7210</v>
      </c>
      <c r="G68" s="19">
        <v>7245.18</v>
      </c>
      <c r="H68" s="19">
        <v>7500</v>
      </c>
      <c r="I68" s="19">
        <v>6685.77</v>
      </c>
      <c r="J68" s="19">
        <v>8200</v>
      </c>
      <c r="K68" s="19">
        <v>6826.7</v>
      </c>
      <c r="L68" s="19">
        <v>9720</v>
      </c>
      <c r="M68" s="19">
        <v>9720</v>
      </c>
      <c r="N68" s="19"/>
    </row>
    <row r="69" spans="1:17" x14ac:dyDescent="0.25">
      <c r="A69" s="53"/>
      <c r="B69" s="53"/>
      <c r="C69" s="53" t="s">
        <v>86</v>
      </c>
      <c r="D69" s="19"/>
      <c r="E69" s="19">
        <v>0</v>
      </c>
      <c r="F69" s="19"/>
      <c r="G69" s="19">
        <v>748.62</v>
      </c>
      <c r="H69" s="19"/>
      <c r="I69" s="19">
        <v>0</v>
      </c>
      <c r="J69" s="19">
        <v>0</v>
      </c>
      <c r="K69" s="19">
        <v>0</v>
      </c>
      <c r="L69" s="19">
        <v>0</v>
      </c>
      <c r="M69" s="19">
        <v>0</v>
      </c>
      <c r="N69" s="19"/>
    </row>
    <row r="70" spans="1:17" ht="15.75" thickBot="1" x14ac:dyDescent="0.3">
      <c r="A70" s="53"/>
      <c r="B70" s="53"/>
      <c r="C70" s="53" t="s">
        <v>87</v>
      </c>
      <c r="D70" s="21"/>
      <c r="E70" s="21">
        <v>50000</v>
      </c>
      <c r="F70" s="21"/>
      <c r="G70" s="21">
        <v>25000</v>
      </c>
      <c r="H70" s="21"/>
      <c r="I70" s="21">
        <v>0</v>
      </c>
      <c r="J70" s="21">
        <v>0</v>
      </c>
      <c r="K70" s="21">
        <v>0</v>
      </c>
      <c r="L70" s="21">
        <v>0</v>
      </c>
      <c r="M70" s="21">
        <v>0</v>
      </c>
      <c r="N70" s="21"/>
    </row>
    <row r="71" spans="1:17" ht="15.75" thickBot="1" x14ac:dyDescent="0.3">
      <c r="A71" s="53"/>
      <c r="B71" s="53"/>
      <c r="C71" s="53"/>
      <c r="D71" s="22">
        <f t="shared" ref="D71:M71" si="3">ROUND(SUM(D22:D70),5)</f>
        <v>137470</v>
      </c>
      <c r="E71" s="22">
        <f t="shared" si="3"/>
        <v>190112.22</v>
      </c>
      <c r="F71" s="22">
        <f t="shared" si="3"/>
        <v>146202</v>
      </c>
      <c r="G71" s="22">
        <f t="shared" si="3"/>
        <v>175392.19</v>
      </c>
      <c r="H71" s="22">
        <f t="shared" si="3"/>
        <v>159233</v>
      </c>
      <c r="I71" s="22">
        <f t="shared" si="3"/>
        <v>152367.67999999999</v>
      </c>
      <c r="J71" s="22">
        <f t="shared" si="3"/>
        <v>159290</v>
      </c>
      <c r="K71" s="22">
        <f t="shared" si="3"/>
        <v>99321</v>
      </c>
      <c r="L71" s="22">
        <f t="shared" si="3"/>
        <v>166066</v>
      </c>
      <c r="M71" s="22">
        <f t="shared" si="3"/>
        <v>163264</v>
      </c>
      <c r="N71" s="100" t="s">
        <v>155</v>
      </c>
      <c r="O71" s="99"/>
    </row>
    <row r="72" spans="1:17" x14ac:dyDescent="0.25">
      <c r="A72" s="76"/>
      <c r="B72" s="53"/>
      <c r="C72" s="53"/>
      <c r="D72" s="22">
        <f t="shared" ref="D72:N72" si="4">ROUND(D3+D21-D71,5)</f>
        <v>-3000</v>
      </c>
      <c r="E72" s="22">
        <f t="shared" si="4"/>
        <v>-33474</v>
      </c>
      <c r="F72" s="22">
        <f t="shared" si="4"/>
        <v>-3000</v>
      </c>
      <c r="G72" s="22">
        <f t="shared" si="4"/>
        <v>-17006.82</v>
      </c>
      <c r="H72" s="22">
        <f t="shared" si="4"/>
        <v>-20000</v>
      </c>
      <c r="I72" s="22">
        <f t="shared" si="4"/>
        <v>-7559.64</v>
      </c>
      <c r="J72" s="22">
        <f t="shared" si="4"/>
        <v>-15000</v>
      </c>
      <c r="K72" s="22">
        <f t="shared" si="4"/>
        <v>16880.25</v>
      </c>
      <c r="L72" s="22">
        <f t="shared" si="4"/>
        <v>-15802</v>
      </c>
      <c r="M72" s="22">
        <f t="shared" si="4"/>
        <v>-13000</v>
      </c>
      <c r="N72" s="22" t="e">
        <f t="shared" si="4"/>
        <v>#VALUE!</v>
      </c>
    </row>
  </sheetData>
  <printOptions horizontalCentered="1" gridLines="1"/>
  <pageMargins left="0.7" right="0.7" top="1" bottom="0.75" header="0.3" footer="0.3"/>
  <pageSetup scale="75" fitToHeight="0" orientation="landscape" cellComments="atEnd" r:id="rId1"/>
  <headerFooter>
    <oddHeader xml:space="preserve">&amp;C&amp;"-,Bold"&amp;14Town of Roseboom
General Fund &amp;"-,Regular"&amp;11
</oddHeader>
    <oddFooter>&amp;L&amp;D&amp;R&amp;P of &amp;N</oddFooter>
  </headerFooter>
  <rowBreaks count="1" manualBreakCount="1">
    <brk id="21" max="16383" man="1"/>
  </row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37"/>
  <sheetViews>
    <sheetView tabSelected="1" workbookViewId="0">
      <pane ySplit="2" topLeftCell="A19" activePane="bottomLeft" state="frozen"/>
      <selection pane="bottomLeft" activeCell="G25" sqref="G25"/>
    </sheetView>
  </sheetViews>
  <sheetFormatPr defaultRowHeight="15" x14ac:dyDescent="0.25"/>
  <cols>
    <col min="1" max="1" width="3.28515625" customWidth="1"/>
    <col min="2" max="2" width="32.7109375" style="59" customWidth="1"/>
    <col min="3" max="6" width="9.7109375" customWidth="1"/>
    <col min="7" max="12" width="9.7109375" style="59" customWidth="1"/>
    <col min="13" max="13" width="27" style="59" customWidth="1"/>
    <col min="15" max="17" width="10.140625" bestFit="1" customWidth="1"/>
  </cols>
  <sheetData>
    <row r="1" spans="1:13" ht="28.9" customHeight="1" thickBot="1" x14ac:dyDescent="0.3">
      <c r="A1" s="14"/>
      <c r="B1" s="57"/>
      <c r="C1" s="15" t="s">
        <v>20</v>
      </c>
      <c r="D1" s="15" t="s">
        <v>21</v>
      </c>
      <c r="E1" s="15" t="s">
        <v>20</v>
      </c>
      <c r="F1" s="15" t="s">
        <v>21</v>
      </c>
      <c r="G1" s="67" t="s">
        <v>20</v>
      </c>
      <c r="H1" s="67" t="s">
        <v>21</v>
      </c>
      <c r="I1" s="67" t="s">
        <v>20</v>
      </c>
      <c r="J1" s="67" t="s">
        <v>21</v>
      </c>
      <c r="K1" s="67" t="s">
        <v>22</v>
      </c>
      <c r="L1" s="67" t="s">
        <v>23</v>
      </c>
      <c r="M1" s="67" t="s">
        <v>20</v>
      </c>
    </row>
    <row r="2" spans="1:13" ht="16.5" thickTop="1" thickBot="1" x14ac:dyDescent="0.3">
      <c r="A2" s="16"/>
      <c r="B2" s="58"/>
      <c r="C2" s="17" t="s">
        <v>24</v>
      </c>
      <c r="D2" s="17" t="s">
        <v>129</v>
      </c>
      <c r="E2" s="17" t="s">
        <v>25</v>
      </c>
      <c r="F2" s="17" t="s">
        <v>130</v>
      </c>
      <c r="G2" s="68" t="s">
        <v>26</v>
      </c>
      <c r="H2" s="68" t="s">
        <v>128</v>
      </c>
      <c r="I2" s="68" t="s">
        <v>116</v>
      </c>
      <c r="J2" s="68" t="s">
        <v>134</v>
      </c>
      <c r="K2" s="68" t="s">
        <v>127</v>
      </c>
      <c r="L2" s="68" t="s">
        <v>127</v>
      </c>
      <c r="M2" s="68" t="s">
        <v>127</v>
      </c>
    </row>
    <row r="3" spans="1:13" ht="15.75" thickTop="1" x14ac:dyDescent="0.25">
      <c r="A3" s="18" t="s">
        <v>27</v>
      </c>
      <c r="B3" s="53"/>
      <c r="C3" s="19"/>
      <c r="D3" s="19"/>
      <c r="E3" s="19"/>
      <c r="F3" s="19"/>
      <c r="G3" s="52"/>
      <c r="H3" s="52"/>
      <c r="I3" s="52"/>
      <c r="J3" s="52"/>
      <c r="K3" s="52"/>
      <c r="L3" s="52"/>
      <c r="M3" s="52"/>
    </row>
    <row r="4" spans="1:13" x14ac:dyDescent="0.25">
      <c r="A4" s="18"/>
      <c r="B4" s="53" t="s">
        <v>90</v>
      </c>
      <c r="C4" s="19">
        <v>155630</v>
      </c>
      <c r="D4" s="19">
        <v>155630</v>
      </c>
      <c r="E4" s="19">
        <v>164264</v>
      </c>
      <c r="F4" s="19">
        <v>164264</v>
      </c>
      <c r="G4" s="52">
        <v>202195</v>
      </c>
      <c r="H4" s="52">
        <v>202195</v>
      </c>
      <c r="I4" s="52">
        <v>216190</v>
      </c>
      <c r="J4" s="52">
        <v>216190</v>
      </c>
      <c r="K4" s="52">
        <f>summary!$G$10</f>
        <v>215625</v>
      </c>
      <c r="L4" s="52">
        <f>summary!$G$10</f>
        <v>215625</v>
      </c>
      <c r="M4" s="52">
        <f>summary!$G$10</f>
        <v>215625</v>
      </c>
    </row>
    <row r="5" spans="1:13" x14ac:dyDescent="0.25">
      <c r="A5" s="18" t="s">
        <v>135</v>
      </c>
      <c r="B5" s="53" t="s">
        <v>91</v>
      </c>
      <c r="C5" s="19">
        <v>87820</v>
      </c>
      <c r="D5" s="19">
        <v>106033.8</v>
      </c>
      <c r="E5" s="19">
        <v>102000</v>
      </c>
      <c r="F5" s="19">
        <v>108926.12</v>
      </c>
      <c r="G5" s="52">
        <v>107000</v>
      </c>
      <c r="H5" s="52">
        <v>112496.06</v>
      </c>
      <c r="I5" s="52">
        <v>112000</v>
      </c>
      <c r="J5" s="52">
        <v>89116.55</v>
      </c>
      <c r="K5" s="52">
        <v>100000</v>
      </c>
      <c r="L5" s="52">
        <v>100000</v>
      </c>
      <c r="M5" s="52"/>
    </row>
    <row r="6" spans="1:13" x14ac:dyDescent="0.25">
      <c r="A6" s="18"/>
      <c r="B6" s="53" t="s">
        <v>92</v>
      </c>
      <c r="C6" s="19">
        <v>150</v>
      </c>
      <c r="D6" s="19">
        <v>75.260000000000005</v>
      </c>
      <c r="E6" s="19">
        <v>150</v>
      </c>
      <c r="F6" s="19">
        <v>47.15</v>
      </c>
      <c r="G6" s="52">
        <v>40</v>
      </c>
      <c r="H6" s="52">
        <v>60.91</v>
      </c>
      <c r="I6" s="52">
        <v>30</v>
      </c>
      <c r="J6" s="52">
        <v>33.32</v>
      </c>
      <c r="K6" s="52">
        <v>35</v>
      </c>
      <c r="L6" s="52">
        <v>35</v>
      </c>
      <c r="M6" s="52"/>
    </row>
    <row r="7" spans="1:13" x14ac:dyDescent="0.25">
      <c r="A7" s="18" t="s">
        <v>135</v>
      </c>
      <c r="B7" s="53" t="s">
        <v>93</v>
      </c>
      <c r="C7" s="19"/>
      <c r="D7" s="19">
        <v>1648.77</v>
      </c>
      <c r="E7" s="19"/>
      <c r="F7" s="19">
        <v>0</v>
      </c>
      <c r="G7" s="52"/>
      <c r="H7" s="52">
        <v>0</v>
      </c>
      <c r="I7" s="52">
        <v>0</v>
      </c>
      <c r="J7" s="52">
        <v>0</v>
      </c>
      <c r="K7" s="52">
        <v>200</v>
      </c>
      <c r="L7" s="52">
        <v>200</v>
      </c>
      <c r="M7" s="52"/>
    </row>
    <row r="8" spans="1:13" x14ac:dyDescent="0.25">
      <c r="A8" s="18"/>
      <c r="B8" s="53" t="s">
        <v>120</v>
      </c>
      <c r="C8" s="19"/>
      <c r="D8" s="19"/>
      <c r="E8" s="19"/>
      <c r="F8" s="19">
        <v>1000</v>
      </c>
      <c r="G8" s="52"/>
      <c r="H8" s="52">
        <v>0</v>
      </c>
      <c r="I8" s="52">
        <v>0</v>
      </c>
      <c r="J8" s="52">
        <v>0</v>
      </c>
      <c r="K8" s="52">
        <v>0</v>
      </c>
      <c r="L8" s="52">
        <v>0</v>
      </c>
      <c r="M8" s="52"/>
    </row>
    <row r="9" spans="1:13" x14ac:dyDescent="0.25">
      <c r="A9" s="18"/>
      <c r="B9" s="53" t="s">
        <v>94</v>
      </c>
      <c r="C9" s="19"/>
      <c r="D9" s="19">
        <v>1779.7</v>
      </c>
      <c r="E9" s="19"/>
      <c r="F9" s="19">
        <v>0</v>
      </c>
      <c r="G9" s="52"/>
      <c r="H9" s="52">
        <v>0</v>
      </c>
      <c r="I9" s="52">
        <v>0</v>
      </c>
      <c r="J9" s="52">
        <v>552.15</v>
      </c>
      <c r="K9" s="52">
        <v>0</v>
      </c>
      <c r="L9" s="52">
        <v>0</v>
      </c>
      <c r="M9" s="52"/>
    </row>
    <row r="10" spans="1:13" x14ac:dyDescent="0.25">
      <c r="A10" s="18"/>
      <c r="B10" s="53" t="s">
        <v>145</v>
      </c>
      <c r="C10" s="19"/>
      <c r="D10" s="19"/>
      <c r="E10" s="19"/>
      <c r="F10" s="19"/>
      <c r="G10" s="52"/>
      <c r="H10" s="52"/>
      <c r="I10" s="52"/>
      <c r="J10" s="52"/>
      <c r="K10" s="52">
        <v>650</v>
      </c>
      <c r="L10" s="52">
        <v>650</v>
      </c>
      <c r="M10" s="52"/>
    </row>
    <row r="11" spans="1:13" x14ac:dyDescent="0.25">
      <c r="A11" s="18" t="s">
        <v>135</v>
      </c>
      <c r="B11" s="53" t="s">
        <v>95</v>
      </c>
      <c r="C11" s="21">
        <v>65000</v>
      </c>
      <c r="D11" s="21">
        <v>150956.4</v>
      </c>
      <c r="E11" s="21">
        <v>84900</v>
      </c>
      <c r="F11" s="21">
        <v>95059.04</v>
      </c>
      <c r="G11" s="26">
        <v>84900</v>
      </c>
      <c r="H11" s="26">
        <v>97591.32</v>
      </c>
      <c r="I11" s="26">
        <v>84900</v>
      </c>
      <c r="J11" s="26">
        <v>0</v>
      </c>
      <c r="K11" s="26">
        <v>134318</v>
      </c>
      <c r="L11" s="26">
        <v>134318</v>
      </c>
      <c r="M11" s="26"/>
    </row>
    <row r="12" spans="1:13" x14ac:dyDescent="0.25">
      <c r="A12" s="18"/>
      <c r="B12" s="53" t="s">
        <v>121</v>
      </c>
      <c r="C12" s="21"/>
      <c r="D12" s="21"/>
      <c r="E12" s="21"/>
      <c r="F12" s="21">
        <v>202300.88</v>
      </c>
      <c r="G12" s="26"/>
      <c r="H12" s="26">
        <v>80056.41</v>
      </c>
      <c r="I12" s="26">
        <v>0</v>
      </c>
      <c r="J12" s="26">
        <v>0</v>
      </c>
      <c r="K12" s="26">
        <v>0</v>
      </c>
      <c r="L12" s="26">
        <v>0</v>
      </c>
      <c r="M12" s="26"/>
    </row>
    <row r="13" spans="1:13" x14ac:dyDescent="0.25">
      <c r="A13" s="18"/>
      <c r="B13" s="61" t="s">
        <v>96</v>
      </c>
      <c r="C13" s="25"/>
      <c r="D13" s="25"/>
      <c r="E13" s="25"/>
      <c r="F13" s="26">
        <v>7332.99</v>
      </c>
      <c r="G13" s="72"/>
      <c r="H13" s="26">
        <v>32775.300000000003</v>
      </c>
      <c r="I13" s="26">
        <v>0</v>
      </c>
      <c r="J13" s="26">
        <v>0</v>
      </c>
      <c r="K13" s="26">
        <v>0</v>
      </c>
      <c r="L13" s="26">
        <v>0</v>
      </c>
      <c r="M13" s="26"/>
    </row>
    <row r="14" spans="1:13" x14ac:dyDescent="0.25">
      <c r="A14" s="18"/>
      <c r="B14" s="53" t="s">
        <v>97</v>
      </c>
      <c r="C14" s="21"/>
      <c r="D14" s="21"/>
      <c r="E14" s="21"/>
      <c r="F14" s="21">
        <v>25000</v>
      </c>
      <c r="G14" s="72"/>
      <c r="H14" s="26">
        <v>51093.57</v>
      </c>
      <c r="I14" s="26">
        <v>0</v>
      </c>
      <c r="J14" s="26">
        <v>0</v>
      </c>
      <c r="K14" s="26">
        <v>15000</v>
      </c>
      <c r="L14" s="26">
        <v>15000</v>
      </c>
      <c r="M14" s="26"/>
    </row>
    <row r="15" spans="1:13" ht="15.75" thickBot="1" x14ac:dyDescent="0.3">
      <c r="A15" s="18"/>
      <c r="B15" s="53" t="s">
        <v>122</v>
      </c>
      <c r="C15" s="46"/>
      <c r="D15" s="46"/>
      <c r="E15" s="46"/>
      <c r="F15" s="47">
        <v>250000</v>
      </c>
      <c r="G15" s="69"/>
      <c r="H15" s="73">
        <v>0</v>
      </c>
      <c r="I15" s="69">
        <v>0</v>
      </c>
      <c r="J15" s="73">
        <v>0</v>
      </c>
      <c r="K15" s="69">
        <v>0</v>
      </c>
      <c r="L15" s="69">
        <v>0</v>
      </c>
      <c r="M15" s="69"/>
    </row>
    <row r="16" spans="1:13" x14ac:dyDescent="0.25">
      <c r="A16" s="18" t="s">
        <v>43</v>
      </c>
      <c r="B16" s="53"/>
      <c r="C16" s="19">
        <f>ROUND(SUM(C3:C15),5)</f>
        <v>308600</v>
      </c>
      <c r="D16" s="19">
        <f>ROUND(SUM(D3:D15),5)</f>
        <v>416123.93</v>
      </c>
      <c r="E16" s="19">
        <f>ROUND(SUM(E3:E15),5)</f>
        <v>351314</v>
      </c>
      <c r="F16" s="19">
        <f>ROUND(SUM(F3:F15),5)</f>
        <v>853930.18</v>
      </c>
      <c r="G16" s="52">
        <f t="shared" ref="G16" si="0">ROUND(SUM(G3:G15),5)</f>
        <v>394135</v>
      </c>
      <c r="H16" s="52">
        <f>ROUND(SUM(H3:H15),5)</f>
        <v>576268.56999999995</v>
      </c>
      <c r="I16" s="52">
        <f t="shared" ref="I16" si="1">ROUND(SUM(I3:I15),5)</f>
        <v>413120</v>
      </c>
      <c r="J16" s="52">
        <f>ROUND(SUM(J3:J15),5)</f>
        <v>305892.02</v>
      </c>
      <c r="K16" s="52">
        <f t="shared" ref="K16:M16" si="2">ROUND(SUM(K3:K15),5)</f>
        <v>465828</v>
      </c>
      <c r="L16" s="52">
        <f t="shared" si="2"/>
        <v>465828</v>
      </c>
      <c r="M16" s="52">
        <f t="shared" si="2"/>
        <v>215625</v>
      </c>
    </row>
    <row r="17" spans="1:19" x14ac:dyDescent="0.25">
      <c r="A17" s="18" t="s">
        <v>44</v>
      </c>
      <c r="B17" s="53"/>
      <c r="C17" s="19"/>
      <c r="D17" s="19"/>
      <c r="E17" s="19"/>
      <c r="F17" s="19"/>
      <c r="G17" s="52"/>
      <c r="H17" s="52"/>
      <c r="I17" s="52"/>
      <c r="J17" s="52"/>
      <c r="K17" s="52"/>
      <c r="L17" s="52"/>
      <c r="M17" s="52"/>
      <c r="O17" s="50"/>
    </row>
    <row r="18" spans="1:19" x14ac:dyDescent="0.25">
      <c r="A18" s="18" t="s">
        <v>135</v>
      </c>
      <c r="B18" s="53" t="s">
        <v>98</v>
      </c>
      <c r="C18" s="19">
        <v>43108</v>
      </c>
      <c r="D18" s="19">
        <v>43575.64</v>
      </c>
      <c r="E18" s="19">
        <v>43108</v>
      </c>
      <c r="F18" s="19">
        <v>48411.31</v>
      </c>
      <c r="G18" s="52">
        <v>48500</v>
      </c>
      <c r="H18" s="52">
        <v>47952.52</v>
      </c>
      <c r="I18" s="52">
        <v>50000</v>
      </c>
      <c r="J18" s="52">
        <v>39424.93</v>
      </c>
      <c r="K18" s="52">
        <v>51443</v>
      </c>
      <c r="L18" s="51">
        <v>50893</v>
      </c>
      <c r="M18" s="51" t="s">
        <v>164</v>
      </c>
    </row>
    <row r="19" spans="1:19" x14ac:dyDescent="0.25">
      <c r="A19" s="78" t="s">
        <v>135</v>
      </c>
      <c r="B19" s="78" t="s">
        <v>99</v>
      </c>
      <c r="C19" s="51">
        <v>68190</v>
      </c>
      <c r="D19" s="51">
        <v>88449.7</v>
      </c>
      <c r="E19" s="51">
        <v>73590</v>
      </c>
      <c r="F19" s="51">
        <v>45235.9</v>
      </c>
      <c r="G19" s="51">
        <v>70000</v>
      </c>
      <c r="H19" s="51">
        <v>47462.52</v>
      </c>
      <c r="I19" s="51">
        <v>70000</v>
      </c>
      <c r="J19" s="51">
        <v>30204.76</v>
      </c>
      <c r="K19" s="51">
        <v>65000</v>
      </c>
      <c r="L19" s="51">
        <v>64000</v>
      </c>
      <c r="M19" s="51" t="s">
        <v>148</v>
      </c>
    </row>
    <row r="20" spans="1:19" x14ac:dyDescent="0.25">
      <c r="A20" s="18"/>
      <c r="B20" s="53" t="s">
        <v>146</v>
      </c>
      <c r="C20" s="19"/>
      <c r="D20" s="19"/>
      <c r="E20" s="19"/>
      <c r="F20" s="19"/>
      <c r="G20" s="52"/>
      <c r="H20" s="52"/>
      <c r="I20" s="52"/>
      <c r="J20" s="52"/>
      <c r="K20" s="52">
        <v>650</v>
      </c>
      <c r="L20" s="52">
        <v>650</v>
      </c>
      <c r="M20" s="52"/>
    </row>
    <row r="21" spans="1:19" x14ac:dyDescent="0.25">
      <c r="A21" s="18"/>
      <c r="B21" s="53" t="s">
        <v>100</v>
      </c>
      <c r="C21" s="19"/>
      <c r="D21" s="19">
        <v>66411.960000000006</v>
      </c>
      <c r="E21" s="19"/>
      <c r="F21" s="19">
        <v>291967.58</v>
      </c>
      <c r="G21" s="52">
        <v>0</v>
      </c>
      <c r="H21" s="52">
        <v>10421.280000000001</v>
      </c>
      <c r="I21" s="52">
        <v>0</v>
      </c>
      <c r="J21" s="52">
        <v>0</v>
      </c>
      <c r="K21" s="52">
        <v>0</v>
      </c>
      <c r="L21" s="52">
        <v>0</v>
      </c>
      <c r="M21" s="52"/>
      <c r="N21" s="52"/>
      <c r="O21" s="6"/>
    </row>
    <row r="22" spans="1:19" s="59" customFormat="1" x14ac:dyDescent="0.25">
      <c r="A22" s="53"/>
      <c r="B22" s="53" t="s">
        <v>101</v>
      </c>
      <c r="C22" s="52">
        <v>65000</v>
      </c>
      <c r="D22" s="52">
        <v>64999.32</v>
      </c>
      <c r="E22" s="52">
        <v>85000</v>
      </c>
      <c r="F22" s="52">
        <v>86567.3</v>
      </c>
      <c r="G22" s="52">
        <v>84900</v>
      </c>
      <c r="H22" s="52">
        <v>104226.46</v>
      </c>
      <c r="I22" s="52">
        <v>84900</v>
      </c>
      <c r="J22" s="52">
        <v>29070.94</v>
      </c>
      <c r="K22" s="52">
        <v>134318</v>
      </c>
      <c r="L22" s="52">
        <v>134318</v>
      </c>
      <c r="M22" s="52"/>
      <c r="N22" s="52"/>
      <c r="O22" s="60"/>
      <c r="Q22"/>
    </row>
    <row r="23" spans="1:19" x14ac:dyDescent="0.25">
      <c r="A23" s="18" t="s">
        <v>135</v>
      </c>
      <c r="B23" s="53" t="s">
        <v>102</v>
      </c>
      <c r="C23" s="19"/>
      <c r="D23" s="19">
        <v>13725</v>
      </c>
      <c r="E23" s="19">
        <v>19000</v>
      </c>
      <c r="F23" s="19">
        <v>3512.27</v>
      </c>
      <c r="G23" s="52">
        <v>10000</v>
      </c>
      <c r="H23" s="52">
        <v>44500</v>
      </c>
      <c r="I23" s="52">
        <v>10000</v>
      </c>
      <c r="J23" s="52">
        <v>9370</v>
      </c>
      <c r="K23" s="52">
        <v>20000</v>
      </c>
      <c r="L23" s="52">
        <v>20000</v>
      </c>
      <c r="M23" s="52"/>
      <c r="N23" s="50"/>
      <c r="O23" s="4"/>
      <c r="P23" s="4"/>
      <c r="Q23" s="4"/>
      <c r="R23" s="54"/>
      <c r="S23" s="54"/>
    </row>
    <row r="24" spans="1:19" x14ac:dyDescent="0.25">
      <c r="A24" s="18"/>
      <c r="B24" s="53" t="s">
        <v>103</v>
      </c>
      <c r="C24" s="19">
        <v>39050</v>
      </c>
      <c r="D24" s="19">
        <v>38072.92</v>
      </c>
      <c r="E24" s="19">
        <v>31000</v>
      </c>
      <c r="F24" s="19">
        <v>39007.81</v>
      </c>
      <c r="G24" s="52">
        <v>40000</v>
      </c>
      <c r="H24" s="52">
        <v>35410.31</v>
      </c>
      <c r="I24" s="52">
        <v>40000</v>
      </c>
      <c r="J24" s="52">
        <v>22881.72</v>
      </c>
      <c r="K24" s="52">
        <v>36000</v>
      </c>
      <c r="L24" s="52">
        <v>36000</v>
      </c>
      <c r="M24" s="52"/>
      <c r="N24" s="4"/>
      <c r="O24" s="4"/>
      <c r="P24" s="4"/>
      <c r="Q24" s="4"/>
      <c r="R24" s="54"/>
      <c r="S24" s="54"/>
    </row>
    <row r="25" spans="1:19" x14ac:dyDescent="0.25">
      <c r="A25" s="78" t="s">
        <v>135</v>
      </c>
      <c r="B25" s="78" t="s">
        <v>104</v>
      </c>
      <c r="C25" s="51">
        <v>52435</v>
      </c>
      <c r="D25" s="51">
        <v>50100.51</v>
      </c>
      <c r="E25" s="51">
        <v>52435</v>
      </c>
      <c r="F25" s="51">
        <v>48677.87</v>
      </c>
      <c r="G25" s="51">
        <v>50000</v>
      </c>
      <c r="H25" s="51">
        <v>50999.69</v>
      </c>
      <c r="I25" s="51">
        <v>53000</v>
      </c>
      <c r="J25" s="51">
        <v>27276.38</v>
      </c>
      <c r="K25" s="51">
        <v>49426</v>
      </c>
      <c r="L25" s="51">
        <v>48876</v>
      </c>
      <c r="M25" s="51" t="s">
        <v>164</v>
      </c>
      <c r="O25" s="4"/>
      <c r="P25" s="59"/>
      <c r="Q25" s="4"/>
      <c r="R25" s="54"/>
      <c r="S25" s="54"/>
    </row>
    <row r="26" spans="1:19" x14ac:dyDescent="0.25">
      <c r="A26" s="18" t="s">
        <v>135</v>
      </c>
      <c r="B26" s="53" t="s">
        <v>105</v>
      </c>
      <c r="C26" s="19">
        <v>72741</v>
      </c>
      <c r="D26" s="19">
        <v>69424.28</v>
      </c>
      <c r="E26" s="19">
        <v>72741</v>
      </c>
      <c r="F26" s="19">
        <v>78158.820000000007</v>
      </c>
      <c r="G26" s="52">
        <v>73000</v>
      </c>
      <c r="H26" s="52">
        <v>68316</v>
      </c>
      <c r="I26" s="52">
        <v>73000</v>
      </c>
      <c r="J26" s="52">
        <v>55656.29</v>
      </c>
      <c r="K26" s="52">
        <v>73000</v>
      </c>
      <c r="L26" s="52">
        <v>73000</v>
      </c>
      <c r="M26" s="52"/>
      <c r="O26" s="4"/>
      <c r="P26" s="4"/>
      <c r="Q26" s="4"/>
      <c r="R26" s="55"/>
      <c r="S26" s="54"/>
    </row>
    <row r="27" spans="1:19" x14ac:dyDescent="0.25">
      <c r="A27" s="18"/>
      <c r="B27" s="53" t="s">
        <v>106</v>
      </c>
      <c r="C27" s="19">
        <v>23886</v>
      </c>
      <c r="D27" s="19">
        <v>21422.27</v>
      </c>
      <c r="E27" s="19">
        <v>29900</v>
      </c>
      <c r="F27" s="19">
        <v>20045.2</v>
      </c>
      <c r="G27" s="52">
        <v>24000</v>
      </c>
      <c r="H27" s="52">
        <v>21026</v>
      </c>
      <c r="I27" s="52">
        <v>20140</v>
      </c>
      <c r="J27" s="52">
        <v>0</v>
      </c>
      <c r="K27" s="52">
        <v>19286</v>
      </c>
      <c r="L27" s="52">
        <v>19286</v>
      </c>
      <c r="M27" s="52"/>
      <c r="O27" s="4"/>
      <c r="P27" s="4"/>
      <c r="Q27" s="4"/>
      <c r="R27" s="4"/>
    </row>
    <row r="28" spans="1:19" x14ac:dyDescent="0.25">
      <c r="A28" s="18"/>
      <c r="B28" s="53" t="s">
        <v>107</v>
      </c>
      <c r="C28" s="19">
        <v>7310</v>
      </c>
      <c r="D28" s="19">
        <v>7166.22</v>
      </c>
      <c r="E28" s="19">
        <v>7310</v>
      </c>
      <c r="F28" s="19">
        <v>7534.43</v>
      </c>
      <c r="G28" s="52">
        <f>ROUND(SUM(G18+G25)*0.0765,0)</f>
        <v>7535</v>
      </c>
      <c r="H28" s="52">
        <v>7967.65</v>
      </c>
      <c r="I28" s="52">
        <f>ROUND(SUM(I18+I25)*0.0765,0)</f>
        <v>7880</v>
      </c>
      <c r="J28" s="52">
        <v>5347.46</v>
      </c>
      <c r="K28" s="52">
        <f>ROUND(SUM(K18+K25)*0.0765,0)</f>
        <v>7716</v>
      </c>
      <c r="L28" s="51">
        <f>ROUND(SUM(L18+L25)*0.0765,0)</f>
        <v>7632</v>
      </c>
      <c r="M28" s="51" t="s">
        <v>150</v>
      </c>
      <c r="O28" s="4"/>
      <c r="P28" s="4"/>
      <c r="Q28" s="4"/>
      <c r="R28" s="4"/>
    </row>
    <row r="29" spans="1:19" x14ac:dyDescent="0.25">
      <c r="A29" s="18" t="s">
        <v>135</v>
      </c>
      <c r="B29" s="53" t="s">
        <v>108</v>
      </c>
      <c r="C29" s="19">
        <v>500</v>
      </c>
      <c r="D29" s="19">
        <v>0</v>
      </c>
      <c r="E29" s="19">
        <v>500</v>
      </c>
      <c r="F29" s="19">
        <v>0</v>
      </c>
      <c r="G29" s="52">
        <v>500</v>
      </c>
      <c r="H29" s="52">
        <v>0</v>
      </c>
      <c r="I29" s="52">
        <v>500</v>
      </c>
      <c r="J29" s="52">
        <v>0</v>
      </c>
      <c r="K29" s="52">
        <v>0</v>
      </c>
      <c r="L29" s="52">
        <v>0</v>
      </c>
      <c r="M29" s="52"/>
      <c r="O29" s="4"/>
      <c r="P29" s="4"/>
      <c r="Q29" s="4"/>
      <c r="R29" s="4"/>
    </row>
    <row r="30" spans="1:19" x14ac:dyDescent="0.25">
      <c r="A30" s="78"/>
      <c r="B30" s="78" t="s">
        <v>109</v>
      </c>
      <c r="C30" s="51">
        <v>21630</v>
      </c>
      <c r="D30" s="51">
        <v>16468.5</v>
      </c>
      <c r="E30" s="51">
        <v>21630</v>
      </c>
      <c r="F30" s="51">
        <v>12494.02</v>
      </c>
      <c r="G30" s="51">
        <v>12200</v>
      </c>
      <c r="H30" s="51">
        <v>11938.29</v>
      </c>
      <c r="I30" s="51">
        <v>13700</v>
      </c>
      <c r="J30" s="51">
        <v>10551.9</v>
      </c>
      <c r="K30" s="51">
        <v>15183</v>
      </c>
      <c r="L30" s="51">
        <v>22173</v>
      </c>
      <c r="M30" s="51" t="s">
        <v>149</v>
      </c>
      <c r="O30" s="4"/>
      <c r="P30" s="4"/>
      <c r="Q30" s="4"/>
      <c r="R30" s="4"/>
    </row>
    <row r="31" spans="1:19" x14ac:dyDescent="0.25">
      <c r="A31" s="18"/>
      <c r="B31" s="53" t="s">
        <v>123</v>
      </c>
      <c r="C31" s="19"/>
      <c r="D31" s="19"/>
      <c r="E31" s="19"/>
      <c r="F31" s="19">
        <v>250000</v>
      </c>
      <c r="G31" s="52"/>
      <c r="H31" s="52">
        <v>0</v>
      </c>
      <c r="I31" s="52">
        <v>0</v>
      </c>
      <c r="J31" s="52">
        <v>0</v>
      </c>
      <c r="K31" s="52">
        <v>0</v>
      </c>
      <c r="L31" s="52">
        <v>0</v>
      </c>
      <c r="M31" s="52"/>
      <c r="O31" s="4"/>
      <c r="P31" s="4"/>
      <c r="Q31" s="4"/>
      <c r="R31" s="4"/>
    </row>
    <row r="32" spans="1:19" x14ac:dyDescent="0.25">
      <c r="A32" s="18"/>
      <c r="B32" s="53" t="s">
        <v>124</v>
      </c>
      <c r="C32" s="19"/>
      <c r="D32" s="19"/>
      <c r="E32" s="19"/>
      <c r="F32" s="19">
        <v>263.89</v>
      </c>
      <c r="G32" s="52"/>
      <c r="H32" s="52">
        <v>0</v>
      </c>
      <c r="I32" s="52">
        <v>0</v>
      </c>
      <c r="J32" s="52">
        <v>0</v>
      </c>
      <c r="K32" s="52">
        <v>0</v>
      </c>
      <c r="L32" s="52">
        <v>0</v>
      </c>
      <c r="M32" s="52"/>
      <c r="Q32" s="4"/>
    </row>
    <row r="33" spans="1:13" x14ac:dyDescent="0.25">
      <c r="A33" s="18"/>
      <c r="B33" s="53" t="s">
        <v>110</v>
      </c>
      <c r="C33" s="19"/>
      <c r="D33" s="19">
        <v>4252.49</v>
      </c>
      <c r="E33" s="19"/>
      <c r="F33" s="19"/>
      <c r="G33" s="52">
        <v>0</v>
      </c>
      <c r="H33" s="52"/>
      <c r="I33" s="52">
        <v>0</v>
      </c>
      <c r="J33" s="52"/>
      <c r="K33" s="52">
        <v>0</v>
      </c>
      <c r="L33" s="52">
        <v>0</v>
      </c>
      <c r="M33" s="52"/>
    </row>
    <row r="34" spans="1:13" ht="15.75" thickBot="1" x14ac:dyDescent="0.3">
      <c r="A34" s="18"/>
      <c r="B34" s="53" t="s">
        <v>111</v>
      </c>
      <c r="C34" s="21"/>
      <c r="D34" s="21">
        <v>100000</v>
      </c>
      <c r="E34" s="21"/>
      <c r="F34" s="21"/>
      <c r="G34" s="26">
        <v>0</v>
      </c>
      <c r="H34" s="26"/>
      <c r="I34" s="26">
        <v>0</v>
      </c>
      <c r="J34" s="26"/>
      <c r="K34" s="26">
        <v>0</v>
      </c>
      <c r="L34" s="26">
        <v>0</v>
      </c>
      <c r="M34" s="26"/>
    </row>
    <row r="35" spans="1:13" ht="15.75" thickBot="1" x14ac:dyDescent="0.3">
      <c r="A35" s="18" t="s">
        <v>88</v>
      </c>
      <c r="B35" s="53"/>
      <c r="C35" s="22">
        <f>ROUND(SUM(C17:C34),5)</f>
        <v>393850</v>
      </c>
      <c r="D35" s="22">
        <f>ROUND(SUM(D17:D34),5)</f>
        <v>584068.81000000006</v>
      </c>
      <c r="E35" s="22">
        <f>ROUND(SUM(E17:E34),5)</f>
        <v>436214</v>
      </c>
      <c r="F35" s="22">
        <f>ROUND(SUM(F17:F34),5)</f>
        <v>931876.4</v>
      </c>
      <c r="G35" s="70">
        <f t="shared" ref="G35" si="3">ROUND(SUM(G17:G34),5)</f>
        <v>420635</v>
      </c>
      <c r="H35" s="70">
        <f>ROUND(SUM(H17:H34),5)</f>
        <v>450220.72</v>
      </c>
      <c r="I35" s="70">
        <f t="shared" ref="I35" si="4">ROUND(SUM(I17:I34),5)</f>
        <v>423120</v>
      </c>
      <c r="J35" s="70">
        <f>ROUND(SUM(J17:J34),5)</f>
        <v>229784.38</v>
      </c>
      <c r="K35" s="70">
        <f t="shared" ref="K35:L35" si="5">ROUND(SUM(K17:K34),5)</f>
        <v>472022</v>
      </c>
      <c r="L35" s="70">
        <f t="shared" si="5"/>
        <v>476828</v>
      </c>
      <c r="M35" s="100" t="s">
        <v>154</v>
      </c>
    </row>
    <row r="36" spans="1:13" ht="15.75" thickBot="1" x14ac:dyDescent="0.3">
      <c r="A36" s="23" t="s">
        <v>89</v>
      </c>
      <c r="B36" s="53"/>
      <c r="C36" s="27">
        <f>ROUND(C16-C35,5)</f>
        <v>-85250</v>
      </c>
      <c r="D36" s="27">
        <f>ROUND(D16-D35,5)</f>
        <v>-167944.88</v>
      </c>
      <c r="E36" s="27">
        <f>ROUND(E16-E35,5)</f>
        <v>-84900</v>
      </c>
      <c r="F36" s="27">
        <f>ROUND(F16-F35,5)</f>
        <v>-77946.22</v>
      </c>
      <c r="G36" s="71">
        <f t="shared" ref="G36" si="6">ROUND(G16-G35,5)</f>
        <v>-26500</v>
      </c>
      <c r="H36" s="71">
        <f>ROUND(H16-H35,5)</f>
        <v>126047.85</v>
      </c>
      <c r="I36" s="71">
        <f t="shared" ref="I36" si="7">ROUND(I16-I35,5)</f>
        <v>-10000</v>
      </c>
      <c r="J36" s="71">
        <f>ROUND(J16-J35,5)</f>
        <v>76107.64</v>
      </c>
      <c r="K36" s="71">
        <f t="shared" ref="K36:M36" si="8">ROUND(K16-K35,5)</f>
        <v>-6194</v>
      </c>
      <c r="L36" s="71">
        <f t="shared" si="8"/>
        <v>-11000</v>
      </c>
      <c r="M36" s="71" t="e">
        <f t="shared" si="8"/>
        <v>#VALUE!</v>
      </c>
    </row>
    <row r="37" spans="1:13" ht="15.75" thickTop="1" x14ac:dyDescent="0.25">
      <c r="A37" s="24"/>
      <c r="B37" s="61"/>
      <c r="C37" s="25"/>
      <c r="D37" s="25"/>
      <c r="E37" s="25"/>
      <c r="F37" s="25"/>
      <c r="G37" s="72"/>
      <c r="H37" s="72"/>
      <c r="I37" s="72"/>
      <c r="J37" s="72"/>
      <c r="K37" s="72"/>
      <c r="L37" s="72"/>
      <c r="M37" s="72"/>
    </row>
  </sheetData>
  <printOptions horizontalCentered="1" gridLines="1"/>
  <pageMargins left="0.7" right="0.7" top="1" bottom="0.5" header="0.3" footer="0.3"/>
  <pageSetup scale="75" orientation="landscape" r:id="rId1"/>
  <headerFooter>
    <oddHeader>&amp;C&amp;"-,Bold"&amp;14Town of Roseboom
Highway Fund</oddHeader>
    <oddFooter>&amp;L&amp;D&amp;R&amp;P of &amp;N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39"/>
  <sheetViews>
    <sheetView workbookViewId="0">
      <pane ySplit="2" topLeftCell="A18" activePane="bottomLeft" state="frozen"/>
      <selection pane="bottomLeft" activeCell="K28" sqref="K28"/>
    </sheetView>
  </sheetViews>
  <sheetFormatPr defaultRowHeight="15" x14ac:dyDescent="0.25"/>
  <cols>
    <col min="4" max="7" width="15.7109375" customWidth="1"/>
    <col min="8" max="8" width="2" customWidth="1"/>
    <col min="11" max="11" width="11.5703125" bestFit="1" customWidth="1"/>
    <col min="12" max="12" width="10.5703125" bestFit="1" customWidth="1"/>
  </cols>
  <sheetData>
    <row r="2" spans="1:14" ht="27" thickBot="1" x14ac:dyDescent="0.3">
      <c r="A2" s="11" t="s">
        <v>15</v>
      </c>
      <c r="B2" s="12" t="s">
        <v>1</v>
      </c>
      <c r="C2" s="12" t="s">
        <v>2</v>
      </c>
      <c r="D2" s="13" t="s">
        <v>3</v>
      </c>
      <c r="E2" s="13" t="s">
        <v>4</v>
      </c>
      <c r="F2" s="13" t="s">
        <v>5</v>
      </c>
      <c r="G2" s="13" t="s">
        <v>6</v>
      </c>
    </row>
    <row r="4" spans="1:14" x14ac:dyDescent="0.25">
      <c r="A4">
        <v>2012</v>
      </c>
      <c r="B4" t="s">
        <v>9</v>
      </c>
      <c r="C4" t="s">
        <v>10</v>
      </c>
      <c r="D4" s="8">
        <v>131379</v>
      </c>
      <c r="E4" s="8">
        <f>129327-62052</f>
        <v>67275</v>
      </c>
      <c r="F4" s="8">
        <v>3000</v>
      </c>
      <c r="G4" s="8">
        <v>62052</v>
      </c>
      <c r="H4" s="8"/>
    </row>
    <row r="5" spans="1:14" x14ac:dyDescent="0.25">
      <c r="B5" t="s">
        <v>11</v>
      </c>
      <c r="C5" t="s">
        <v>12</v>
      </c>
      <c r="D5" s="8">
        <v>308465</v>
      </c>
      <c r="E5" s="8">
        <f>304465-151495</f>
        <v>152970</v>
      </c>
      <c r="F5" s="8">
        <v>4000</v>
      </c>
      <c r="G5" s="8">
        <f>D5-E5-F5</f>
        <v>151495</v>
      </c>
      <c r="H5" s="8"/>
    </row>
    <row r="6" spans="1:14" x14ac:dyDescent="0.25">
      <c r="B6" t="s">
        <v>13</v>
      </c>
      <c r="C6" t="s">
        <v>17</v>
      </c>
      <c r="D6" s="8">
        <v>8500</v>
      </c>
      <c r="E6" s="8">
        <v>0</v>
      </c>
      <c r="F6" s="8">
        <v>0</v>
      </c>
      <c r="G6" s="8">
        <f>D6-E6-F6</f>
        <v>8500</v>
      </c>
      <c r="H6" s="8"/>
    </row>
    <row r="7" spans="1:14" x14ac:dyDescent="0.25">
      <c r="D7" s="8"/>
      <c r="E7" s="8"/>
      <c r="F7" s="9" t="s">
        <v>16</v>
      </c>
      <c r="G7" s="8">
        <f>SUM(G4:G6)</f>
        <v>222047</v>
      </c>
      <c r="H7" s="8"/>
      <c r="K7" s="8"/>
    </row>
    <row r="8" spans="1:14" ht="15.75" thickBot="1" x14ac:dyDescent="0.3">
      <c r="A8" s="7"/>
      <c r="B8" s="7"/>
      <c r="C8" s="7"/>
      <c r="D8" s="10"/>
      <c r="E8" s="130" t="s">
        <v>138</v>
      </c>
      <c r="F8" s="130"/>
      <c r="G8" s="10"/>
      <c r="H8" s="8"/>
      <c r="K8" s="8"/>
      <c r="L8" s="8"/>
      <c r="M8" s="32"/>
      <c r="N8" s="8"/>
    </row>
    <row r="9" spans="1:14" x14ac:dyDescent="0.25">
      <c r="D9" s="8"/>
      <c r="E9" s="8"/>
      <c r="F9" s="8"/>
      <c r="G9" s="8"/>
      <c r="H9" s="8"/>
      <c r="K9" s="8"/>
      <c r="L9" s="8"/>
    </row>
    <row r="10" spans="1:14" x14ac:dyDescent="0.25">
      <c r="A10">
        <v>2013</v>
      </c>
      <c r="B10" t="s">
        <v>9</v>
      </c>
      <c r="C10" t="s">
        <v>10</v>
      </c>
      <c r="D10" s="8">
        <v>137470</v>
      </c>
      <c r="E10" s="8">
        <f>134470-68345</f>
        <v>66125</v>
      </c>
      <c r="F10" s="8">
        <v>3000</v>
      </c>
      <c r="G10" s="8">
        <f>D10-E10-F10</f>
        <v>68345</v>
      </c>
      <c r="H10" s="8"/>
      <c r="K10" s="8"/>
      <c r="L10" s="8"/>
    </row>
    <row r="11" spans="1:14" x14ac:dyDescent="0.25">
      <c r="B11" t="s">
        <v>11</v>
      </c>
      <c r="C11" t="s">
        <v>12</v>
      </c>
      <c r="D11" s="8">
        <v>393850</v>
      </c>
      <c r="E11" s="8">
        <f>308600-155630</f>
        <v>152970</v>
      </c>
      <c r="F11" s="8">
        <v>85250</v>
      </c>
      <c r="G11" s="8">
        <f>D11-E11-F11</f>
        <v>155630</v>
      </c>
      <c r="H11" s="8"/>
      <c r="K11" s="8"/>
      <c r="L11" s="8"/>
    </row>
    <row r="12" spans="1:14" x14ac:dyDescent="0.25">
      <c r="B12" t="s">
        <v>13</v>
      </c>
      <c r="C12" t="s">
        <v>17</v>
      </c>
      <c r="D12" s="8">
        <v>8500</v>
      </c>
      <c r="E12" s="8">
        <v>0</v>
      </c>
      <c r="F12" s="8">
        <v>0</v>
      </c>
      <c r="G12" s="8">
        <f>D12-E12-F12</f>
        <v>8500</v>
      </c>
      <c r="H12" s="8"/>
    </row>
    <row r="13" spans="1:14" x14ac:dyDescent="0.25">
      <c r="D13" s="8"/>
      <c r="E13" s="8"/>
      <c r="F13" s="9" t="s">
        <v>16</v>
      </c>
      <c r="G13" s="8">
        <f>SUM(G10:G12)</f>
        <v>232475</v>
      </c>
      <c r="H13" s="8"/>
      <c r="K13" s="8"/>
    </row>
    <row r="14" spans="1:14" ht="15.75" thickBot="1" x14ac:dyDescent="0.3">
      <c r="A14" s="7"/>
      <c r="B14" s="7"/>
      <c r="C14" s="7"/>
      <c r="D14" s="10"/>
      <c r="E14" s="130" t="s">
        <v>139</v>
      </c>
      <c r="F14" s="130"/>
      <c r="G14" s="62">
        <f>SUM(G13-G7)</f>
        <v>10428</v>
      </c>
      <c r="H14" s="8"/>
    </row>
    <row r="15" spans="1:14" x14ac:dyDescent="0.25">
      <c r="D15" s="8"/>
      <c r="E15" s="8"/>
      <c r="F15" s="8"/>
      <c r="G15" s="8"/>
      <c r="H15" s="8"/>
    </row>
    <row r="16" spans="1:14" x14ac:dyDescent="0.25">
      <c r="A16">
        <v>2014</v>
      </c>
      <c r="B16" t="s">
        <v>9</v>
      </c>
      <c r="C16" t="s">
        <v>10</v>
      </c>
      <c r="D16" s="8">
        <v>140602</v>
      </c>
      <c r="E16" s="8">
        <f>137602-71197</f>
        <v>66405</v>
      </c>
      <c r="F16" s="8">
        <v>3000</v>
      </c>
      <c r="G16" s="8">
        <f>D16-E16-F16</f>
        <v>71197</v>
      </c>
      <c r="H16" s="8"/>
    </row>
    <row r="17" spans="1:8" x14ac:dyDescent="0.25">
      <c r="B17" t="s">
        <v>11</v>
      </c>
      <c r="C17" t="s">
        <v>12</v>
      </c>
      <c r="D17" s="8">
        <v>436214</v>
      </c>
      <c r="E17" s="8">
        <f>351314-164264</f>
        <v>187050</v>
      </c>
      <c r="F17" s="8">
        <v>84900</v>
      </c>
      <c r="G17" s="8">
        <f>D17-E17-F17</f>
        <v>164264</v>
      </c>
      <c r="H17" s="8"/>
    </row>
    <row r="18" spans="1:8" x14ac:dyDescent="0.25">
      <c r="B18" t="s">
        <v>13</v>
      </c>
      <c r="C18" t="s">
        <v>17</v>
      </c>
      <c r="D18" s="8">
        <v>8500</v>
      </c>
      <c r="E18" s="8">
        <v>0</v>
      </c>
      <c r="F18" s="8">
        <v>0</v>
      </c>
      <c r="G18" s="8">
        <f>D18-E18-F18</f>
        <v>8500</v>
      </c>
      <c r="H18" s="8"/>
    </row>
    <row r="19" spans="1:8" x14ac:dyDescent="0.25">
      <c r="D19" s="8"/>
      <c r="E19" s="8"/>
      <c r="F19" s="9" t="s">
        <v>16</v>
      </c>
      <c r="G19" s="8">
        <f>SUM(G16:G18)</f>
        <v>243961</v>
      </c>
      <c r="H19" s="8"/>
    </row>
    <row r="20" spans="1:8" ht="15.75" thickBot="1" x14ac:dyDescent="0.3">
      <c r="A20" s="7"/>
      <c r="B20" s="7"/>
      <c r="C20" s="7"/>
      <c r="D20" s="10"/>
      <c r="E20" s="130" t="s">
        <v>140</v>
      </c>
      <c r="F20" s="130"/>
      <c r="G20" s="62">
        <f>SUM(G19-G13)</f>
        <v>11486</v>
      </c>
      <c r="H20" s="8"/>
    </row>
    <row r="21" spans="1:8" x14ac:dyDescent="0.25">
      <c r="D21" s="8"/>
      <c r="E21" s="8"/>
      <c r="F21" s="8"/>
      <c r="G21" s="8"/>
      <c r="H21" s="8"/>
    </row>
    <row r="22" spans="1:8" x14ac:dyDescent="0.25">
      <c r="A22">
        <v>2015</v>
      </c>
      <c r="B22" t="s">
        <v>9</v>
      </c>
      <c r="C22" t="s">
        <v>10</v>
      </c>
      <c r="D22" s="8">
        <v>159233</v>
      </c>
      <c r="E22" s="8">
        <v>72995</v>
      </c>
      <c r="F22" s="8">
        <v>20000</v>
      </c>
      <c r="G22" s="8">
        <f>D22-E22-F22</f>
        <v>66238</v>
      </c>
      <c r="H22" s="8"/>
    </row>
    <row r="23" spans="1:8" x14ac:dyDescent="0.25">
      <c r="B23" t="s">
        <v>11</v>
      </c>
      <c r="C23" t="s">
        <v>12</v>
      </c>
      <c r="D23" s="8">
        <v>420635</v>
      </c>
      <c r="E23" s="8">
        <v>191940</v>
      </c>
      <c r="F23" s="8">
        <v>26500</v>
      </c>
      <c r="G23" s="8">
        <f>D23-E23-F23</f>
        <v>202195</v>
      </c>
      <c r="H23" s="8"/>
    </row>
    <row r="24" spans="1:8" x14ac:dyDescent="0.25">
      <c r="B24" t="s">
        <v>13</v>
      </c>
      <c r="C24" t="s">
        <v>17</v>
      </c>
      <c r="D24" s="8">
        <v>8500</v>
      </c>
      <c r="E24" s="8"/>
      <c r="F24" s="8"/>
      <c r="G24" s="8">
        <f>D24-E24-F24</f>
        <v>8500</v>
      </c>
      <c r="H24" s="8"/>
    </row>
    <row r="25" spans="1:8" x14ac:dyDescent="0.25">
      <c r="D25" s="8"/>
      <c r="E25" s="8"/>
      <c r="F25" s="9" t="s">
        <v>16</v>
      </c>
      <c r="G25" s="8">
        <f>SUM(G22:G24)</f>
        <v>276933</v>
      </c>
      <c r="H25" s="8"/>
    </row>
    <row r="26" spans="1:8" ht="15.75" thickBot="1" x14ac:dyDescent="0.3">
      <c r="A26" s="7"/>
      <c r="B26" s="7"/>
      <c r="C26" s="7"/>
      <c r="D26" s="10"/>
      <c r="E26" s="130" t="s">
        <v>141</v>
      </c>
      <c r="F26" s="130"/>
      <c r="G26" s="62">
        <f>SUM(G25-G19)</f>
        <v>32972</v>
      </c>
      <c r="H26" s="8"/>
    </row>
    <row r="27" spans="1:8" x14ac:dyDescent="0.25">
      <c r="D27" s="8"/>
      <c r="E27" s="8"/>
      <c r="F27" s="8"/>
      <c r="G27" s="8"/>
      <c r="H27" s="8"/>
    </row>
    <row r="28" spans="1:8" x14ac:dyDescent="0.25">
      <c r="A28">
        <v>2016</v>
      </c>
      <c r="B28" t="s">
        <v>9</v>
      </c>
      <c r="C28" t="s">
        <v>10</v>
      </c>
      <c r="D28" s="8">
        <v>159290</v>
      </c>
      <c r="E28" s="8">
        <v>76167</v>
      </c>
      <c r="F28" s="8">
        <v>15000</v>
      </c>
      <c r="G28" s="8">
        <f>D28-E28-F28</f>
        <v>68123</v>
      </c>
      <c r="H28" s="8"/>
    </row>
    <row r="29" spans="1:8" x14ac:dyDescent="0.25">
      <c r="B29" t="s">
        <v>11</v>
      </c>
      <c r="C29" t="s">
        <v>12</v>
      </c>
      <c r="D29" s="8">
        <v>423120</v>
      </c>
      <c r="E29" s="8">
        <v>196930</v>
      </c>
      <c r="F29" s="8">
        <v>10000</v>
      </c>
      <c r="G29" s="8">
        <f>D29-E29-F29</f>
        <v>216190</v>
      </c>
      <c r="H29" s="8"/>
    </row>
    <row r="30" spans="1:8" x14ac:dyDescent="0.25">
      <c r="B30" t="s">
        <v>13</v>
      </c>
      <c r="C30" t="s">
        <v>17</v>
      </c>
      <c r="D30" s="8">
        <v>8500</v>
      </c>
      <c r="E30" s="8"/>
      <c r="F30" s="8"/>
      <c r="G30" s="8">
        <f>D30-E30-F30</f>
        <v>8500</v>
      </c>
      <c r="H30" s="8"/>
    </row>
    <row r="31" spans="1:8" x14ac:dyDescent="0.25">
      <c r="D31" s="8"/>
      <c r="E31" s="8"/>
      <c r="F31" s="9" t="s">
        <v>16</v>
      </c>
      <c r="G31" s="8">
        <f>SUM(G28:G30)</f>
        <v>292813</v>
      </c>
      <c r="H31" s="8"/>
    </row>
    <row r="32" spans="1:8" ht="15.75" thickBot="1" x14ac:dyDescent="0.3">
      <c r="A32" s="7"/>
      <c r="B32" s="7"/>
      <c r="C32" s="7"/>
      <c r="D32" s="10"/>
      <c r="E32" s="130" t="s">
        <v>142</v>
      </c>
      <c r="F32" s="130"/>
      <c r="G32" s="63">
        <f>SUM(G31-G25)</f>
        <v>15880</v>
      </c>
    </row>
    <row r="34" spans="1:7" x14ac:dyDescent="0.25">
      <c r="D34" s="8"/>
      <c r="E34" s="8"/>
      <c r="F34" s="8"/>
      <c r="G34" s="8"/>
    </row>
    <row r="35" spans="1:7" x14ac:dyDescent="0.25">
      <c r="A35">
        <v>2017</v>
      </c>
      <c r="B35" t="s">
        <v>9</v>
      </c>
      <c r="C35" t="s">
        <v>10</v>
      </c>
      <c r="D35" s="8">
        <f>summary!D7</f>
        <v>163264</v>
      </c>
      <c r="E35" s="8">
        <f>summary!E7</f>
        <v>76421</v>
      </c>
      <c r="F35" s="8">
        <f>summary!F7</f>
        <v>13000</v>
      </c>
      <c r="G35" s="8">
        <f>D35-E35-F35</f>
        <v>73843</v>
      </c>
    </row>
    <row r="36" spans="1:7" x14ac:dyDescent="0.25">
      <c r="B36" t="s">
        <v>11</v>
      </c>
      <c r="C36" t="s">
        <v>12</v>
      </c>
      <c r="D36" s="8">
        <f>summary!D10</f>
        <v>476828</v>
      </c>
      <c r="E36" s="8">
        <f>summary!E10</f>
        <v>250203</v>
      </c>
      <c r="F36" s="8">
        <f>summary!F10</f>
        <v>11000</v>
      </c>
      <c r="G36" s="8">
        <f>D36-E36-F36</f>
        <v>215625</v>
      </c>
    </row>
    <row r="37" spans="1:7" x14ac:dyDescent="0.25">
      <c r="B37" t="s">
        <v>13</v>
      </c>
      <c r="C37" t="s">
        <v>17</v>
      </c>
      <c r="D37" s="8">
        <f>summary!D13</f>
        <v>9000</v>
      </c>
      <c r="E37" s="8">
        <f>summary!E13</f>
        <v>0</v>
      </c>
      <c r="F37" s="8">
        <f>summary!F13</f>
        <v>0</v>
      </c>
      <c r="G37" s="8">
        <f>D37-E37-F37</f>
        <v>9000</v>
      </c>
    </row>
    <row r="38" spans="1:7" x14ac:dyDescent="0.25">
      <c r="D38" s="8"/>
      <c r="E38" s="8"/>
      <c r="F38" s="9" t="s">
        <v>16</v>
      </c>
      <c r="G38" s="8">
        <f>SUM(G35:G37)</f>
        <v>298468</v>
      </c>
    </row>
    <row r="39" spans="1:7" ht="15.75" thickBot="1" x14ac:dyDescent="0.3">
      <c r="A39" s="7"/>
      <c r="B39" s="7"/>
      <c r="C39" s="7"/>
      <c r="D39" s="10"/>
      <c r="E39" s="130" t="s">
        <v>137</v>
      </c>
      <c r="F39" s="130"/>
      <c r="G39" s="63">
        <f>SUM(G38-G31)</f>
        <v>5655</v>
      </c>
    </row>
  </sheetData>
  <mergeCells count="6">
    <mergeCell ref="E8:F8"/>
    <mergeCell ref="E39:F39"/>
    <mergeCell ref="E32:F32"/>
    <mergeCell ref="E26:F26"/>
    <mergeCell ref="E20:F20"/>
    <mergeCell ref="E14:F14"/>
  </mergeCells>
  <printOptions horizontalCentered="1" gridLines="1"/>
  <pageMargins left="0.7" right="0.7" top="1.25" bottom="0.75" header="0.3" footer="0.3"/>
  <pageSetup scale="80" orientation="landscape" r:id="rId1"/>
  <headerFooter>
    <oddHeader xml:space="preserve">&amp;CTown of Roseboom
Historical Budget Summary
</oddHeader>
    <oddFooter>&amp;L&amp;D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2017 BUDGET</vt:lpstr>
      <vt:lpstr>summary</vt:lpstr>
      <vt:lpstr>general</vt:lpstr>
      <vt:lpstr>highway</vt:lpstr>
      <vt:lpstr>prior year summary</vt:lpstr>
      <vt:lpstr>general!Print_Titles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Bonnie Roes</dc:creator>
  <cp:lastModifiedBy>Erin Seeley</cp:lastModifiedBy>
  <cp:lastPrinted>2016-11-09T19:04:57Z</cp:lastPrinted>
  <dcterms:created xsi:type="dcterms:W3CDTF">2014-08-29T14:46:49Z</dcterms:created>
  <dcterms:modified xsi:type="dcterms:W3CDTF">2016-12-08T15:36:14Z</dcterms:modified>
</cp:coreProperties>
</file>