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COLFAX LV\"/>
    </mc:Choice>
  </mc:AlternateContent>
  <xr:revisionPtr revIDLastSave="0" documentId="13_ncr:1_{C46D97F9-3D77-4161-A038-56113CF67B12}" xr6:coauthVersionLast="47" xr6:coauthVersionMax="47" xr10:uidLastSave="{00000000-0000-0000-0000-000000000000}"/>
  <bookViews>
    <workbookView xWindow="2160" yWindow="432" windowWidth="20868" windowHeight="11928" activeTab="3" xr2:uid="{1B914732-DE93-4C9D-A9B3-37C2E5E8068C}"/>
  </bookViews>
  <sheets>
    <sheet name="Land Analysis" sheetId="2" r:id="rId1"/>
    <sheet name="four twp comm" sheetId="7" r:id="rId2"/>
    <sheet name="Big Four" sheetId="3" r:id="rId3"/>
    <sheet name="Out County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4" l="1"/>
  <c r="I29" i="3" l="1"/>
  <c r="K29" i="3"/>
  <c r="Q29" i="3" s="1"/>
  <c r="I30" i="3"/>
  <c r="K30" i="3"/>
  <c r="S30" i="3" s="1"/>
  <c r="I31" i="3"/>
  <c r="K31" i="3"/>
  <c r="Q31" i="3" s="1"/>
  <c r="I32" i="3"/>
  <c r="K32" i="3"/>
  <c r="R32" i="3" s="1"/>
  <c r="I33" i="3"/>
  <c r="K33" i="3"/>
  <c r="Q33" i="3" s="1"/>
  <c r="I34" i="3"/>
  <c r="K34" i="3"/>
  <c r="R34" i="3" s="1"/>
  <c r="I35" i="3"/>
  <c r="K35" i="3"/>
  <c r="Q35" i="3" s="1"/>
  <c r="I36" i="3"/>
  <c r="K36" i="3"/>
  <c r="Q36" i="3" s="1"/>
  <c r="I37" i="3"/>
  <c r="K37" i="3"/>
  <c r="R37" i="3" s="1"/>
  <c r="I38" i="3"/>
  <c r="K38" i="3"/>
  <c r="Q38" i="3" s="1"/>
  <c r="I39" i="3"/>
  <c r="K39" i="3"/>
  <c r="Q39" i="3" s="1"/>
  <c r="E6" i="7"/>
  <c r="K6" i="7"/>
  <c r="L6" i="7"/>
  <c r="M6" i="7"/>
  <c r="I3" i="4"/>
  <c r="K3" i="4"/>
  <c r="Q3" i="4" s="1"/>
  <c r="J127" i="7"/>
  <c r="I127" i="7"/>
  <c r="G127" i="7"/>
  <c r="F127" i="7"/>
  <c r="D127" i="7"/>
  <c r="C127" i="7"/>
  <c r="E128" i="7" s="1"/>
  <c r="M126" i="7"/>
  <c r="L126" i="7"/>
  <c r="K126" i="7"/>
  <c r="E126" i="7"/>
  <c r="M125" i="7"/>
  <c r="L125" i="7"/>
  <c r="K125" i="7"/>
  <c r="E125" i="7"/>
  <c r="E11" i="7"/>
  <c r="K11" i="7"/>
  <c r="L11" i="7"/>
  <c r="M11" i="7"/>
  <c r="D73" i="7"/>
  <c r="E92" i="7"/>
  <c r="K92" i="7"/>
  <c r="L92" i="7"/>
  <c r="M92" i="7"/>
  <c r="E93" i="7"/>
  <c r="K93" i="7"/>
  <c r="L93" i="7"/>
  <c r="M93" i="7"/>
  <c r="I119" i="7"/>
  <c r="F119" i="7"/>
  <c r="C119" i="7"/>
  <c r="E120" i="7" s="1"/>
  <c r="D119" i="7"/>
  <c r="J119" i="7"/>
  <c r="G119" i="7"/>
  <c r="M118" i="7"/>
  <c r="L118" i="7"/>
  <c r="K118" i="7"/>
  <c r="E118" i="7"/>
  <c r="M117" i="7"/>
  <c r="L117" i="7"/>
  <c r="K117" i="7"/>
  <c r="E117" i="7"/>
  <c r="M116" i="7"/>
  <c r="L116" i="7"/>
  <c r="K116" i="7"/>
  <c r="E116" i="7"/>
  <c r="M115" i="7"/>
  <c r="L115" i="7"/>
  <c r="K115" i="7"/>
  <c r="E115" i="7"/>
  <c r="M114" i="7"/>
  <c r="L114" i="7"/>
  <c r="K114" i="7"/>
  <c r="E114" i="7"/>
  <c r="M113" i="7"/>
  <c r="L113" i="7"/>
  <c r="K113" i="7"/>
  <c r="E113" i="7"/>
  <c r="M112" i="7"/>
  <c r="L112" i="7"/>
  <c r="K112" i="7"/>
  <c r="E112" i="7"/>
  <c r="M111" i="7"/>
  <c r="L111" i="7"/>
  <c r="K111" i="7"/>
  <c r="E111" i="7"/>
  <c r="M110" i="7"/>
  <c r="L110" i="7"/>
  <c r="K110" i="7"/>
  <c r="J73" i="7"/>
  <c r="I73" i="7"/>
  <c r="G73" i="7"/>
  <c r="F73" i="7"/>
  <c r="C73" i="7"/>
  <c r="E74" i="7" s="1"/>
  <c r="M72" i="7"/>
  <c r="L72" i="7"/>
  <c r="K72" i="7"/>
  <c r="E72" i="7"/>
  <c r="M71" i="7"/>
  <c r="L71" i="7"/>
  <c r="M70" i="7"/>
  <c r="L70" i="7"/>
  <c r="K70" i="7"/>
  <c r="E70" i="7"/>
  <c r="M69" i="7"/>
  <c r="L69" i="7"/>
  <c r="K69" i="7"/>
  <c r="E69" i="7"/>
  <c r="M68" i="7"/>
  <c r="L68" i="7"/>
  <c r="K68" i="7"/>
  <c r="M67" i="7"/>
  <c r="L67" i="7"/>
  <c r="M66" i="7"/>
  <c r="L66" i="7"/>
  <c r="K66" i="7"/>
  <c r="M65" i="7"/>
  <c r="L65" i="7"/>
  <c r="K65" i="7"/>
  <c r="E65" i="7"/>
  <c r="M64" i="7"/>
  <c r="L64" i="7"/>
  <c r="M63" i="7"/>
  <c r="L63" i="7"/>
  <c r="K63" i="7"/>
  <c r="E63" i="7"/>
  <c r="K24" i="7"/>
  <c r="J16" i="7"/>
  <c r="I16" i="7"/>
  <c r="G16" i="7"/>
  <c r="F16" i="7"/>
  <c r="D16" i="7"/>
  <c r="C16" i="7"/>
  <c r="E100" i="7"/>
  <c r="K100" i="7"/>
  <c r="L100" i="7"/>
  <c r="M100" i="7"/>
  <c r="J94" i="7"/>
  <c r="I94" i="7"/>
  <c r="G94" i="7"/>
  <c r="F94" i="7"/>
  <c r="D94" i="7"/>
  <c r="C94" i="7"/>
  <c r="E95" i="7" s="1"/>
  <c r="M91" i="7"/>
  <c r="L91" i="7"/>
  <c r="K91" i="7"/>
  <c r="E91" i="7"/>
  <c r="M90" i="7"/>
  <c r="L90" i="7"/>
  <c r="K90" i="7"/>
  <c r="E90" i="7"/>
  <c r="J103" i="7"/>
  <c r="I103" i="7"/>
  <c r="G103" i="7"/>
  <c r="F103" i="7"/>
  <c r="D103" i="7"/>
  <c r="C103" i="7"/>
  <c r="E104" i="7" s="1"/>
  <c r="M102" i="7"/>
  <c r="L102" i="7"/>
  <c r="K102" i="7"/>
  <c r="E102" i="7"/>
  <c r="M101" i="7"/>
  <c r="L101" i="7"/>
  <c r="K101" i="7"/>
  <c r="E101" i="7"/>
  <c r="J81" i="7"/>
  <c r="I81" i="7"/>
  <c r="G81" i="7"/>
  <c r="F81" i="7"/>
  <c r="D81" i="7"/>
  <c r="C81" i="7"/>
  <c r="E82" i="7" s="1"/>
  <c r="M80" i="7"/>
  <c r="L80" i="7"/>
  <c r="K80" i="7"/>
  <c r="E80" i="7"/>
  <c r="M79" i="7"/>
  <c r="L79" i="7"/>
  <c r="K79" i="7"/>
  <c r="J57" i="7"/>
  <c r="I57" i="7"/>
  <c r="G57" i="7"/>
  <c r="F57" i="7"/>
  <c r="D57" i="7"/>
  <c r="C57" i="7"/>
  <c r="E58" i="7" s="1"/>
  <c r="M56" i="7"/>
  <c r="L56" i="7"/>
  <c r="K56" i="7"/>
  <c r="M55" i="7"/>
  <c r="L55" i="7"/>
  <c r="K55" i="7"/>
  <c r="E55" i="7"/>
  <c r="M54" i="7"/>
  <c r="L54" i="7"/>
  <c r="K54" i="7"/>
  <c r="M53" i="7"/>
  <c r="L53" i="7"/>
  <c r="K53" i="7"/>
  <c r="E53" i="7"/>
  <c r="M52" i="7"/>
  <c r="L52" i="7"/>
  <c r="M51" i="7"/>
  <c r="L51" i="7"/>
  <c r="K51" i="7"/>
  <c r="E51" i="7"/>
  <c r="M50" i="7"/>
  <c r="L50" i="7"/>
  <c r="K50" i="7"/>
  <c r="E50" i="7"/>
  <c r="M49" i="7"/>
  <c r="L49" i="7"/>
  <c r="K49" i="7"/>
  <c r="E49" i="7"/>
  <c r="M48" i="7"/>
  <c r="L48" i="7"/>
  <c r="K48" i="7"/>
  <c r="E48" i="7"/>
  <c r="M47" i="7"/>
  <c r="L47" i="7"/>
  <c r="K47" i="7"/>
  <c r="E47" i="7"/>
  <c r="J40" i="7"/>
  <c r="I40" i="7"/>
  <c r="G40" i="7"/>
  <c r="F40" i="7"/>
  <c r="D40" i="7"/>
  <c r="C40" i="7"/>
  <c r="E41" i="7" s="1"/>
  <c r="M39" i="7"/>
  <c r="L39" i="7"/>
  <c r="K39" i="7"/>
  <c r="E39" i="7"/>
  <c r="M38" i="7"/>
  <c r="L38" i="7"/>
  <c r="K38" i="7"/>
  <c r="E38" i="7"/>
  <c r="M37" i="7"/>
  <c r="L37" i="7"/>
  <c r="K37" i="7"/>
  <c r="E37" i="7"/>
  <c r="M36" i="7"/>
  <c r="L36" i="7"/>
  <c r="K36" i="7"/>
  <c r="E36" i="7"/>
  <c r="M35" i="7"/>
  <c r="L35" i="7"/>
  <c r="K35" i="7"/>
  <c r="E35" i="7"/>
  <c r="M34" i="7"/>
  <c r="L34" i="7"/>
  <c r="K34" i="7"/>
  <c r="E34" i="7"/>
  <c r="M33" i="7"/>
  <c r="L33" i="7"/>
  <c r="K33" i="7"/>
  <c r="M32" i="7"/>
  <c r="L32" i="7"/>
  <c r="K32" i="7"/>
  <c r="E32" i="7"/>
  <c r="M31" i="7"/>
  <c r="L31" i="7"/>
  <c r="K31" i="7"/>
  <c r="E31" i="7"/>
  <c r="M30" i="7"/>
  <c r="L30" i="7"/>
  <c r="K30" i="7"/>
  <c r="E30" i="7"/>
  <c r="M29" i="7"/>
  <c r="L29" i="7"/>
  <c r="M28" i="7"/>
  <c r="L28" i="7"/>
  <c r="K28" i="7"/>
  <c r="M27" i="7"/>
  <c r="L27" i="7"/>
  <c r="K27" i="7"/>
  <c r="E27" i="7"/>
  <c r="M26" i="7"/>
  <c r="L26" i="7"/>
  <c r="K26" i="7"/>
  <c r="E26" i="7"/>
  <c r="M25" i="7"/>
  <c r="L25" i="7"/>
  <c r="K25" i="7"/>
  <c r="E25" i="7"/>
  <c r="M24" i="7"/>
  <c r="L24" i="7"/>
  <c r="E24" i="7"/>
  <c r="M22" i="7"/>
  <c r="L22" i="7"/>
  <c r="K22" i="7"/>
  <c r="E22" i="7"/>
  <c r="M23" i="7"/>
  <c r="L23" i="7"/>
  <c r="K23" i="7"/>
  <c r="E23" i="7"/>
  <c r="M15" i="7"/>
  <c r="L15" i="7"/>
  <c r="K15" i="7"/>
  <c r="E15" i="7"/>
  <c r="M14" i="7"/>
  <c r="L14" i="7"/>
  <c r="K14" i="7"/>
  <c r="E14" i="7"/>
  <c r="M13" i="7"/>
  <c r="L13" i="7"/>
  <c r="K13" i="7"/>
  <c r="E13" i="7"/>
  <c r="M12" i="7"/>
  <c r="L12" i="7"/>
  <c r="K12" i="7"/>
  <c r="E12" i="7"/>
  <c r="M10" i="7"/>
  <c r="L10" i="7"/>
  <c r="K10" i="7"/>
  <c r="E10" i="7"/>
  <c r="M9" i="7"/>
  <c r="L9" i="7"/>
  <c r="K9" i="7"/>
  <c r="E9" i="7"/>
  <c r="M8" i="7"/>
  <c r="L8" i="7"/>
  <c r="K8" i="7"/>
  <c r="E8" i="7"/>
  <c r="M7" i="7"/>
  <c r="L7" i="7"/>
  <c r="K7" i="7"/>
  <c r="E7" i="7"/>
  <c r="M5" i="7"/>
  <c r="L5" i="7"/>
  <c r="K5" i="7"/>
  <c r="E5" i="7"/>
  <c r="S3" i="4" l="1"/>
  <c r="R3" i="4"/>
  <c r="Q32" i="3"/>
  <c r="Q34" i="3"/>
  <c r="R30" i="3"/>
  <c r="Q37" i="3"/>
  <c r="S33" i="3"/>
  <c r="R33" i="3"/>
  <c r="S35" i="3"/>
  <c r="Q30" i="3"/>
  <c r="R35" i="3"/>
  <c r="R29" i="3"/>
  <c r="S32" i="3"/>
  <c r="S36" i="3"/>
  <c r="R36" i="3"/>
  <c r="S31" i="3"/>
  <c r="R31" i="3"/>
  <c r="S37" i="3"/>
  <c r="S39" i="3"/>
  <c r="R39" i="3"/>
  <c r="S38" i="3"/>
  <c r="R38" i="3"/>
  <c r="S34" i="3"/>
  <c r="S29" i="3"/>
  <c r="G129" i="7"/>
  <c r="M129" i="7"/>
  <c r="E129" i="7"/>
  <c r="J129" i="7"/>
  <c r="M75" i="7"/>
  <c r="E121" i="7"/>
  <c r="E75" i="7"/>
  <c r="M121" i="7"/>
  <c r="G121" i="7"/>
  <c r="J121" i="7"/>
  <c r="J75" i="7"/>
  <c r="G75" i="7"/>
  <c r="M96" i="7"/>
  <c r="E96" i="7"/>
  <c r="G96" i="7"/>
  <c r="J96" i="7"/>
  <c r="J105" i="7"/>
  <c r="E105" i="7"/>
  <c r="M105" i="7"/>
  <c r="G105" i="7"/>
  <c r="J83" i="7"/>
  <c r="M83" i="7"/>
  <c r="E83" i="7"/>
  <c r="G83" i="7"/>
  <c r="M42" i="7"/>
  <c r="E42" i="7"/>
  <c r="M59" i="7"/>
  <c r="E59" i="7"/>
  <c r="G59" i="7"/>
  <c r="J59" i="7"/>
  <c r="G42" i="7"/>
  <c r="J42" i="7"/>
  <c r="I18" i="3" l="1"/>
  <c r="K18" i="3"/>
  <c r="R18" i="3" s="1"/>
  <c r="P40" i="3"/>
  <c r="O40" i="3"/>
  <c r="M40" i="3"/>
  <c r="L40" i="3"/>
  <c r="J40" i="3"/>
  <c r="H40" i="3"/>
  <c r="G40" i="3"/>
  <c r="D40" i="3"/>
  <c r="K28" i="3"/>
  <c r="R28" i="3" s="1"/>
  <c r="I28" i="3"/>
  <c r="P19" i="3"/>
  <c r="O19" i="3"/>
  <c r="M19" i="3"/>
  <c r="L19" i="3"/>
  <c r="J19" i="3"/>
  <c r="H19" i="3"/>
  <c r="G19" i="3"/>
  <c r="D19" i="3"/>
  <c r="K17" i="3"/>
  <c r="S17" i="3" s="1"/>
  <c r="I17" i="3"/>
  <c r="K16" i="3"/>
  <c r="Q16" i="3" s="1"/>
  <c r="I16" i="3"/>
  <c r="K15" i="3"/>
  <c r="Q15" i="3" s="1"/>
  <c r="I15" i="3"/>
  <c r="I6" i="4"/>
  <c r="K6" i="4"/>
  <c r="R6" i="4" s="1"/>
  <c r="O10" i="4"/>
  <c r="L10" i="4"/>
  <c r="J10" i="4"/>
  <c r="H10" i="4"/>
  <c r="G10" i="4"/>
  <c r="K7" i="4"/>
  <c r="R7" i="4" s="1"/>
  <c r="I7" i="4"/>
  <c r="K5" i="4"/>
  <c r="I5" i="4"/>
  <c r="S5" i="4" l="1"/>
  <c r="K10" i="4"/>
  <c r="S18" i="3"/>
  <c r="Q18" i="3"/>
  <c r="S6" i="4"/>
  <c r="I41" i="3"/>
  <c r="S16" i="3"/>
  <c r="R16" i="3"/>
  <c r="I21" i="3"/>
  <c r="I20" i="3"/>
  <c r="S28" i="3"/>
  <c r="I42" i="3"/>
  <c r="Q28" i="3"/>
  <c r="K40" i="3"/>
  <c r="R15" i="3"/>
  <c r="Q17" i="3"/>
  <c r="S15" i="3"/>
  <c r="R17" i="3"/>
  <c r="K19" i="3"/>
  <c r="Q6" i="4"/>
  <c r="S7" i="4"/>
  <c r="I11" i="4"/>
  <c r="I12" i="4"/>
  <c r="Q5" i="4"/>
  <c r="R5" i="4"/>
  <c r="Q7" i="4"/>
  <c r="P8" i="3"/>
  <c r="O8" i="3"/>
  <c r="M8" i="3"/>
  <c r="L8" i="3"/>
  <c r="J8" i="3"/>
  <c r="H8" i="3"/>
  <c r="G8" i="3"/>
  <c r="D8" i="3"/>
  <c r="K7" i="3"/>
  <c r="S7" i="3" s="1"/>
  <c r="I7" i="3"/>
  <c r="K6" i="3"/>
  <c r="R6" i="3" s="1"/>
  <c r="I6" i="3"/>
  <c r="K5" i="3"/>
  <c r="S5" i="3" s="1"/>
  <c r="I5" i="3"/>
  <c r="K4" i="3"/>
  <c r="R4" i="3" s="1"/>
  <c r="I4" i="3"/>
  <c r="K3" i="3"/>
  <c r="Q3" i="3" s="1"/>
  <c r="I3" i="3"/>
  <c r="I2" i="2"/>
  <c r="I80" i="2" s="1"/>
  <c r="K2" i="2"/>
  <c r="Q2" i="2" s="1"/>
  <c r="I4" i="2"/>
  <c r="K4" i="2"/>
  <c r="S4" i="2" s="1"/>
  <c r="Q4" i="2"/>
  <c r="R4" i="2"/>
  <c r="I19" i="2"/>
  <c r="K19" i="2"/>
  <c r="Q19" i="2" s="1"/>
  <c r="R19" i="2"/>
  <c r="S19" i="2"/>
  <c r="I60" i="2"/>
  <c r="K60" i="2"/>
  <c r="Q60" i="2"/>
  <c r="R60" i="2"/>
  <c r="S60" i="2"/>
  <c r="I14" i="2"/>
  <c r="K14" i="2"/>
  <c r="S14" i="2" s="1"/>
  <c r="I15" i="2"/>
  <c r="K15" i="2"/>
  <c r="R15" i="2" s="1"/>
  <c r="I76" i="2"/>
  <c r="K76" i="2"/>
  <c r="S76" i="2" s="1"/>
  <c r="I52" i="2"/>
  <c r="K52" i="2"/>
  <c r="S52" i="2" s="1"/>
  <c r="Q52" i="2"/>
  <c r="R52" i="2"/>
  <c r="I20" i="2"/>
  <c r="K20" i="2"/>
  <c r="Q20" i="2" s="1"/>
  <c r="R20" i="2"/>
  <c r="S20" i="2"/>
  <c r="I59" i="2"/>
  <c r="K59" i="2"/>
  <c r="Q59" i="2"/>
  <c r="R59" i="2"/>
  <c r="S59" i="2"/>
  <c r="I62" i="2"/>
  <c r="K62" i="2"/>
  <c r="S62" i="2" s="1"/>
  <c r="I56" i="2"/>
  <c r="K56" i="2"/>
  <c r="R56" i="2" s="1"/>
  <c r="I8" i="2"/>
  <c r="K8" i="2"/>
  <c r="S8" i="2" s="1"/>
  <c r="I9" i="2"/>
  <c r="K9" i="2"/>
  <c r="S9" i="2" s="1"/>
  <c r="Q9" i="2"/>
  <c r="R9" i="2"/>
  <c r="I28" i="2"/>
  <c r="K28" i="2"/>
  <c r="Q28" i="2" s="1"/>
  <c r="R28" i="2"/>
  <c r="S28" i="2"/>
  <c r="I54" i="2"/>
  <c r="K54" i="2"/>
  <c r="Q54" i="2"/>
  <c r="R54" i="2"/>
  <c r="S54" i="2"/>
  <c r="I18" i="2"/>
  <c r="K18" i="2"/>
  <c r="S18" i="2" s="1"/>
  <c r="I72" i="2"/>
  <c r="K72" i="2"/>
  <c r="R72" i="2" s="1"/>
  <c r="I66" i="2"/>
  <c r="K66" i="2"/>
  <c r="S66" i="2" s="1"/>
  <c r="I45" i="2"/>
  <c r="K45" i="2"/>
  <c r="S45" i="2" s="1"/>
  <c r="Q45" i="2"/>
  <c r="R45" i="2"/>
  <c r="I38" i="2"/>
  <c r="K38" i="2"/>
  <c r="Q38" i="2" s="1"/>
  <c r="R38" i="2"/>
  <c r="S38" i="2"/>
  <c r="I31" i="2"/>
  <c r="K31" i="2"/>
  <c r="Q31" i="2"/>
  <c r="R31" i="2"/>
  <c r="S31" i="2"/>
  <c r="I42" i="2"/>
  <c r="K42" i="2"/>
  <c r="S42" i="2" s="1"/>
  <c r="I64" i="2"/>
  <c r="K64" i="2"/>
  <c r="R64" i="2" s="1"/>
  <c r="I67" i="2"/>
  <c r="K67" i="2"/>
  <c r="S67" i="2" s="1"/>
  <c r="I68" i="2"/>
  <c r="K68" i="2"/>
  <c r="S68" i="2" s="1"/>
  <c r="Q68" i="2"/>
  <c r="R68" i="2"/>
  <c r="I35" i="2"/>
  <c r="K35" i="2"/>
  <c r="Q35" i="2" s="1"/>
  <c r="R35" i="2"/>
  <c r="S35" i="2"/>
  <c r="I21" i="2"/>
  <c r="K21" i="2"/>
  <c r="Q21" i="2"/>
  <c r="R21" i="2"/>
  <c r="S21" i="2"/>
  <c r="I71" i="2"/>
  <c r="K71" i="2"/>
  <c r="S71" i="2" s="1"/>
  <c r="I6" i="2"/>
  <c r="K6" i="2"/>
  <c r="R6" i="2" s="1"/>
  <c r="I40" i="2"/>
  <c r="K40" i="2"/>
  <c r="S40" i="2" s="1"/>
  <c r="I55" i="2"/>
  <c r="K55" i="2"/>
  <c r="S55" i="2" s="1"/>
  <c r="Q55" i="2"/>
  <c r="R55" i="2"/>
  <c r="I63" i="2"/>
  <c r="K63" i="2"/>
  <c r="Q63" i="2" s="1"/>
  <c r="R63" i="2"/>
  <c r="S63" i="2"/>
  <c r="I3" i="2"/>
  <c r="K3" i="2"/>
  <c r="Q3" i="2"/>
  <c r="R3" i="2"/>
  <c r="S3" i="2"/>
  <c r="I29" i="2"/>
  <c r="K29" i="2"/>
  <c r="S29" i="2" s="1"/>
  <c r="I30" i="2"/>
  <c r="K30" i="2"/>
  <c r="R30" i="2" s="1"/>
  <c r="I7" i="2"/>
  <c r="K7" i="2"/>
  <c r="S7" i="2" s="1"/>
  <c r="I25" i="2"/>
  <c r="K25" i="2"/>
  <c r="S25" i="2" s="1"/>
  <c r="Q25" i="2"/>
  <c r="R25" i="2"/>
  <c r="I44" i="2"/>
  <c r="K44" i="2"/>
  <c r="Q44" i="2" s="1"/>
  <c r="R44" i="2"/>
  <c r="S44" i="2"/>
  <c r="I32" i="2"/>
  <c r="K32" i="2"/>
  <c r="Q32" i="2"/>
  <c r="R32" i="2"/>
  <c r="S32" i="2"/>
  <c r="I58" i="2"/>
  <c r="K58" i="2"/>
  <c r="S58" i="2" s="1"/>
  <c r="I47" i="2"/>
  <c r="K47" i="2"/>
  <c r="R47" i="2" s="1"/>
  <c r="I22" i="2"/>
  <c r="K22" i="2"/>
  <c r="S22" i="2" s="1"/>
  <c r="I73" i="2"/>
  <c r="K73" i="2"/>
  <c r="S73" i="2" s="1"/>
  <c r="Q73" i="2"/>
  <c r="R73" i="2"/>
  <c r="I69" i="2"/>
  <c r="K69" i="2"/>
  <c r="Q69" i="2" s="1"/>
  <c r="R69" i="2"/>
  <c r="S69" i="2"/>
  <c r="I65" i="2"/>
  <c r="K65" i="2"/>
  <c r="Q65" i="2"/>
  <c r="R65" i="2"/>
  <c r="S65" i="2"/>
  <c r="I74" i="2"/>
  <c r="K74" i="2"/>
  <c r="S74" i="2" s="1"/>
  <c r="I41" i="2"/>
  <c r="K41" i="2"/>
  <c r="R41" i="2" s="1"/>
  <c r="I57" i="2"/>
  <c r="K57" i="2"/>
  <c r="S57" i="2" s="1"/>
  <c r="I27" i="2"/>
  <c r="K27" i="2"/>
  <c r="S27" i="2" s="1"/>
  <c r="Q27" i="2"/>
  <c r="R27" i="2"/>
  <c r="I34" i="2"/>
  <c r="K34" i="2"/>
  <c r="Q34" i="2" s="1"/>
  <c r="R34" i="2"/>
  <c r="S34" i="2"/>
  <c r="I10" i="2"/>
  <c r="K10" i="2"/>
  <c r="Q10" i="2"/>
  <c r="R10" i="2"/>
  <c r="S10" i="2"/>
  <c r="I50" i="2"/>
  <c r="K50" i="2"/>
  <c r="S50" i="2" s="1"/>
  <c r="I16" i="2"/>
  <c r="K16" i="2"/>
  <c r="R16" i="2" s="1"/>
  <c r="I11" i="2"/>
  <c r="K11" i="2"/>
  <c r="S11" i="2" s="1"/>
  <c r="I75" i="2"/>
  <c r="K75" i="2"/>
  <c r="S75" i="2" s="1"/>
  <c r="Q75" i="2"/>
  <c r="R75" i="2"/>
  <c r="I26" i="2"/>
  <c r="K26" i="2"/>
  <c r="Q26" i="2" s="1"/>
  <c r="R26" i="2"/>
  <c r="S26" i="2"/>
  <c r="I43" i="2"/>
  <c r="K43" i="2"/>
  <c r="Q43" i="2"/>
  <c r="R43" i="2"/>
  <c r="S43" i="2"/>
  <c r="I39" i="2"/>
  <c r="K39" i="2"/>
  <c r="S39" i="2" s="1"/>
  <c r="I37" i="2"/>
  <c r="K37" i="2"/>
  <c r="R37" i="2" s="1"/>
  <c r="I23" i="2"/>
  <c r="K23" i="2"/>
  <c r="S23" i="2" s="1"/>
  <c r="I36" i="2"/>
  <c r="K36" i="2"/>
  <c r="Q36" i="2"/>
  <c r="R36" i="2"/>
  <c r="S36" i="2"/>
  <c r="I46" i="2"/>
  <c r="K46" i="2"/>
  <c r="Q46" i="2" s="1"/>
  <c r="R46" i="2"/>
  <c r="S46" i="2"/>
  <c r="I51" i="2"/>
  <c r="K51" i="2"/>
  <c r="Q51" i="2"/>
  <c r="R51" i="2"/>
  <c r="S51" i="2"/>
  <c r="I13" i="2"/>
  <c r="K13" i="2"/>
  <c r="S13" i="2" s="1"/>
  <c r="I33" i="2"/>
  <c r="K33" i="2"/>
  <c r="R33" i="2" s="1"/>
  <c r="I17" i="2"/>
  <c r="K17" i="2"/>
  <c r="S17" i="2" s="1"/>
  <c r="I61" i="2"/>
  <c r="K61" i="2"/>
  <c r="Q61" i="2"/>
  <c r="R61" i="2"/>
  <c r="S61" i="2"/>
  <c r="I53" i="2"/>
  <c r="K53" i="2"/>
  <c r="Q53" i="2" s="1"/>
  <c r="R53" i="2"/>
  <c r="S53" i="2"/>
  <c r="I49" i="2"/>
  <c r="K49" i="2"/>
  <c r="Q49" i="2"/>
  <c r="R49" i="2"/>
  <c r="S49" i="2"/>
  <c r="I12" i="2"/>
  <c r="K12" i="2"/>
  <c r="S12" i="2" s="1"/>
  <c r="I70" i="2"/>
  <c r="K70" i="2"/>
  <c r="R70" i="2" s="1"/>
  <c r="I24" i="2"/>
  <c r="K24" i="2"/>
  <c r="S24" i="2" s="1"/>
  <c r="I48" i="2"/>
  <c r="K48" i="2"/>
  <c r="Q48" i="2"/>
  <c r="R48" i="2"/>
  <c r="S48" i="2"/>
  <c r="I5" i="2"/>
  <c r="K5" i="2"/>
  <c r="Q5" i="2" s="1"/>
  <c r="R5" i="2"/>
  <c r="S5" i="2"/>
  <c r="I77" i="2"/>
  <c r="K77" i="2"/>
  <c r="Q77" i="2"/>
  <c r="R77" i="2"/>
  <c r="S77" i="2"/>
  <c r="D78" i="2"/>
  <c r="G78" i="2"/>
  <c r="I79" i="2" s="1"/>
  <c r="H78" i="2"/>
  <c r="J78" i="2"/>
  <c r="L78" i="2"/>
  <c r="M78" i="2"/>
  <c r="O78" i="2"/>
  <c r="P78" i="2"/>
  <c r="R24" i="2" l="1"/>
  <c r="R17" i="2"/>
  <c r="R23" i="2"/>
  <c r="R11" i="2"/>
  <c r="R57" i="2"/>
  <c r="R22" i="2"/>
  <c r="R7" i="2"/>
  <c r="R40" i="2"/>
  <c r="R67" i="2"/>
  <c r="R66" i="2"/>
  <c r="R8" i="2"/>
  <c r="R76" i="2"/>
  <c r="R2" i="2"/>
  <c r="Q24" i="2"/>
  <c r="Q17" i="2"/>
  <c r="Q23" i="2"/>
  <c r="Q11" i="2"/>
  <c r="Q57" i="2"/>
  <c r="Q22" i="2"/>
  <c r="Q7" i="2"/>
  <c r="Q40" i="2"/>
  <c r="Q67" i="2"/>
  <c r="Q66" i="2"/>
  <c r="Q8" i="2"/>
  <c r="Q76" i="2"/>
  <c r="K78" i="2"/>
  <c r="M80" i="2" s="1"/>
  <c r="Q70" i="2"/>
  <c r="Q33" i="2"/>
  <c r="Q37" i="2"/>
  <c r="Q16" i="2"/>
  <c r="Q41" i="2"/>
  <c r="Q47" i="2"/>
  <c r="Q30" i="2"/>
  <c r="Q6" i="2"/>
  <c r="Q64" i="2"/>
  <c r="Q72" i="2"/>
  <c r="Q56" i="2"/>
  <c r="Q15" i="2"/>
  <c r="S42" i="3"/>
  <c r="P42" i="3"/>
  <c r="M42" i="3"/>
  <c r="P21" i="3"/>
  <c r="M21" i="3"/>
  <c r="S21" i="3"/>
  <c r="I9" i="3"/>
  <c r="I10" i="3"/>
  <c r="Q4" i="3"/>
  <c r="S4" i="3"/>
  <c r="R3" i="3"/>
  <c r="R7" i="3"/>
  <c r="Q7" i="3"/>
  <c r="S3" i="3"/>
  <c r="S6" i="3"/>
  <c r="Q5" i="3"/>
  <c r="K8" i="3"/>
  <c r="R5" i="3"/>
  <c r="Q6" i="3"/>
  <c r="S70" i="2"/>
  <c r="R12" i="2"/>
  <c r="S33" i="2"/>
  <c r="R13" i="2"/>
  <c r="S37" i="2"/>
  <c r="R39" i="2"/>
  <c r="S16" i="2"/>
  <c r="R50" i="2"/>
  <c r="S41" i="2"/>
  <c r="R74" i="2"/>
  <c r="S47" i="2"/>
  <c r="R58" i="2"/>
  <c r="S30" i="2"/>
  <c r="R29" i="2"/>
  <c r="S6" i="2"/>
  <c r="R71" i="2"/>
  <c r="S64" i="2"/>
  <c r="R42" i="2"/>
  <c r="S72" i="2"/>
  <c r="R18" i="2"/>
  <c r="S56" i="2"/>
  <c r="R62" i="2"/>
  <c r="S15" i="2"/>
  <c r="R14" i="2"/>
  <c r="Q12" i="2"/>
  <c r="Q13" i="2"/>
  <c r="Q39" i="2"/>
  <c r="Q50" i="2"/>
  <c r="Q74" i="2"/>
  <c r="Q58" i="2"/>
  <c r="Q29" i="2"/>
  <c r="Q71" i="2"/>
  <c r="Q42" i="2"/>
  <c r="Q18" i="2"/>
  <c r="Q62" i="2"/>
  <c r="Q14" i="2"/>
  <c r="S2" i="2"/>
  <c r="P80" i="2" l="1"/>
  <c r="S80" i="2"/>
  <c r="S10" i="3"/>
  <c r="P10" i="3"/>
  <c r="M10" i="3"/>
  <c r="E17" i="7"/>
  <c r="E18" i="7" s="1"/>
  <c r="G18" i="7"/>
  <c r="J18" i="7"/>
  <c r="M18" i="7"/>
</calcChain>
</file>

<file path=xl/sharedStrings.xml><?xml version="1.0" encoding="utf-8"?>
<sst xmlns="http://schemas.openxmlformats.org/spreadsheetml/2006/main" count="1406" uniqueCount="360">
  <si>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</si>
  <si>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</si>
  <si>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</si>
  <si>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</si>
  <si>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</si>
  <si>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</si>
  <si>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</si>
  <si>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</si>
  <si>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</si>
  <si>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</si>
  <si>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Residual</t>
  </si>
  <si>
    <t>Est. Land Value</t>
  </si>
  <si>
    <t>Effec. Front</t>
  </si>
  <si>
    <t>Depth</t>
  </si>
  <si>
    <t>Net Acres</t>
  </si>
  <si>
    <t>Total Acres</t>
  </si>
  <si>
    <t>Dollars/FF</t>
  </si>
  <si>
    <t>Dollars/Acre</t>
  </si>
  <si>
    <t>Dollars/SqFt</t>
  </si>
  <si>
    <t>Actual Front</t>
  </si>
  <si>
    <t>ECF Area</t>
  </si>
  <si>
    <t>Liber/Page</t>
  </si>
  <si>
    <t>Other Parcels in Sale</t>
  </si>
  <si>
    <t>Land Table</t>
  </si>
  <si>
    <t>Gravel</t>
  </si>
  <si>
    <t>Paved</t>
  </si>
  <si>
    <t>Inspected Date</t>
  </si>
  <si>
    <t>Use Code</t>
  </si>
  <si>
    <t>Class</t>
  </si>
  <si>
    <t>Rate Group 1</t>
  </si>
  <si>
    <t>Rate Group 2</t>
  </si>
  <si>
    <t>Rate Group 3</t>
  </si>
  <si>
    <t>10-050-00-025-00</t>
  </si>
  <si>
    <t>800 S MITCHELL ST</t>
  </si>
  <si>
    <t>OTH</t>
  </si>
  <si>
    <t>19-MULTI PARCEL ARM'S LENGTH</t>
  </si>
  <si>
    <t>DEFLT</t>
  </si>
  <si>
    <t>691/2379</t>
  </si>
  <si>
    <t>10-087-00-004-00</t>
  </si>
  <si>
    <t>CITY COMMERCIAL PARCELS</t>
  </si>
  <si>
    <t>NOT INSPECTED</t>
  </si>
  <si>
    <t>201</t>
  </si>
  <si>
    <t>MAIN ST</t>
  </si>
  <si>
    <t>10-051-00-136-01</t>
  </si>
  <si>
    <t>320 PEARL ST</t>
  </si>
  <si>
    <t>WD</t>
  </si>
  <si>
    <t>03-ARM'S LENGTH</t>
  </si>
  <si>
    <t>694/436</t>
  </si>
  <si>
    <t>RENTAL HOUSES</t>
  </si>
  <si>
    <t>10-059-00-006-00</t>
  </si>
  <si>
    <t>124 SPRUCE ST</t>
  </si>
  <si>
    <t>CD</t>
  </si>
  <si>
    <t>693/1067</t>
  </si>
  <si>
    <t>10-066-00-024-00</t>
  </si>
  <si>
    <t>2310 NORTH BLVD</t>
  </si>
  <si>
    <t>MLC</t>
  </si>
  <si>
    <t>2</t>
  </si>
  <si>
    <t>694/1723</t>
  </si>
  <si>
    <t>LOW RATE</t>
  </si>
  <si>
    <t>691/793</t>
  </si>
  <si>
    <t>10-083-00-046-00</t>
  </si>
  <si>
    <t>1011 S MITCHELL ST</t>
  </si>
  <si>
    <t>692/825</t>
  </si>
  <si>
    <t>10-084-00-052-02</t>
  </si>
  <si>
    <t>1110 N MITCHELL ST</t>
  </si>
  <si>
    <t>692/2366</t>
  </si>
  <si>
    <t>10-084-00-063-00</t>
  </si>
  <si>
    <t>1129 N MITCHELL ST</t>
  </si>
  <si>
    <t>694/1413</t>
  </si>
  <si>
    <t>10-084-00-065-00</t>
  </si>
  <si>
    <t>DEFAULT</t>
  </si>
  <si>
    <t>10-086-00-097-00</t>
  </si>
  <si>
    <t>627 N MITCHELL ST</t>
  </si>
  <si>
    <t>690/2136</t>
  </si>
  <si>
    <t>10-086-00-129-00</t>
  </si>
  <si>
    <t>300 N LAKE ST</t>
  </si>
  <si>
    <t>691/1652</t>
  </si>
  <si>
    <t>SIDE STREET</t>
  </si>
  <si>
    <t>10-086-00-150-00</t>
  </si>
  <si>
    <t>214 N MITCHELL ST</t>
  </si>
  <si>
    <t>694/1268</t>
  </si>
  <si>
    <t>10-086-00-149-00</t>
  </si>
  <si>
    <t>10-086-00-152-00</t>
  </si>
  <si>
    <t>222 N MITCHELL ST</t>
  </si>
  <si>
    <t>693/813</t>
  </si>
  <si>
    <t>CENTERTOWN</t>
  </si>
  <si>
    <t>10-086-00-163-00</t>
  </si>
  <si>
    <t>101 E HARRIS ST</t>
  </si>
  <si>
    <t>693/1273</t>
  </si>
  <si>
    <t>10-086-00-172-00</t>
  </si>
  <si>
    <t>10-086-00-181-02</t>
  </si>
  <si>
    <t>105 S MITCHELL ST</t>
  </si>
  <si>
    <t>691/2628</t>
  </si>
  <si>
    <t>10-086-00-181-00, 10-086-00-181-01</t>
  </si>
  <si>
    <t>10-086-00-279-00</t>
  </si>
  <si>
    <t>209 S SHELBY ST</t>
  </si>
  <si>
    <t>693/2572</t>
  </si>
  <si>
    <t>10-086-00-538-00</t>
  </si>
  <si>
    <t>121 W CHAPIN ST</t>
  </si>
  <si>
    <t>690/1874</t>
  </si>
  <si>
    <t>10-087-00-003-00</t>
  </si>
  <si>
    <t>820 S MITCHELL ST</t>
  </si>
  <si>
    <t>5</t>
  </si>
  <si>
    <t>692/1644</t>
  </si>
  <si>
    <t>10-100-00-021-00</t>
  </si>
  <si>
    <t>927 S CARMEL ST</t>
  </si>
  <si>
    <t>693/1062</t>
  </si>
  <si>
    <t>10-104-00-020-00</t>
  </si>
  <si>
    <t>6080 E M-55 HWY</t>
  </si>
  <si>
    <t>691/1032</t>
  </si>
  <si>
    <t>10-104-00-016-00</t>
  </si>
  <si>
    <t>M-55 &amp; M-115</t>
  </si>
  <si>
    <t>10-104-00-035-00</t>
  </si>
  <si>
    <t>2722 SUNNYSIDE DR</t>
  </si>
  <si>
    <t>694/1859</t>
  </si>
  <si>
    <t>10-104-00-061-00</t>
  </si>
  <si>
    <t>6101 E M-115 HWY</t>
  </si>
  <si>
    <t>691/1941</t>
  </si>
  <si>
    <t>10-104-00-065-00</t>
  </si>
  <si>
    <t>001</t>
  </si>
  <si>
    <t>10-106-00-005-03</t>
  </si>
  <si>
    <t>690/1384</t>
  </si>
  <si>
    <t>202</t>
  </si>
  <si>
    <t>10-107-00-002-01</t>
  </si>
  <si>
    <t>1745 S MITCHELL ST</t>
  </si>
  <si>
    <t>694/2581</t>
  </si>
  <si>
    <t>2109-09-1402</t>
  </si>
  <si>
    <t>7296 S US 131 HWY</t>
  </si>
  <si>
    <t>691/741</t>
  </si>
  <si>
    <t>2109-09-1403</t>
  </si>
  <si>
    <t>CLAM LAKE, CHERRY GROVE AND SELMA</t>
  </si>
  <si>
    <t>M-115 &amp; M-55</t>
  </si>
  <si>
    <t>2109-09-4402-03</t>
  </si>
  <si>
    <t>LC</t>
  </si>
  <si>
    <t>691/2158</t>
  </si>
  <si>
    <t>2109-09-4402-01, 2109-09-4402-02</t>
  </si>
  <si>
    <t>2109-09-4406</t>
  </si>
  <si>
    <t>7800 S US 131 HWY</t>
  </si>
  <si>
    <t>691/2150</t>
  </si>
  <si>
    <t>2109-09-4407, 2109-09-4408</t>
  </si>
  <si>
    <t>2109-10-2101-01</t>
  </si>
  <si>
    <t>32-SPLIT VACANT</t>
  </si>
  <si>
    <t/>
  </si>
  <si>
    <t>689/1090</t>
  </si>
  <si>
    <t>2109-10-3201-01</t>
  </si>
  <si>
    <t>S US 131 HWY</t>
  </si>
  <si>
    <t>694/2188</t>
  </si>
  <si>
    <t>2109-10-3202</t>
  </si>
  <si>
    <t>7555 S US 131 HWY</t>
  </si>
  <si>
    <t>692/2362</t>
  </si>
  <si>
    <t>2109-16-1208</t>
  </si>
  <si>
    <t>8072 S MACKINAW TRL</t>
  </si>
  <si>
    <t>693/2375</t>
  </si>
  <si>
    <t>2109-27-2301-02</t>
  </si>
  <si>
    <t>S 43 RD</t>
  </si>
  <si>
    <t>690/1109</t>
  </si>
  <si>
    <t>102</t>
  </si>
  <si>
    <t>2109-LKG-01</t>
  </si>
  <si>
    <t>6540 E M-115 HWY</t>
  </si>
  <si>
    <t>690/181</t>
  </si>
  <si>
    <t>2109-LKG-14</t>
  </si>
  <si>
    <t>6717 E M-115 HWY</t>
  </si>
  <si>
    <t>691/1829</t>
  </si>
  <si>
    <t>2110-12-4201</t>
  </si>
  <si>
    <t>5676 E M-55 HWY</t>
  </si>
  <si>
    <t>694/719</t>
  </si>
  <si>
    <t>2110-MPK-218</t>
  </si>
  <si>
    <t>2112-07-4402</t>
  </si>
  <si>
    <t>11198 W M-55 HWY</t>
  </si>
  <si>
    <t>6</t>
  </si>
  <si>
    <t>693/1386</t>
  </si>
  <si>
    <t>COMMERCIAL- RURAL</t>
  </si>
  <si>
    <t>2112-07-4411</t>
  </si>
  <si>
    <t>693/2778</t>
  </si>
  <si>
    <t>2112-28-1301</t>
  </si>
  <si>
    <t>9424 W 48 1/2 RD</t>
  </si>
  <si>
    <t>691/921</t>
  </si>
  <si>
    <t>2112-28-1302, 2112-28-2404</t>
  </si>
  <si>
    <t>2209-16-4202</t>
  </si>
  <si>
    <t>2745 S MACKINAW TRL</t>
  </si>
  <si>
    <t>691/1144</t>
  </si>
  <si>
    <t>ACREAGES</t>
  </si>
  <si>
    <t>2209-20-4303</t>
  </si>
  <si>
    <t>3841 WALKER AV</t>
  </si>
  <si>
    <t>690/874</t>
  </si>
  <si>
    <t>HARING COMMERCIAL</t>
  </si>
  <si>
    <t>2209-20-4306-03</t>
  </si>
  <si>
    <t>7547 E 34 RD</t>
  </si>
  <si>
    <t>690/1530</t>
  </si>
  <si>
    <t>2209-20-4311</t>
  </si>
  <si>
    <t>7603 E 34 RD</t>
  </si>
  <si>
    <t>694/350</t>
  </si>
  <si>
    <t>2209-21-3302</t>
  </si>
  <si>
    <t>E 34 RD</t>
  </si>
  <si>
    <t>693/732</t>
  </si>
  <si>
    <t>2209-21-3404</t>
  </si>
  <si>
    <t>3860 S MACKINAW TRL</t>
  </si>
  <si>
    <t>693/1633</t>
  </si>
  <si>
    <t>2209-21-4307</t>
  </si>
  <si>
    <t>8807 E 34 RD</t>
  </si>
  <si>
    <t>694/1749</t>
  </si>
  <si>
    <t>2209-22-3201-02</t>
  </si>
  <si>
    <t>9075 E 34 RD</t>
  </si>
  <si>
    <t>690/1085</t>
  </si>
  <si>
    <t>2209-28-1103-02</t>
  </si>
  <si>
    <t>707 WORKS AV</t>
  </si>
  <si>
    <t>691/2062</t>
  </si>
  <si>
    <t>2209-28-1107-02</t>
  </si>
  <si>
    <t>8866 E 34 RD</t>
  </si>
  <si>
    <t>695/461</t>
  </si>
  <si>
    <t>2209-28-1113-02</t>
  </si>
  <si>
    <t>691/2063</t>
  </si>
  <si>
    <t>2209-28-4213</t>
  </si>
  <si>
    <t>1451 HANTHORN ST</t>
  </si>
  <si>
    <t>693/2850</t>
  </si>
  <si>
    <t>2209-28-4411</t>
  </si>
  <si>
    <t>613 E 13TH ST</t>
  </si>
  <si>
    <t>689/2909</t>
  </si>
  <si>
    <t>2209-29-3405</t>
  </si>
  <si>
    <t>1120 W 13TH ST</t>
  </si>
  <si>
    <t>693/1632</t>
  </si>
  <si>
    <t>2209-29-3408</t>
  </si>
  <si>
    <t>4675 S 39 RD</t>
  </si>
  <si>
    <t>693/2289</t>
  </si>
  <si>
    <t>2209-29-4306</t>
  </si>
  <si>
    <t>1030 W 13TH ST</t>
  </si>
  <si>
    <t>693/956</t>
  </si>
  <si>
    <t>2209-31-4304</t>
  </si>
  <si>
    <t>6621 W DIVISION ST</t>
  </si>
  <si>
    <t>690/2931</t>
  </si>
  <si>
    <t>2209-34-2211</t>
  </si>
  <si>
    <t>1156 PLETT RD</t>
  </si>
  <si>
    <t>693/38</t>
  </si>
  <si>
    <t>2209-AIR-02</t>
  </si>
  <si>
    <t>3970 S MACKINAW TRL</t>
  </si>
  <si>
    <t>690/437</t>
  </si>
  <si>
    <t>2209-AIR-01, 2209-AIR-03, 2209-AIR-04</t>
  </si>
  <si>
    <t>2209-GA-0225</t>
  </si>
  <si>
    <t>165 ROBERTS ST</t>
  </si>
  <si>
    <t>691/1232</t>
  </si>
  <si>
    <t>2209-SAE-48-03</t>
  </si>
  <si>
    <t>1556 HANTHORN ST</t>
  </si>
  <si>
    <t>692/2658</t>
  </si>
  <si>
    <t>2209-SSA0209</t>
  </si>
  <si>
    <t>1493 FILMORE AV</t>
  </si>
  <si>
    <t>692/2576</t>
  </si>
  <si>
    <t>2209-WILP-06</t>
  </si>
  <si>
    <t>7110 E 34 RD</t>
  </si>
  <si>
    <t>692/1512</t>
  </si>
  <si>
    <t>2210-25-3412</t>
  </si>
  <si>
    <t>694/440</t>
  </si>
  <si>
    <t>2309-04-1101</t>
  </si>
  <si>
    <t>5902 N US 131 HWY</t>
  </si>
  <si>
    <t>690/687</t>
  </si>
  <si>
    <t>2309-15-2203</t>
  </si>
  <si>
    <t>3780 N MACKINAW TRL</t>
  </si>
  <si>
    <t>690/604</t>
  </si>
  <si>
    <t>2310-11-2203-02</t>
  </si>
  <si>
    <t>4724 N 33 RD</t>
  </si>
  <si>
    <t>691/945</t>
  </si>
  <si>
    <t>2310-33-2206</t>
  </si>
  <si>
    <t>2020 E 24 RD</t>
  </si>
  <si>
    <t>690/657</t>
  </si>
  <si>
    <t>2312M-V0715</t>
  </si>
  <si>
    <t>118 W MESICK AV</t>
  </si>
  <si>
    <t>691/2653</t>
  </si>
  <si>
    <t>2312M-V0210, 2312M-V0702, 2312M-V0703A, 2312M-V0718, 2312M-V0720</t>
  </si>
  <si>
    <t xml:space="preserve">MESICK F F </t>
  </si>
  <si>
    <t>2312M-V0802</t>
  </si>
  <si>
    <t>103 N EUGENE ST</t>
  </si>
  <si>
    <t>11-FROM LENDING INSTITUTION EXPOSED</t>
  </si>
  <si>
    <t>690/773</t>
  </si>
  <si>
    <t>2411-07-2203</t>
  </si>
  <si>
    <t>10900 N M-37 HWY</t>
  </si>
  <si>
    <t>689/2516</t>
  </si>
  <si>
    <t>2411-07-2303</t>
  </si>
  <si>
    <t>10598 N M-37 HWY</t>
  </si>
  <si>
    <t>690/2986</t>
  </si>
  <si>
    <t>2411B-VB-227</t>
  </si>
  <si>
    <t>115 W WEXFORD AV</t>
  </si>
  <si>
    <t>691/2657</t>
  </si>
  <si>
    <t>2411B-VB-235</t>
  </si>
  <si>
    <t>MN-RAL-R-22A</t>
  </si>
  <si>
    <t>305 W MAIN ST</t>
  </si>
  <si>
    <t>690/592</t>
  </si>
  <si>
    <t>MN-RAL-R-22, MN-RAL-R-24</t>
  </si>
  <si>
    <t>MN-S-MQ-G07-01</t>
  </si>
  <si>
    <t>711 S MICHIGAN AV</t>
  </si>
  <si>
    <t>691/2227</t>
  </si>
  <si>
    <t>MN-S-MQ-I01I</t>
  </si>
  <si>
    <t>809 S MICHIGAN AV</t>
  </si>
  <si>
    <t>690/862</t>
  </si>
  <si>
    <t>MN-S-MQ-I01H</t>
  </si>
  <si>
    <t>MN-S-MQ-I01K-01</t>
  </si>
  <si>
    <t>901 S MICHIGAN AV</t>
  </si>
  <si>
    <t>691/547</t>
  </si>
  <si>
    <t>MNT-03-3205</t>
  </si>
  <si>
    <t>516 N MICHIGAN AV</t>
  </si>
  <si>
    <t>692/2796</t>
  </si>
  <si>
    <t>MNT-03-3206</t>
  </si>
  <si>
    <t>MNT-04-4110</t>
  </si>
  <si>
    <t>411 N MICHIGAN AV</t>
  </si>
  <si>
    <t>691/2443</t>
  </si>
  <si>
    <t>Totals:</t>
  </si>
  <si>
    <t>Sale. Ratio =&gt;</t>
  </si>
  <si>
    <t>Average</t>
  </si>
  <si>
    <t>Std. Dev. =&gt;</t>
  </si>
  <si>
    <t>per FF=&gt;</t>
  </si>
  <si>
    <t>per Net Acre=&gt;</t>
  </si>
  <si>
    <t>per SqFt=&gt;</t>
  </si>
  <si>
    <t xml:space="preserve">Use </t>
  </si>
  <si>
    <t>Avg Commercial</t>
  </si>
  <si>
    <t>Per squ ft</t>
  </si>
  <si>
    <t>03-007-023-75</t>
  </si>
  <si>
    <t>16-010-003-35</t>
  </si>
  <si>
    <t>11-010-011-00</t>
  </si>
  <si>
    <t>11-022-034-50</t>
  </si>
  <si>
    <t>13-024-014-01</t>
  </si>
  <si>
    <t>ratio</t>
  </si>
  <si>
    <t>land value</t>
  </si>
  <si>
    <t>004-018-015-0180</t>
  </si>
  <si>
    <t>002-013-001-0065</t>
  </si>
  <si>
    <t>003-541-101-0000</t>
  </si>
  <si>
    <t>011-204-001-0130</t>
  </si>
  <si>
    <t>10 036 017 35</t>
  </si>
  <si>
    <t>009-016-021-90</t>
  </si>
  <si>
    <t>03 005 017 35</t>
  </si>
  <si>
    <t>008-005-002-0062</t>
  </si>
  <si>
    <t>011-211-003-0065</t>
  </si>
  <si>
    <t>003-006-001-87   003-006-001-86   003-005-014-98</t>
  </si>
  <si>
    <t>009-013-027-00        009-013-027-50</t>
  </si>
  <si>
    <t>011-211-011-0140</t>
  </si>
  <si>
    <t>05 001 011 10</t>
  </si>
  <si>
    <t>004-001-022-0020</t>
  </si>
  <si>
    <t>03 005 017 02</t>
  </si>
  <si>
    <t>005-007-026-85</t>
  </si>
  <si>
    <t>007-035-005-00</t>
  </si>
  <si>
    <t>06 006 010 10</t>
  </si>
  <si>
    <t>09 028 420 50</t>
  </si>
  <si>
    <t>007-011-004-00</t>
  </si>
  <si>
    <t>012-017-003-50</t>
  </si>
  <si>
    <t>015-008-001-10</t>
  </si>
  <si>
    <t>015-008-001-20</t>
  </si>
  <si>
    <t>009-023-007-00</t>
  </si>
  <si>
    <t>013-025-005-50    013-025-006-00     013-025-009-00    013-026-015-00</t>
  </si>
  <si>
    <t>014-018-008-00</t>
  </si>
  <si>
    <t>using 300</t>
  </si>
  <si>
    <t>using</t>
  </si>
  <si>
    <t>using 28000</t>
  </si>
  <si>
    <t xml:space="preserve"> Side Roads</t>
  </si>
  <si>
    <t>Mackinaw Trial, Whaley Good - M-115</t>
  </si>
  <si>
    <t>7-10 Acres</t>
  </si>
  <si>
    <t>1.60 per sq ft</t>
  </si>
  <si>
    <t>BROAD  DATE RANGE FOR SALES **</t>
  </si>
  <si>
    <t>2025 COLFAX  COMMERCIAL LAND VALUE</t>
  </si>
  <si>
    <t>INCREASING MARKET</t>
  </si>
  <si>
    <t>2409-28-4301 &amp; CMH-42D</t>
  </si>
  <si>
    <t>7230 N HWY US 131</t>
  </si>
  <si>
    <t>USE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</si>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</sst>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164" formatCode="#0.00_);[Red]\(#0.00\)"/>
    <numFmt numFmtId="165" formatCode="mm/dd/yy"/>
    <numFmt numFmtId="166" formatCode="#,##0.0_);[Red]\(#,##0.0\)"/>
    <numFmt numFmtId="167" formatCode="#0.0_);[Red]\(#0.0\)"/>
    <numFmt numFmtId="168" formatCode="&quot;$&quot;#,##0_);[Red]\(&quot;$&quot;#,##0.00\)"/>
    <numFmt numFmtId="169" formatCode="mm/dd/yy;@"/>
    <numFmt numFmtId="170" formatCode="&quot;$&quot;#,##0"/>
    <numFmt numFmtId="171" formatCode="#0.0000_);[Red]\(#0.0000\)"/>
    <numFmt numFmtId="172" formatCode="0.0000"/>
    <numFmt numFmtId="173" formatCode="#,##0.00;[Red]#,##0.00"/>
    <numFmt numFmtId="174" formatCode="0.000"/>
    <numFmt numFmtId="175" formatCode="[$-409]mmm\-yy;@"/>
    <numFmt numFmtId="176" formatCode="&quot;$&quot;#,##0.00;[Red]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quotePrefix="1"/>
    <xf numFmtId="14" fontId="0" fillId="0" borderId="0" xfId="0" applyNumberFormat="1"/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right"/>
    </xf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/>
    <xf numFmtId="167" fontId="2" fillId="3" borderId="2" xfId="0" applyNumberFormat="1" applyFont="1" applyFill="1" applyBorder="1"/>
    <xf numFmtId="40" fontId="1" fillId="2" borderId="0" xfId="0" applyNumberFormat="1" applyFont="1" applyFill="1" applyAlignment="1">
      <alignment horizontal="center"/>
    </xf>
    <xf numFmtId="40" fontId="0" fillId="0" borderId="0" xfId="0" applyNumberFormat="1"/>
    <xf numFmtId="40" fontId="2" fillId="3" borderId="1" xfId="0" applyNumberFormat="1" applyFont="1" applyFill="1" applyBorder="1"/>
    <xf numFmtId="40" fontId="2" fillId="3" borderId="0" xfId="0" applyNumberFormat="1" applyFont="1" applyFill="1"/>
    <xf numFmtId="40" fontId="2" fillId="3" borderId="2" xfId="0" applyNumberFormat="1" applyFont="1" applyFill="1" applyBorder="1"/>
    <xf numFmtId="8" fontId="1" fillId="2" borderId="0" xfId="0" applyNumberFormat="1" applyFont="1" applyFill="1" applyAlignment="1">
      <alignment horizontal="center"/>
    </xf>
    <xf numFmtId="8" fontId="0" fillId="0" borderId="0" xfId="0" applyNumberFormat="1"/>
    <xf numFmtId="8" fontId="2" fillId="3" borderId="1" xfId="0" applyNumberFormat="1" applyFont="1" applyFill="1" applyBorder="1"/>
    <xf numFmtId="8" fontId="2" fillId="3" borderId="0" xfId="0" applyNumberFormat="1" applyFont="1" applyFill="1"/>
    <xf numFmtId="8" fontId="2" fillId="3" borderId="2" xfId="0" applyNumberFormat="1" applyFont="1" applyFill="1" applyBorder="1"/>
    <xf numFmtId="168" fontId="2" fillId="3" borderId="2" xfId="0" applyNumberFormat="1" applyFont="1" applyFill="1" applyBorder="1"/>
    <xf numFmtId="6" fontId="0" fillId="4" borderId="0" xfId="0" applyNumberFormat="1" applyFill="1"/>
    <xf numFmtId="166" fontId="0" fillId="4" borderId="0" xfId="0" applyNumberFormat="1" applyFill="1"/>
    <xf numFmtId="167" fontId="0" fillId="4" borderId="0" xfId="0" applyNumberFormat="1" applyFill="1"/>
    <xf numFmtId="8" fontId="0" fillId="4" borderId="0" xfId="0" applyNumberFormat="1" applyFill="1"/>
    <xf numFmtId="40" fontId="0" fillId="4" borderId="0" xfId="0" applyNumberFormat="1" applyFill="1"/>
    <xf numFmtId="0" fontId="5" fillId="5" borderId="0" xfId="0" applyFont="1" applyFill="1" applyAlignment="1">
      <alignment horizontal="center"/>
    </xf>
    <xf numFmtId="165" fontId="5" fillId="5" borderId="0" xfId="0" applyNumberFormat="1" applyFont="1" applyFill="1" applyAlignment="1">
      <alignment horizontal="center"/>
    </xf>
    <xf numFmtId="6" fontId="5" fillId="5" borderId="0" xfId="0" applyNumberFormat="1" applyFont="1" applyFill="1" applyAlignment="1">
      <alignment horizontal="center"/>
    </xf>
    <xf numFmtId="0" fontId="6" fillId="5" borderId="0" xfId="0" applyFont="1" applyFill="1"/>
    <xf numFmtId="164" fontId="5" fillId="5" borderId="0" xfId="0" applyNumberFormat="1" applyFont="1" applyFill="1" applyAlignment="1">
      <alignment horizontal="center"/>
    </xf>
    <xf numFmtId="166" fontId="5" fillId="5" borderId="0" xfId="0" applyNumberFormat="1" applyFont="1" applyFill="1" applyAlignment="1">
      <alignment horizontal="center"/>
    </xf>
    <xf numFmtId="167" fontId="5" fillId="5" borderId="0" xfId="0" applyNumberFormat="1" applyFont="1" applyFill="1" applyAlignment="1">
      <alignment horizontal="center"/>
    </xf>
    <xf numFmtId="40" fontId="5" fillId="5" borderId="0" xfId="0" applyNumberFormat="1" applyFont="1" applyFill="1" applyAlignment="1">
      <alignment horizontal="center"/>
    </xf>
    <xf numFmtId="8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0" fontId="0" fillId="0" borderId="0" xfId="0" applyNumberFormat="1" applyAlignment="1">
      <alignment vertical="center"/>
    </xf>
    <xf numFmtId="174" fontId="0" fillId="0" borderId="0" xfId="0" applyNumberFormat="1" applyAlignment="1">
      <alignment vertical="center"/>
    </xf>
    <xf numFmtId="17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166" fontId="0" fillId="0" borderId="4" xfId="0" applyNumberFormat="1" applyBorder="1"/>
    <xf numFmtId="40" fontId="0" fillId="0" borderId="4" xfId="0" applyNumberFormat="1" applyBorder="1"/>
    <xf numFmtId="169" fontId="0" fillId="0" borderId="4" xfId="0" applyNumberFormat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2" fontId="0" fillId="0" borderId="4" xfId="0" applyNumberFormat="1" applyBorder="1" applyAlignment="1">
      <alignment horizontal="center" vertical="center"/>
    </xf>
    <xf numFmtId="6" fontId="0" fillId="0" borderId="4" xfId="0" applyNumberFormat="1" applyBorder="1" applyAlignment="1">
      <alignment horizontal="center" vertical="center"/>
    </xf>
    <xf numFmtId="0" fontId="5" fillId="5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17" fontId="0" fillId="0" borderId="0" xfId="0" applyNumberForma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17" fontId="0" fillId="0" borderId="0" xfId="0" applyNumberFormat="1" applyAlignment="1">
      <alignment horizontal="center"/>
    </xf>
    <xf numFmtId="175" fontId="6" fillId="0" borderId="0" xfId="0" applyNumberFormat="1" applyFont="1" applyAlignment="1">
      <alignment horizontal="center" vertical="center"/>
    </xf>
    <xf numFmtId="175" fontId="6" fillId="0" borderId="4" xfId="0" applyNumberFormat="1" applyFont="1" applyBorder="1" applyAlignment="1">
      <alignment horizontal="center" vertical="center"/>
    </xf>
    <xf numFmtId="17" fontId="0" fillId="0" borderId="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170" fontId="0" fillId="0" borderId="0" xfId="0" applyNumberFormat="1" applyAlignment="1">
      <alignment horizontal="center" vertical="center"/>
    </xf>
    <xf numFmtId="170" fontId="6" fillId="0" borderId="0" xfId="0" applyNumberFormat="1" applyFont="1" applyAlignment="1">
      <alignment horizontal="center" vertical="center"/>
    </xf>
    <xf numFmtId="170" fontId="0" fillId="0" borderId="0" xfId="0" applyNumberFormat="1" applyAlignment="1">
      <alignment horizontal="center"/>
    </xf>
    <xf numFmtId="170" fontId="0" fillId="0" borderId="4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6" fontId="0" fillId="0" borderId="0" xfId="0" applyNumberFormat="1" applyAlignment="1">
      <alignment horizontal="center"/>
    </xf>
    <xf numFmtId="6" fontId="2" fillId="3" borderId="1" xfId="0" applyNumberFormat="1" applyFont="1" applyFill="1" applyBorder="1" applyAlignment="1">
      <alignment horizontal="center"/>
    </xf>
    <xf numFmtId="6" fontId="2" fillId="3" borderId="0" xfId="0" applyNumberFormat="1" applyFont="1" applyFill="1" applyAlignment="1">
      <alignment horizontal="center"/>
    </xf>
    <xf numFmtId="6" fontId="2" fillId="3" borderId="2" xfId="0" applyNumberFormat="1" applyFont="1" applyFill="1" applyBorder="1" applyAlignment="1">
      <alignment horizontal="center"/>
    </xf>
    <xf numFmtId="172" fontId="6" fillId="0" borderId="0" xfId="0" applyNumberFormat="1" applyFont="1" applyAlignment="1">
      <alignment horizontal="center" vertical="center"/>
    </xf>
    <xf numFmtId="172" fontId="6" fillId="0" borderId="4" xfId="0" applyNumberFormat="1" applyFont="1" applyBorder="1" applyAlignment="1">
      <alignment horizontal="center" vertical="center"/>
    </xf>
    <xf numFmtId="171" fontId="0" fillId="0" borderId="4" xfId="0" applyNumberFormat="1" applyBorder="1" applyAlignment="1">
      <alignment horizontal="center"/>
    </xf>
    <xf numFmtId="171" fontId="0" fillId="0" borderId="0" xfId="0" applyNumberFormat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40" fontId="2" fillId="3" borderId="1" xfId="0" applyNumberFormat="1" applyFont="1" applyFill="1" applyBorder="1" applyAlignment="1">
      <alignment horizontal="center"/>
    </xf>
    <xf numFmtId="40" fontId="2" fillId="3" borderId="0" xfId="0" applyNumberFormat="1" applyFont="1" applyFill="1" applyAlignment="1">
      <alignment horizontal="center"/>
    </xf>
    <xf numFmtId="40" fontId="2" fillId="3" borderId="2" xfId="0" applyNumberFormat="1" applyFont="1" applyFill="1" applyBorder="1" applyAlignment="1">
      <alignment horizontal="center"/>
    </xf>
    <xf numFmtId="8" fontId="0" fillId="0" borderId="0" xfId="0" applyNumberFormat="1" applyAlignment="1">
      <alignment horizontal="center"/>
    </xf>
    <xf numFmtId="8" fontId="2" fillId="3" borderId="1" xfId="0" applyNumberFormat="1" applyFont="1" applyFill="1" applyBorder="1" applyAlignment="1">
      <alignment horizontal="center"/>
    </xf>
    <xf numFmtId="8" fontId="2" fillId="3" borderId="0" xfId="0" applyNumberFormat="1" applyFont="1" applyFill="1" applyAlignment="1">
      <alignment horizontal="center"/>
    </xf>
    <xf numFmtId="8" fontId="2" fillId="3" borderId="2" xfId="0" applyNumberFormat="1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169" fontId="0" fillId="0" borderId="0" xfId="0" applyNumberFormat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6" fontId="0" fillId="0" borderId="7" xfId="0" applyNumberForma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171" fontId="0" fillId="0" borderId="7" xfId="0" applyNumberFormat="1" applyBorder="1" applyAlignment="1">
      <alignment horizontal="center"/>
    </xf>
    <xf numFmtId="171" fontId="0" fillId="0" borderId="8" xfId="0" applyNumberFormat="1" applyBorder="1" applyAlignment="1">
      <alignment horizontal="center"/>
    </xf>
    <xf numFmtId="6" fontId="0" fillId="0" borderId="0" xfId="0" applyNumberFormat="1" applyAlignment="1">
      <alignment horizontal="center" vertical="center"/>
    </xf>
    <xf numFmtId="6" fontId="4" fillId="0" borderId="0" xfId="0" applyNumberFormat="1" applyFont="1" applyAlignment="1">
      <alignment horizontal="center" vertical="center"/>
    </xf>
    <xf numFmtId="40" fontId="0" fillId="0" borderId="8" xfId="0" applyNumberFormat="1" applyBorder="1"/>
    <xf numFmtId="40" fontId="4" fillId="0" borderId="0" xfId="0" applyNumberFormat="1" applyFont="1" applyAlignment="1">
      <alignment horizontal="center"/>
    </xf>
    <xf numFmtId="40" fontId="4" fillId="0" borderId="4" xfId="0" applyNumberFormat="1" applyFont="1" applyBorder="1" applyAlignment="1">
      <alignment horizontal="center"/>
    </xf>
    <xf numFmtId="40" fontId="4" fillId="0" borderId="8" xfId="0" applyNumberFormat="1" applyFont="1" applyBorder="1" applyAlignment="1">
      <alignment horizontal="center"/>
    </xf>
    <xf numFmtId="40" fontId="4" fillId="0" borderId="7" xfId="0" applyNumberFormat="1" applyFont="1" applyBorder="1" applyAlignment="1">
      <alignment horizontal="center"/>
    </xf>
    <xf numFmtId="173" fontId="4" fillId="0" borderId="4" xfId="0" applyNumberFormat="1" applyFont="1" applyBorder="1" applyAlignment="1">
      <alignment horizontal="center" vertical="center"/>
    </xf>
    <xf numFmtId="173" fontId="5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73" fontId="5" fillId="0" borderId="0" xfId="0" applyNumberFormat="1" applyFont="1" applyAlignment="1">
      <alignment horizontal="center" vertical="center"/>
    </xf>
    <xf numFmtId="173" fontId="4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75" fontId="5" fillId="0" borderId="4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>
      <alignment horizontal="center"/>
    </xf>
    <xf numFmtId="172" fontId="5" fillId="0" borderId="4" xfId="0" applyNumberFormat="1" applyFont="1" applyBorder="1" applyAlignment="1">
      <alignment horizontal="center" vertical="center"/>
    </xf>
    <xf numFmtId="170" fontId="4" fillId="0" borderId="4" xfId="0" applyNumberFormat="1" applyFont="1" applyBorder="1" applyAlignment="1">
      <alignment horizontal="center" vertical="center"/>
    </xf>
    <xf numFmtId="167" fontId="4" fillId="0" borderId="0" xfId="0" applyNumberFormat="1" applyFont="1"/>
    <xf numFmtId="174" fontId="4" fillId="0" borderId="0" xfId="0" applyNumberFormat="1" applyFont="1" applyAlignment="1">
      <alignment vertical="center"/>
    </xf>
    <xf numFmtId="6" fontId="4" fillId="0" borderId="0" xfId="0" applyNumberFormat="1" applyFont="1" applyAlignment="1">
      <alignment horizontal="center"/>
    </xf>
    <xf numFmtId="8" fontId="4" fillId="0" borderId="0" xfId="0" applyNumberFormat="1" applyFont="1" applyAlignment="1">
      <alignment horizontal="center"/>
    </xf>
    <xf numFmtId="0" fontId="4" fillId="0" borderId="0" xfId="0" applyFont="1"/>
    <xf numFmtId="17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17" fontId="4" fillId="0" borderId="0" xfId="0" applyNumberFormat="1" applyFont="1" applyAlignment="1">
      <alignment horizontal="center" vertical="center"/>
    </xf>
    <xf numFmtId="170" fontId="5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vertical="center"/>
    </xf>
    <xf numFmtId="172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170" fontId="5" fillId="0" borderId="0" xfId="0" applyNumberFormat="1" applyFont="1" applyAlignment="1">
      <alignment vertical="center"/>
    </xf>
    <xf numFmtId="17" fontId="4" fillId="0" borderId="0" xfId="0" applyNumberFormat="1" applyFont="1" applyAlignment="1">
      <alignment horizontal="center"/>
    </xf>
    <xf numFmtId="170" fontId="4" fillId="0" borderId="0" xfId="0" applyNumberFormat="1" applyFont="1" applyAlignment="1">
      <alignment horizontal="center"/>
    </xf>
    <xf numFmtId="175" fontId="5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5" fontId="4" fillId="0" borderId="0" xfId="0" applyNumberFormat="1" applyFont="1" applyAlignment="1">
      <alignment horizontal="center" vertical="center"/>
    </xf>
    <xf numFmtId="168" fontId="2" fillId="3" borderId="0" xfId="0" applyNumberFormat="1" applyFont="1" applyFill="1"/>
    <xf numFmtId="40" fontId="2" fillId="4" borderId="0" xfId="0" applyNumberFormat="1" applyFont="1" applyFill="1" applyAlignment="1">
      <alignment horizontal="center"/>
    </xf>
    <xf numFmtId="40" fontId="2" fillId="4" borderId="0" xfId="0" applyNumberFormat="1" applyFont="1" applyFill="1"/>
    <xf numFmtId="40" fontId="4" fillId="4" borderId="0" xfId="0" applyNumberFormat="1" applyFont="1" applyFill="1" applyAlignment="1">
      <alignment horizontal="center"/>
    </xf>
    <xf numFmtId="0" fontId="7" fillId="0" borderId="0" xfId="0" applyFont="1"/>
    <xf numFmtId="165" fontId="7" fillId="0" borderId="0" xfId="0" applyNumberFormat="1" applyFont="1"/>
    <xf numFmtId="6" fontId="7" fillId="0" borderId="0" xfId="0" applyNumberFormat="1" applyFont="1"/>
    <xf numFmtId="164" fontId="7" fillId="0" borderId="0" xfId="0" applyNumberFormat="1" applyFont="1"/>
    <xf numFmtId="166" fontId="7" fillId="0" borderId="0" xfId="0" applyNumberFormat="1" applyFont="1"/>
    <xf numFmtId="167" fontId="7" fillId="0" borderId="0" xfId="0" applyNumberFormat="1" applyFont="1"/>
    <xf numFmtId="40" fontId="7" fillId="0" borderId="0" xfId="0" applyNumberFormat="1" applyFont="1"/>
    <xf numFmtId="8" fontId="7" fillId="0" borderId="0" xfId="0" applyNumberFormat="1" applyFont="1"/>
    <xf numFmtId="0" fontId="7" fillId="0" borderId="0" xfId="0" applyFont="1" applyAlignment="1">
      <alignment horizontal="right"/>
    </xf>
    <xf numFmtId="8" fontId="4" fillId="0" borderId="10" xfId="0" applyNumberFormat="1" applyFont="1" applyBorder="1"/>
    <xf numFmtId="6" fontId="4" fillId="0" borderId="9" xfId="0" applyNumberFormat="1" applyFont="1" applyBorder="1"/>
  </cellXfs>
  <cellStyles count="2">
    <cellStyle name="Normal" xfId="0" builtinId="0"/>
    <cellStyle name="Normal 3" xfId="1" xr:uid="{8488E983-8A7A-4E92-AF01-13788BC1F616}"/>
  </cellStyles>
  <dxfs count="16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4FE2-7DEB-4712-9EC7-D3AEFE6A7982}">
  <dimension ref="A1:BL80"/>
  <sheetViews>
    <sheetView workbookViewId="0">
      <selection sqref="A1:XFD1048576"/>
    </sheetView>
  </sheetViews>
  <sheetFormatPr defaultRowHeight="14.4" x14ac:dyDescent="0.3"/>
  <cols>
    <col min="1" max="1" width="17" bestFit="1" customWidth="1"/>
    <col min="2" max="2" width="21.5546875" bestFit="1" customWidth="1"/>
    <col min="3" max="3" width="9.33203125" style="25" bestFit="1" customWidth="1"/>
    <col min="4" max="4" width="11.88671875" style="15" bestFit="1" customWidth="1"/>
    <col min="5" max="5" width="5.5546875" bestFit="1" customWidth="1"/>
    <col min="6" max="6" width="38.44140625" bestFit="1" customWidth="1"/>
    <col min="7" max="7" width="11.88671875" style="15" bestFit="1" customWidth="1"/>
    <col min="8" max="8" width="14.6640625" style="15" bestFit="1" customWidth="1"/>
    <col min="9" max="9" width="12.88671875" style="20" bestFit="1" customWidth="1"/>
    <col min="10" max="10" width="13.44140625" style="15" bestFit="1" customWidth="1"/>
    <col min="11" max="11" width="13.33203125" style="15" bestFit="1" customWidth="1"/>
    <col min="12" max="12" width="14.44140625" style="15" bestFit="1" customWidth="1"/>
    <col min="13" max="13" width="11.109375" style="30" bestFit="1" customWidth="1"/>
    <col min="14" max="14" width="7.33203125" style="34" bestFit="1" customWidth="1"/>
    <col min="15" max="15" width="14.33203125" style="39" bestFit="1" customWidth="1"/>
    <col min="16" max="16" width="10.6640625" style="39" bestFit="1" customWidth="1"/>
    <col min="17" max="17" width="10" style="15" bestFit="1" customWidth="1"/>
    <col min="18" max="18" width="12" style="15" bestFit="1" customWidth="1"/>
    <col min="19" max="19" width="11.88671875" style="44" bestFit="1" customWidth="1"/>
    <col min="20" max="20" width="11.6640625" style="39" bestFit="1" customWidth="1"/>
    <col min="21" max="21" width="8.6640625" style="4" bestFit="1" customWidth="1"/>
    <col min="22" max="22" width="10.5546875" bestFit="1" customWidth="1"/>
    <col min="23" max="23" width="66.6640625" bestFit="1" customWidth="1"/>
    <col min="24" max="24" width="36.5546875" bestFit="1" customWidth="1"/>
    <col min="25" max="25" width="6.88671875" bestFit="1" customWidth="1"/>
    <col min="26" max="26" width="6.44140625" bestFit="1" customWidth="1"/>
    <col min="27" max="27" width="15" bestFit="1" customWidth="1"/>
    <col min="28" max="28" width="15.33203125" bestFit="1" customWidth="1"/>
    <col min="29" max="29" width="5.44140625" bestFit="1" customWidth="1"/>
    <col min="30" max="30" width="13.5546875" bestFit="1" customWidth="1"/>
    <col min="31" max="32" width="12.44140625" bestFit="1" customWidth="1"/>
  </cols>
  <sheetData>
    <row r="1" spans="1:64" x14ac:dyDescent="0.3">
      <c r="A1" s="1" t="s">
        <v>0</v>
      </c>
      <c r="B1" s="1" t="s">
        <v>1</v>
      </c>
      <c r="C1" s="24" t="s">
        <v>2</v>
      </c>
      <c r="D1" s="14" t="s">
        <v>3</v>
      </c>
      <c r="E1" s="1" t="s">
        <v>4</v>
      </c>
      <c r="F1" s="1" t="s">
        <v>5</v>
      </c>
      <c r="G1" s="14" t="s">
        <v>6</v>
      </c>
      <c r="H1" s="14" t="s">
        <v>7</v>
      </c>
      <c r="I1" s="19" t="s">
        <v>8</v>
      </c>
      <c r="J1" s="14" t="s">
        <v>9</v>
      </c>
      <c r="K1" s="14" t="s">
        <v>10</v>
      </c>
      <c r="L1" s="14" t="s">
        <v>11</v>
      </c>
      <c r="M1" s="29" t="s">
        <v>12</v>
      </c>
      <c r="N1" s="33" t="s">
        <v>13</v>
      </c>
      <c r="O1" s="38" t="s">
        <v>14</v>
      </c>
      <c r="P1" s="38" t="s">
        <v>15</v>
      </c>
      <c r="Q1" s="14" t="s">
        <v>16</v>
      </c>
      <c r="R1" s="14" t="s">
        <v>17</v>
      </c>
      <c r="S1" s="43" t="s">
        <v>18</v>
      </c>
      <c r="T1" s="38" t="s">
        <v>19</v>
      </c>
      <c r="U1" s="3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3">
      <c r="A2" t="s">
        <v>32</v>
      </c>
      <c r="B2" t="s">
        <v>33</v>
      </c>
      <c r="C2" s="25">
        <v>44501</v>
      </c>
      <c r="D2" s="15">
        <v>0</v>
      </c>
      <c r="E2" t="s">
        <v>34</v>
      </c>
      <c r="F2" t="s">
        <v>35</v>
      </c>
      <c r="G2" s="15">
        <v>0</v>
      </c>
      <c r="H2" s="15">
        <v>442000</v>
      </c>
      <c r="I2" s="20" t="e">
        <f t="shared" ref="I2:I33" si="0">H2/G2*100</f>
        <v>#DIV/0!</v>
      </c>
      <c r="J2" s="15">
        <v>1141795</v>
      </c>
      <c r="K2" s="15">
        <f>G2-1042435</f>
        <v>-1042435</v>
      </c>
      <c r="L2" s="15">
        <v>99360</v>
      </c>
      <c r="M2" s="30">
        <v>344</v>
      </c>
      <c r="N2" s="34">
        <v>289</v>
      </c>
      <c r="O2" s="39">
        <v>1.1519999999999999</v>
      </c>
      <c r="P2" s="39">
        <v>0.45</v>
      </c>
      <c r="Q2" s="15">
        <f t="shared" ref="Q2:Q33" si="1">K2/M2</f>
        <v>-3030.3343023255816</v>
      </c>
      <c r="R2" s="15">
        <f t="shared" ref="R2:R33" si="2">K2/O2</f>
        <v>-904891.49305555562</v>
      </c>
      <c r="S2" s="44">
        <f t="shared" ref="S2:S33" si="3">K2/O2/43560</f>
        <v>-20.773450253800632</v>
      </c>
      <c r="T2" s="39">
        <v>344</v>
      </c>
      <c r="U2" s="5" t="s">
        <v>36</v>
      </c>
      <c r="V2" t="s">
        <v>37</v>
      </c>
      <c r="W2" t="s">
        <v>38</v>
      </c>
      <c r="X2" t="s">
        <v>39</v>
      </c>
      <c r="Y2">
        <v>0</v>
      </c>
      <c r="Z2">
        <v>0</v>
      </c>
      <c r="AA2" t="s">
        <v>40</v>
      </c>
      <c r="AC2" s="6" t="s">
        <v>41</v>
      </c>
      <c r="AD2" t="s">
        <v>42</v>
      </c>
      <c r="AL2" s="2"/>
      <c r="BC2" s="2"/>
      <c r="BE2" s="2"/>
    </row>
    <row r="3" spans="1:64" x14ac:dyDescent="0.3">
      <c r="A3" t="s">
        <v>163</v>
      </c>
      <c r="B3" t="s">
        <v>164</v>
      </c>
      <c r="C3" s="25">
        <v>44873</v>
      </c>
      <c r="D3" s="15">
        <v>1100000</v>
      </c>
      <c r="E3" t="s">
        <v>45</v>
      </c>
      <c r="F3" t="s">
        <v>35</v>
      </c>
      <c r="G3" s="15">
        <v>1100000</v>
      </c>
      <c r="H3" s="15">
        <v>864300</v>
      </c>
      <c r="I3" s="20">
        <f t="shared" si="0"/>
        <v>78.572727272727278</v>
      </c>
      <c r="J3" s="15">
        <v>1989247</v>
      </c>
      <c r="K3" s="15">
        <f>G3-1854225</f>
        <v>-754225</v>
      </c>
      <c r="L3" s="15">
        <v>135022</v>
      </c>
      <c r="M3" s="30">
        <v>308.83999999999997</v>
      </c>
      <c r="N3" s="34">
        <v>399</v>
      </c>
      <c r="O3" s="39">
        <v>10.548</v>
      </c>
      <c r="P3" s="39">
        <v>10</v>
      </c>
      <c r="Q3" s="15">
        <f t="shared" si="1"/>
        <v>-2442.1221344385444</v>
      </c>
      <c r="R3" s="15">
        <f t="shared" si="2"/>
        <v>-71504.076602199464</v>
      </c>
      <c r="S3" s="44">
        <f t="shared" si="3"/>
        <v>-1.6415077273232199</v>
      </c>
      <c r="T3" s="39">
        <v>308.83999999999997</v>
      </c>
      <c r="U3" s="5" t="s">
        <v>56</v>
      </c>
      <c r="V3" t="s">
        <v>165</v>
      </c>
      <c r="W3" t="s">
        <v>166</v>
      </c>
      <c r="X3" t="s">
        <v>130</v>
      </c>
      <c r="Y3">
        <v>0</v>
      </c>
      <c r="Z3">
        <v>1</v>
      </c>
      <c r="AA3" s="7">
        <v>43733</v>
      </c>
      <c r="AC3" s="6" t="s">
        <v>41</v>
      </c>
      <c r="AD3" t="s">
        <v>131</v>
      </c>
    </row>
    <row r="4" spans="1:64" x14ac:dyDescent="0.3">
      <c r="A4" t="s">
        <v>43</v>
      </c>
      <c r="B4" t="s">
        <v>44</v>
      </c>
      <c r="C4" s="25">
        <v>44852</v>
      </c>
      <c r="D4" s="15">
        <v>1250000</v>
      </c>
      <c r="E4" t="s">
        <v>45</v>
      </c>
      <c r="F4" t="s">
        <v>46</v>
      </c>
      <c r="G4" s="15">
        <v>1250000</v>
      </c>
      <c r="H4" s="15">
        <v>546100</v>
      </c>
      <c r="I4" s="20">
        <f t="shared" si="0"/>
        <v>43.688000000000002</v>
      </c>
      <c r="J4" s="15">
        <v>1445864</v>
      </c>
      <c r="K4" s="15">
        <f>G4-1374543</f>
        <v>-124543</v>
      </c>
      <c r="L4" s="15">
        <v>71321</v>
      </c>
      <c r="M4" s="30">
        <v>522</v>
      </c>
      <c r="N4" s="34">
        <v>100</v>
      </c>
      <c r="O4" s="39">
        <v>2.6840000000000002</v>
      </c>
      <c r="P4" s="39">
        <v>2.6840000000000002</v>
      </c>
      <c r="Q4" s="15">
        <f t="shared" si="1"/>
        <v>-238.58812260536399</v>
      </c>
      <c r="R4" s="15">
        <f t="shared" si="2"/>
        <v>-46402.01192250372</v>
      </c>
      <c r="S4" s="44">
        <f t="shared" si="3"/>
        <v>-1.0652436162190937</v>
      </c>
      <c r="T4" s="39">
        <v>522</v>
      </c>
      <c r="U4" s="5" t="s">
        <v>36</v>
      </c>
      <c r="V4" t="s">
        <v>47</v>
      </c>
      <c r="X4" t="s">
        <v>39</v>
      </c>
      <c r="Y4">
        <v>0</v>
      </c>
      <c r="Z4">
        <v>1</v>
      </c>
      <c r="AA4" t="s">
        <v>40</v>
      </c>
      <c r="AB4" t="s">
        <v>48</v>
      </c>
      <c r="AC4" s="6" t="s">
        <v>41</v>
      </c>
      <c r="AD4" t="s">
        <v>42</v>
      </c>
    </row>
    <row r="5" spans="1:64" x14ac:dyDescent="0.3">
      <c r="A5" t="s">
        <v>296</v>
      </c>
      <c r="B5" t="s">
        <v>297</v>
      </c>
      <c r="C5" s="25">
        <v>44678</v>
      </c>
      <c r="D5" s="15">
        <v>114000</v>
      </c>
      <c r="E5" t="s">
        <v>51</v>
      </c>
      <c r="F5" t="s">
        <v>35</v>
      </c>
      <c r="G5" s="15">
        <v>114000</v>
      </c>
      <c r="H5" s="15">
        <v>89400</v>
      </c>
      <c r="I5" s="20">
        <f t="shared" si="0"/>
        <v>78.421052631578945</v>
      </c>
      <c r="J5" s="15">
        <v>198395</v>
      </c>
      <c r="K5" s="15">
        <f>G5-180908</f>
        <v>-66908</v>
      </c>
      <c r="L5" s="15">
        <v>17487</v>
      </c>
      <c r="M5" s="30">
        <v>179</v>
      </c>
      <c r="N5" s="34">
        <v>282</v>
      </c>
      <c r="O5" s="39">
        <v>0.59</v>
      </c>
      <c r="P5" s="39">
        <v>0.26100000000000001</v>
      </c>
      <c r="Q5" s="15">
        <f t="shared" si="1"/>
        <v>-373.78770949720672</v>
      </c>
      <c r="R5" s="15">
        <f t="shared" si="2"/>
        <v>-113403.38983050849</v>
      </c>
      <c r="S5" s="44">
        <f t="shared" si="3"/>
        <v>-2.6033836049244372</v>
      </c>
      <c r="T5" s="39">
        <v>179</v>
      </c>
      <c r="U5" s="5" t="s">
        <v>169</v>
      </c>
      <c r="V5" t="s">
        <v>298</v>
      </c>
      <c r="W5" t="s">
        <v>299</v>
      </c>
      <c r="X5" t="s">
        <v>185</v>
      </c>
      <c r="Y5">
        <v>0</v>
      </c>
      <c r="Z5">
        <v>1</v>
      </c>
      <c r="AA5" s="7">
        <v>42968</v>
      </c>
      <c r="AB5" t="s">
        <v>48</v>
      </c>
      <c r="AC5" s="6" t="s">
        <v>41</v>
      </c>
    </row>
    <row r="6" spans="1:64" x14ac:dyDescent="0.3">
      <c r="A6" t="s">
        <v>150</v>
      </c>
      <c r="B6" t="s">
        <v>151</v>
      </c>
      <c r="C6" s="25">
        <v>44804</v>
      </c>
      <c r="D6" s="15">
        <v>175000</v>
      </c>
      <c r="E6" t="s">
        <v>45</v>
      </c>
      <c r="F6" t="s">
        <v>46</v>
      </c>
      <c r="G6" s="15">
        <v>175000</v>
      </c>
      <c r="H6" s="15">
        <v>90300</v>
      </c>
      <c r="I6" s="20">
        <f t="shared" si="0"/>
        <v>51.6</v>
      </c>
      <c r="J6" s="15">
        <v>355518</v>
      </c>
      <c r="K6" s="15">
        <f>G6-237561</f>
        <v>-62561</v>
      </c>
      <c r="L6" s="15">
        <v>117957</v>
      </c>
      <c r="M6" s="30">
        <v>574</v>
      </c>
      <c r="N6" s="34">
        <v>385</v>
      </c>
      <c r="O6" s="39">
        <v>6.9370000000000003</v>
      </c>
      <c r="P6" s="39">
        <v>6.0730000000000004</v>
      </c>
      <c r="Q6" s="15">
        <f t="shared" si="1"/>
        <v>-108.99128919860627</v>
      </c>
      <c r="R6" s="15">
        <f t="shared" si="2"/>
        <v>-9018.4517803084909</v>
      </c>
      <c r="S6" s="44">
        <f t="shared" si="3"/>
        <v>-0.20703516483720136</v>
      </c>
      <c r="T6" s="39">
        <v>574</v>
      </c>
      <c r="U6" s="5" t="s">
        <v>56</v>
      </c>
      <c r="V6" t="s">
        <v>152</v>
      </c>
      <c r="X6" t="s">
        <v>130</v>
      </c>
      <c r="Y6">
        <v>0</v>
      </c>
      <c r="Z6">
        <v>1</v>
      </c>
      <c r="AA6" s="7">
        <v>43311</v>
      </c>
      <c r="AC6" s="6" t="s">
        <v>41</v>
      </c>
      <c r="AD6" t="s">
        <v>131</v>
      </c>
    </row>
    <row r="7" spans="1:64" x14ac:dyDescent="0.3">
      <c r="A7" t="s">
        <v>174</v>
      </c>
      <c r="B7" t="s">
        <v>175</v>
      </c>
      <c r="C7" s="25">
        <v>44483</v>
      </c>
      <c r="D7" s="15">
        <v>540000</v>
      </c>
      <c r="E7" t="s">
        <v>45</v>
      </c>
      <c r="F7" t="s">
        <v>35</v>
      </c>
      <c r="G7" s="15">
        <v>500000</v>
      </c>
      <c r="H7" s="15">
        <v>141900</v>
      </c>
      <c r="I7" s="20">
        <f t="shared" si="0"/>
        <v>28.38</v>
      </c>
      <c r="J7" s="15">
        <v>599482</v>
      </c>
      <c r="K7" s="15">
        <f>G7-554191</f>
        <v>-54191</v>
      </c>
      <c r="L7" s="15">
        <v>45291</v>
      </c>
      <c r="M7" s="30">
        <v>660</v>
      </c>
      <c r="N7" s="34">
        <v>1258.619995</v>
      </c>
      <c r="O7" s="39">
        <v>19.07</v>
      </c>
      <c r="P7" s="39">
        <v>19.39</v>
      </c>
      <c r="Q7" s="15">
        <f t="shared" si="1"/>
        <v>-82.107575757575759</v>
      </c>
      <c r="R7" s="15">
        <f t="shared" si="2"/>
        <v>-2841.6885159937074</v>
      </c>
      <c r="S7" s="44">
        <f t="shared" si="3"/>
        <v>-6.5236191827220097E-2</v>
      </c>
      <c r="T7" s="39">
        <v>660</v>
      </c>
      <c r="U7" s="5" t="s">
        <v>169</v>
      </c>
      <c r="V7" t="s">
        <v>176</v>
      </c>
      <c r="W7" t="s">
        <v>177</v>
      </c>
      <c r="X7" t="s">
        <v>171</v>
      </c>
      <c r="Y7">
        <v>0</v>
      </c>
      <c r="Z7">
        <v>0</v>
      </c>
      <c r="AA7" s="7">
        <v>42157</v>
      </c>
      <c r="AC7" s="6" t="s">
        <v>41</v>
      </c>
    </row>
    <row r="8" spans="1:64" x14ac:dyDescent="0.3">
      <c r="A8" t="s">
        <v>86</v>
      </c>
      <c r="B8" t="s">
        <v>87</v>
      </c>
      <c r="C8" s="25">
        <v>44735</v>
      </c>
      <c r="D8" s="15">
        <v>400000</v>
      </c>
      <c r="E8" t="s">
        <v>45</v>
      </c>
      <c r="F8" t="s">
        <v>46</v>
      </c>
      <c r="G8" s="15">
        <v>400000</v>
      </c>
      <c r="H8" s="15">
        <v>213600</v>
      </c>
      <c r="I8" s="20">
        <f t="shared" si="0"/>
        <v>53.400000000000006</v>
      </c>
      <c r="J8" s="15">
        <v>508933</v>
      </c>
      <c r="K8" s="15">
        <f>G8-443834</f>
        <v>-43834</v>
      </c>
      <c r="L8" s="15">
        <v>65099</v>
      </c>
      <c r="M8" s="30">
        <v>92</v>
      </c>
      <c r="N8" s="34">
        <v>244</v>
      </c>
      <c r="O8" s="39">
        <v>0.36399999999999999</v>
      </c>
      <c r="P8" s="39">
        <v>0.13900000000000001</v>
      </c>
      <c r="Q8" s="15">
        <f t="shared" si="1"/>
        <v>-476.45652173913044</v>
      </c>
      <c r="R8" s="15">
        <f t="shared" si="2"/>
        <v>-120423.07692307692</v>
      </c>
      <c r="S8" s="44">
        <f t="shared" si="3"/>
        <v>-2.7645334463516282</v>
      </c>
      <c r="T8" s="39">
        <v>92</v>
      </c>
      <c r="U8" s="5" t="s">
        <v>56</v>
      </c>
      <c r="V8" t="s">
        <v>88</v>
      </c>
      <c r="W8" t="s">
        <v>89</v>
      </c>
      <c r="X8" t="s">
        <v>39</v>
      </c>
      <c r="Y8">
        <v>0</v>
      </c>
      <c r="Z8">
        <v>1</v>
      </c>
      <c r="AA8" s="7">
        <v>43725</v>
      </c>
      <c r="AB8" t="s">
        <v>48</v>
      </c>
      <c r="AC8" s="6" t="s">
        <v>41</v>
      </c>
      <c r="AD8" t="s">
        <v>42</v>
      </c>
    </row>
    <row r="9" spans="1:64" x14ac:dyDescent="0.3">
      <c r="A9" t="s">
        <v>90</v>
      </c>
      <c r="B9" t="s">
        <v>91</v>
      </c>
      <c r="C9" s="25">
        <v>44559</v>
      </c>
      <c r="D9" s="15">
        <v>460000</v>
      </c>
      <c r="E9" t="s">
        <v>55</v>
      </c>
      <c r="F9" t="s">
        <v>35</v>
      </c>
      <c r="G9" s="15">
        <v>460000</v>
      </c>
      <c r="H9" s="15">
        <v>279700</v>
      </c>
      <c r="I9" s="20">
        <f t="shared" si="0"/>
        <v>60.804347826086961</v>
      </c>
      <c r="J9" s="15">
        <v>547315</v>
      </c>
      <c r="K9" s="15">
        <f>G9-496324</f>
        <v>-36324</v>
      </c>
      <c r="L9" s="15">
        <v>50991</v>
      </c>
      <c r="M9" s="30">
        <v>73.900000000000006</v>
      </c>
      <c r="N9" s="34">
        <v>432</v>
      </c>
      <c r="O9" s="39">
        <v>0.24399999999999999</v>
      </c>
      <c r="P9" s="39">
        <v>8.2000000000000003E-2</v>
      </c>
      <c r="Q9" s="15">
        <f t="shared" si="1"/>
        <v>-491.52909336941809</v>
      </c>
      <c r="R9" s="15">
        <f t="shared" si="2"/>
        <v>-148868.8524590164</v>
      </c>
      <c r="S9" s="44">
        <f t="shared" si="3"/>
        <v>-3.4175585963961526</v>
      </c>
      <c r="T9" s="39">
        <v>73.900000000000006</v>
      </c>
      <c r="U9" s="5" t="s">
        <v>56</v>
      </c>
      <c r="V9" t="s">
        <v>92</v>
      </c>
      <c r="W9" t="s">
        <v>93</v>
      </c>
      <c r="X9" t="s">
        <v>39</v>
      </c>
      <c r="Y9">
        <v>0</v>
      </c>
      <c r="Z9">
        <v>0</v>
      </c>
      <c r="AA9" t="s">
        <v>40</v>
      </c>
      <c r="AB9" t="s">
        <v>48</v>
      </c>
      <c r="AC9" s="6" t="s">
        <v>41</v>
      </c>
      <c r="AD9" t="s">
        <v>42</v>
      </c>
    </row>
    <row r="10" spans="1:64" x14ac:dyDescent="0.3">
      <c r="A10" t="s">
        <v>221</v>
      </c>
      <c r="B10" t="s">
        <v>222</v>
      </c>
      <c r="C10" s="25">
        <v>44798</v>
      </c>
      <c r="D10" s="15">
        <v>1000000</v>
      </c>
      <c r="E10" t="s">
        <v>45</v>
      </c>
      <c r="F10" t="s">
        <v>46</v>
      </c>
      <c r="G10" s="15">
        <v>1000000</v>
      </c>
      <c r="H10" s="15">
        <v>549000</v>
      </c>
      <c r="I10" s="20">
        <f t="shared" si="0"/>
        <v>54.900000000000006</v>
      </c>
      <c r="J10" s="15">
        <v>1131057</v>
      </c>
      <c r="K10" s="15">
        <f>G10-1035138</f>
        <v>-35138</v>
      </c>
      <c r="L10" s="15">
        <v>95919</v>
      </c>
      <c r="M10" s="30">
        <v>300</v>
      </c>
      <c r="N10" s="34">
        <v>563.65002400000003</v>
      </c>
      <c r="O10" s="39">
        <v>3.9</v>
      </c>
      <c r="P10" s="39">
        <v>3.9</v>
      </c>
      <c r="Q10" s="15">
        <f t="shared" si="1"/>
        <v>-117.12666666666667</v>
      </c>
      <c r="R10" s="15">
        <f t="shared" si="2"/>
        <v>-9009.7435897435898</v>
      </c>
      <c r="S10" s="44">
        <f t="shared" si="3"/>
        <v>-0.20683525228979774</v>
      </c>
      <c r="T10" s="39">
        <v>300</v>
      </c>
      <c r="U10" s="5" t="s">
        <v>56</v>
      </c>
      <c r="V10" t="s">
        <v>223</v>
      </c>
      <c r="X10" t="s">
        <v>185</v>
      </c>
      <c r="Y10">
        <v>0</v>
      </c>
      <c r="Z10">
        <v>1</v>
      </c>
      <c r="AA10" s="7">
        <v>41470</v>
      </c>
      <c r="AC10" s="6" t="s">
        <v>41</v>
      </c>
    </row>
    <row r="11" spans="1:64" x14ac:dyDescent="0.3">
      <c r="A11" t="s">
        <v>230</v>
      </c>
      <c r="B11" t="s">
        <v>231</v>
      </c>
      <c r="C11" s="25">
        <v>44672</v>
      </c>
      <c r="D11" s="15">
        <v>300000</v>
      </c>
      <c r="E11" t="s">
        <v>45</v>
      </c>
      <c r="F11" t="s">
        <v>46</v>
      </c>
      <c r="G11" s="15">
        <v>300000</v>
      </c>
      <c r="H11" s="15">
        <v>161600</v>
      </c>
      <c r="I11" s="20">
        <f t="shared" si="0"/>
        <v>53.86666666666666</v>
      </c>
      <c r="J11" s="15">
        <v>357839</v>
      </c>
      <c r="K11" s="15">
        <f>G11-333899</f>
        <v>-33899</v>
      </c>
      <c r="L11" s="15">
        <v>23940</v>
      </c>
      <c r="M11" s="30">
        <v>150</v>
      </c>
      <c r="N11" s="34">
        <v>300</v>
      </c>
      <c r="O11" s="39">
        <v>2.0630000000000002</v>
      </c>
      <c r="P11" s="39">
        <v>1.03</v>
      </c>
      <c r="Q11" s="15">
        <f t="shared" si="1"/>
        <v>-225.99333333333334</v>
      </c>
      <c r="R11" s="15">
        <f t="shared" si="2"/>
        <v>-16431.895298109546</v>
      </c>
      <c r="S11" s="44">
        <f t="shared" si="3"/>
        <v>-0.37722440996578388</v>
      </c>
      <c r="T11" s="39">
        <v>150</v>
      </c>
      <c r="U11" s="5" t="s">
        <v>56</v>
      </c>
      <c r="V11" t="s">
        <v>232</v>
      </c>
      <c r="X11" t="s">
        <v>185</v>
      </c>
      <c r="Y11">
        <v>0</v>
      </c>
      <c r="Z11">
        <v>1</v>
      </c>
      <c r="AA11" t="s">
        <v>40</v>
      </c>
      <c r="AB11" t="s">
        <v>48</v>
      </c>
      <c r="AC11" s="6" t="s">
        <v>41</v>
      </c>
    </row>
    <row r="12" spans="1:64" x14ac:dyDescent="0.3">
      <c r="A12" t="s">
        <v>282</v>
      </c>
      <c r="B12" t="s">
        <v>283</v>
      </c>
      <c r="C12" s="25">
        <v>44337</v>
      </c>
      <c r="D12" s="15">
        <v>300000</v>
      </c>
      <c r="E12" t="s">
        <v>45</v>
      </c>
      <c r="F12" t="s">
        <v>35</v>
      </c>
      <c r="G12" s="15">
        <v>280000</v>
      </c>
      <c r="H12" s="15">
        <v>123700</v>
      </c>
      <c r="I12" s="20">
        <f t="shared" si="0"/>
        <v>44.178571428571431</v>
      </c>
      <c r="J12" s="15">
        <v>341976</v>
      </c>
      <c r="K12" s="15">
        <f>G12-308184</f>
        <v>-28184</v>
      </c>
      <c r="L12" s="15">
        <v>33792</v>
      </c>
      <c r="M12" s="30">
        <v>185</v>
      </c>
      <c r="N12" s="34">
        <v>322</v>
      </c>
      <c r="O12" s="39">
        <v>0.49099999999999999</v>
      </c>
      <c r="P12" s="39">
        <v>0.123</v>
      </c>
      <c r="Q12" s="15">
        <f t="shared" si="1"/>
        <v>-152.34594594594594</v>
      </c>
      <c r="R12" s="15">
        <f t="shared" si="2"/>
        <v>-57401.22199592668</v>
      </c>
      <c r="S12" s="44">
        <f t="shared" si="3"/>
        <v>-1.3177507345254058</v>
      </c>
      <c r="T12" s="39">
        <v>185</v>
      </c>
      <c r="U12" s="5" t="s">
        <v>169</v>
      </c>
      <c r="V12" t="s">
        <v>284</v>
      </c>
      <c r="W12" t="s">
        <v>285</v>
      </c>
      <c r="X12" t="s">
        <v>171</v>
      </c>
      <c r="Y12">
        <v>0</v>
      </c>
      <c r="Z12">
        <v>0</v>
      </c>
      <c r="AA12" t="s">
        <v>40</v>
      </c>
      <c r="AB12" t="s">
        <v>48</v>
      </c>
      <c r="AC12" s="6" t="s">
        <v>41</v>
      </c>
    </row>
    <row r="13" spans="1:64" x14ac:dyDescent="0.3">
      <c r="A13" t="s">
        <v>260</v>
      </c>
      <c r="B13" t="s">
        <v>261</v>
      </c>
      <c r="C13" s="25">
        <v>44340</v>
      </c>
      <c r="D13" s="15">
        <v>100000</v>
      </c>
      <c r="E13" t="s">
        <v>45</v>
      </c>
      <c r="F13" t="s">
        <v>46</v>
      </c>
      <c r="G13" s="15">
        <v>80000</v>
      </c>
      <c r="H13" s="15">
        <v>29300</v>
      </c>
      <c r="I13" s="20">
        <f t="shared" si="0"/>
        <v>36.625</v>
      </c>
      <c r="J13" s="15">
        <v>113163</v>
      </c>
      <c r="K13" s="15">
        <f>G13-108045</f>
        <v>-28045</v>
      </c>
      <c r="L13" s="15">
        <v>5118</v>
      </c>
      <c r="M13" s="30">
        <v>116</v>
      </c>
      <c r="N13" s="34">
        <v>94</v>
      </c>
      <c r="O13" s="39">
        <v>0.22</v>
      </c>
      <c r="P13" s="39">
        <v>0.43</v>
      </c>
      <c r="Q13" s="15">
        <f t="shared" si="1"/>
        <v>-241.76724137931035</v>
      </c>
      <c r="R13" s="15">
        <f t="shared" si="2"/>
        <v>-127477.27272727272</v>
      </c>
      <c r="S13" s="44">
        <f t="shared" si="3"/>
        <v>-2.9264754987895483</v>
      </c>
      <c r="T13" s="39">
        <v>116</v>
      </c>
      <c r="U13" s="5" t="s">
        <v>169</v>
      </c>
      <c r="V13" t="s">
        <v>262</v>
      </c>
      <c r="X13" t="s">
        <v>171</v>
      </c>
      <c r="Y13">
        <v>0</v>
      </c>
      <c r="Z13">
        <v>1</v>
      </c>
      <c r="AA13" s="7">
        <v>44070</v>
      </c>
      <c r="AC13" s="6" t="s">
        <v>41</v>
      </c>
    </row>
    <row r="14" spans="1:64" x14ac:dyDescent="0.3">
      <c r="A14" t="s">
        <v>53</v>
      </c>
      <c r="B14" t="s">
        <v>54</v>
      </c>
      <c r="C14" s="25">
        <v>44477</v>
      </c>
      <c r="D14" s="15">
        <v>250000</v>
      </c>
      <c r="E14" t="s">
        <v>45</v>
      </c>
      <c r="F14" t="s">
        <v>46</v>
      </c>
      <c r="G14" s="15">
        <v>250000</v>
      </c>
      <c r="H14" s="15">
        <v>98900</v>
      </c>
      <c r="I14" s="20">
        <f t="shared" si="0"/>
        <v>39.56</v>
      </c>
      <c r="J14" s="15">
        <v>276879</v>
      </c>
      <c r="K14" s="15">
        <f>G14-269364</f>
        <v>-19364</v>
      </c>
      <c r="L14" s="15">
        <v>7515</v>
      </c>
      <c r="M14" s="30">
        <v>104.233745</v>
      </c>
      <c r="N14" s="34">
        <v>97</v>
      </c>
      <c r="O14" s="39">
        <v>0.28299999999999997</v>
      </c>
      <c r="P14" s="39">
        <v>0.28299999999999997</v>
      </c>
      <c r="Q14" s="15">
        <f t="shared" si="1"/>
        <v>-185.77476996533127</v>
      </c>
      <c r="R14" s="15">
        <f t="shared" si="2"/>
        <v>-68424.02826855125</v>
      </c>
      <c r="S14" s="44">
        <f t="shared" si="3"/>
        <v>-1.5707995470282656</v>
      </c>
      <c r="T14" s="39">
        <v>127</v>
      </c>
      <c r="U14" s="5" t="s">
        <v>56</v>
      </c>
      <c r="V14" t="s">
        <v>59</v>
      </c>
      <c r="X14" t="s">
        <v>39</v>
      </c>
      <c r="Y14">
        <v>0</v>
      </c>
      <c r="Z14">
        <v>1</v>
      </c>
      <c r="AA14" t="s">
        <v>40</v>
      </c>
      <c r="AB14" t="s">
        <v>48</v>
      </c>
      <c r="AC14" s="6" t="s">
        <v>41</v>
      </c>
      <c r="AD14" t="s">
        <v>58</v>
      </c>
    </row>
    <row r="15" spans="1:64" x14ac:dyDescent="0.3">
      <c r="A15" t="s">
        <v>60</v>
      </c>
      <c r="B15" t="s">
        <v>61</v>
      </c>
      <c r="C15" s="25">
        <v>44617</v>
      </c>
      <c r="D15" s="15">
        <v>90000</v>
      </c>
      <c r="E15" t="s">
        <v>55</v>
      </c>
      <c r="F15" t="s">
        <v>46</v>
      </c>
      <c r="G15" s="15">
        <v>90000</v>
      </c>
      <c r="H15" s="15">
        <v>85300</v>
      </c>
      <c r="I15" s="20">
        <f t="shared" si="0"/>
        <v>94.777777777777786</v>
      </c>
      <c r="J15" s="15">
        <v>178372</v>
      </c>
      <c r="K15" s="15">
        <f>G15-102472</f>
        <v>-12472</v>
      </c>
      <c r="L15" s="15">
        <v>75900</v>
      </c>
      <c r="M15" s="30">
        <v>110</v>
      </c>
      <c r="N15" s="34">
        <v>200</v>
      </c>
      <c r="O15" s="39">
        <v>0.505</v>
      </c>
      <c r="P15" s="39">
        <v>0.505</v>
      </c>
      <c r="Q15" s="15">
        <f t="shared" si="1"/>
        <v>-113.38181818181818</v>
      </c>
      <c r="R15" s="15">
        <f t="shared" si="2"/>
        <v>-24697.029702970296</v>
      </c>
      <c r="S15" s="44">
        <f t="shared" si="3"/>
        <v>-0.56696578748783966</v>
      </c>
      <c r="T15" s="39">
        <v>110</v>
      </c>
      <c r="U15" s="5" t="s">
        <v>36</v>
      </c>
      <c r="V15" t="s">
        <v>62</v>
      </c>
      <c r="X15" t="s">
        <v>39</v>
      </c>
      <c r="Y15">
        <v>0</v>
      </c>
      <c r="Z15">
        <v>0</v>
      </c>
      <c r="AA15" t="s">
        <v>40</v>
      </c>
      <c r="AB15" t="s">
        <v>48</v>
      </c>
      <c r="AC15" s="6" t="s">
        <v>41</v>
      </c>
      <c r="AD15" t="s">
        <v>42</v>
      </c>
    </row>
    <row r="16" spans="1:64" x14ac:dyDescent="0.3">
      <c r="A16" t="s">
        <v>227</v>
      </c>
      <c r="B16" t="s">
        <v>228</v>
      </c>
      <c r="C16" s="25">
        <v>44438</v>
      </c>
      <c r="D16" s="15">
        <v>125000</v>
      </c>
      <c r="E16" t="s">
        <v>45</v>
      </c>
      <c r="F16" t="s">
        <v>46</v>
      </c>
      <c r="G16" s="15">
        <v>125000</v>
      </c>
      <c r="H16" s="15">
        <v>47300</v>
      </c>
      <c r="I16" s="20">
        <f t="shared" si="0"/>
        <v>37.840000000000003</v>
      </c>
      <c r="J16" s="15">
        <v>163568</v>
      </c>
      <c r="K16" s="15">
        <f>G16-133342</f>
        <v>-8342</v>
      </c>
      <c r="L16" s="15">
        <v>30226</v>
      </c>
      <c r="M16" s="30">
        <v>220</v>
      </c>
      <c r="N16" s="34">
        <v>467</v>
      </c>
      <c r="O16" s="39">
        <v>2.75</v>
      </c>
      <c r="P16" s="39">
        <v>2.75</v>
      </c>
      <c r="Q16" s="15">
        <f t="shared" si="1"/>
        <v>-37.918181818181822</v>
      </c>
      <c r="R16" s="15">
        <f t="shared" si="2"/>
        <v>-3033.4545454545455</v>
      </c>
      <c r="S16" s="44">
        <f t="shared" si="3"/>
        <v>-6.9638534101344018E-2</v>
      </c>
      <c r="T16" s="39">
        <v>220</v>
      </c>
      <c r="U16" s="5" t="s">
        <v>56</v>
      </c>
      <c r="V16" t="s">
        <v>229</v>
      </c>
      <c r="X16" t="s">
        <v>185</v>
      </c>
      <c r="Y16">
        <v>0</v>
      </c>
      <c r="Z16">
        <v>1</v>
      </c>
      <c r="AA16" s="7">
        <v>43721</v>
      </c>
      <c r="AC16" s="6" t="s">
        <v>41</v>
      </c>
    </row>
    <row r="17" spans="1:30" x14ac:dyDescent="0.3">
      <c r="A17" t="s">
        <v>268</v>
      </c>
      <c r="B17" t="s">
        <v>269</v>
      </c>
      <c r="C17" s="25">
        <v>44343</v>
      </c>
      <c r="D17" s="15">
        <v>122550</v>
      </c>
      <c r="E17" t="s">
        <v>51</v>
      </c>
      <c r="F17" t="s">
        <v>270</v>
      </c>
      <c r="G17" s="15">
        <v>123000</v>
      </c>
      <c r="H17" s="15">
        <v>57900</v>
      </c>
      <c r="I17" s="20">
        <f t="shared" si="0"/>
        <v>47.073170731707314</v>
      </c>
      <c r="J17" s="15">
        <v>157391</v>
      </c>
      <c r="K17" s="15">
        <f>G17-130756</f>
        <v>-7756</v>
      </c>
      <c r="L17" s="15">
        <v>26635</v>
      </c>
      <c r="M17" s="30">
        <v>125</v>
      </c>
      <c r="N17" s="34">
        <v>135</v>
      </c>
      <c r="O17" s="39">
        <v>0.38700000000000001</v>
      </c>
      <c r="P17" s="39">
        <v>0.38700000000000001</v>
      </c>
      <c r="Q17" s="15">
        <f t="shared" si="1"/>
        <v>-62.048000000000002</v>
      </c>
      <c r="R17" s="15">
        <f t="shared" si="2"/>
        <v>-20041.343669250644</v>
      </c>
      <c r="S17" s="44">
        <f t="shared" si="3"/>
        <v>-0.46008594282026272</v>
      </c>
      <c r="T17" s="39">
        <v>125</v>
      </c>
      <c r="U17" s="5" t="s">
        <v>102</v>
      </c>
      <c r="V17" t="s">
        <v>271</v>
      </c>
      <c r="X17" t="s">
        <v>171</v>
      </c>
      <c r="Y17">
        <v>0</v>
      </c>
      <c r="Z17">
        <v>1</v>
      </c>
      <c r="AA17" s="7">
        <v>42157</v>
      </c>
      <c r="AC17" s="6" t="s">
        <v>41</v>
      </c>
      <c r="AD17" t="s">
        <v>267</v>
      </c>
    </row>
    <row r="18" spans="1:30" x14ac:dyDescent="0.3">
      <c r="A18" t="s">
        <v>100</v>
      </c>
      <c r="B18" t="s">
        <v>101</v>
      </c>
      <c r="C18" s="25">
        <v>44655</v>
      </c>
      <c r="D18" s="15">
        <v>90000</v>
      </c>
      <c r="E18" t="s">
        <v>45</v>
      </c>
      <c r="F18" t="s">
        <v>46</v>
      </c>
      <c r="G18" s="15">
        <v>90000</v>
      </c>
      <c r="H18" s="15">
        <v>53400</v>
      </c>
      <c r="I18" s="20">
        <f t="shared" si="0"/>
        <v>59.333333333333336</v>
      </c>
      <c r="J18" s="15">
        <v>133865</v>
      </c>
      <c r="K18" s="15">
        <f>G18-95915</f>
        <v>-5915</v>
      </c>
      <c r="L18" s="15">
        <v>37950</v>
      </c>
      <c r="M18" s="30">
        <v>55</v>
      </c>
      <c r="N18" s="34">
        <v>165</v>
      </c>
      <c r="O18" s="39">
        <v>0.20799999999999999</v>
      </c>
      <c r="P18" s="39">
        <v>0.20799999999999999</v>
      </c>
      <c r="Q18" s="15">
        <f t="shared" si="1"/>
        <v>-107.54545454545455</v>
      </c>
      <c r="R18" s="15">
        <f t="shared" si="2"/>
        <v>-28437.5</v>
      </c>
      <c r="S18" s="44">
        <f t="shared" si="3"/>
        <v>-0.6528351698806244</v>
      </c>
      <c r="T18" s="39">
        <v>55</v>
      </c>
      <c r="U18" s="5" t="s">
        <v>102</v>
      </c>
      <c r="V18" t="s">
        <v>103</v>
      </c>
      <c r="X18" t="s">
        <v>39</v>
      </c>
      <c r="Y18">
        <v>0</v>
      </c>
      <c r="Z18">
        <v>0</v>
      </c>
      <c r="AA18" t="s">
        <v>40</v>
      </c>
      <c r="AB18" t="s">
        <v>48</v>
      </c>
      <c r="AC18" s="6" t="s">
        <v>41</v>
      </c>
      <c r="AD18" t="s">
        <v>42</v>
      </c>
    </row>
    <row r="19" spans="1:30" x14ac:dyDescent="0.3">
      <c r="A19" t="s">
        <v>49</v>
      </c>
      <c r="B19" t="s">
        <v>50</v>
      </c>
      <c r="C19" s="25">
        <v>44743</v>
      </c>
      <c r="D19" s="15">
        <v>155000</v>
      </c>
      <c r="E19" t="s">
        <v>51</v>
      </c>
      <c r="F19" t="s">
        <v>46</v>
      </c>
      <c r="G19" s="15">
        <v>155000</v>
      </c>
      <c r="H19" s="15">
        <v>82700</v>
      </c>
      <c r="I19" s="20">
        <f t="shared" si="0"/>
        <v>53.354838709677423</v>
      </c>
      <c r="J19" s="15">
        <v>209834</v>
      </c>
      <c r="K19" s="15">
        <f>G19-158084</f>
        <v>-3084</v>
      </c>
      <c r="L19" s="15">
        <v>51750</v>
      </c>
      <c r="M19" s="30">
        <v>75</v>
      </c>
      <c r="N19" s="34">
        <v>83</v>
      </c>
      <c r="O19" s="39">
        <v>0.14299999999999999</v>
      </c>
      <c r="P19" s="39">
        <v>0.14299999999999999</v>
      </c>
      <c r="Q19" s="15">
        <f t="shared" si="1"/>
        <v>-41.12</v>
      </c>
      <c r="R19" s="15">
        <f t="shared" si="2"/>
        <v>-21566.433566433567</v>
      </c>
      <c r="S19" s="44">
        <f t="shared" si="3"/>
        <v>-0.49509718931206537</v>
      </c>
      <c r="T19" s="39">
        <v>75</v>
      </c>
      <c r="U19" s="5" t="s">
        <v>36</v>
      </c>
      <c r="V19" t="s">
        <v>52</v>
      </c>
      <c r="X19" t="s">
        <v>39</v>
      </c>
      <c r="Y19">
        <v>0</v>
      </c>
      <c r="Z19">
        <v>1</v>
      </c>
      <c r="AA19" s="7">
        <v>31657</v>
      </c>
      <c r="AB19" t="s">
        <v>48</v>
      </c>
      <c r="AC19" s="6" t="s">
        <v>41</v>
      </c>
      <c r="AD19" t="s">
        <v>42</v>
      </c>
    </row>
    <row r="20" spans="1:30" x14ac:dyDescent="0.3">
      <c r="A20" t="s">
        <v>71</v>
      </c>
      <c r="B20" t="s">
        <v>72</v>
      </c>
      <c r="C20" s="25">
        <v>44403</v>
      </c>
      <c r="D20" s="15">
        <v>87500</v>
      </c>
      <c r="E20" t="s">
        <v>45</v>
      </c>
      <c r="F20" t="s">
        <v>46</v>
      </c>
      <c r="G20" s="15">
        <v>87500</v>
      </c>
      <c r="H20" s="15">
        <v>56800</v>
      </c>
      <c r="I20" s="20">
        <f t="shared" si="0"/>
        <v>64.914285714285711</v>
      </c>
      <c r="J20" s="15">
        <v>148792</v>
      </c>
      <c r="K20" s="15">
        <f>G20-90142</f>
        <v>-2642</v>
      </c>
      <c r="L20" s="15">
        <v>58650</v>
      </c>
      <c r="M20" s="30">
        <v>85</v>
      </c>
      <c r="N20" s="34">
        <v>150</v>
      </c>
      <c r="O20" s="39">
        <v>0.29299999999999998</v>
      </c>
      <c r="P20" s="39">
        <v>0.29299999999999998</v>
      </c>
      <c r="Q20" s="15">
        <f t="shared" si="1"/>
        <v>-31.08235294117647</v>
      </c>
      <c r="R20" s="15">
        <f t="shared" si="2"/>
        <v>-9017.0648464163824</v>
      </c>
      <c r="S20" s="44">
        <f t="shared" si="3"/>
        <v>-0.2070033252161704</v>
      </c>
      <c r="T20" s="39">
        <v>85</v>
      </c>
      <c r="U20" s="5" t="s">
        <v>56</v>
      </c>
      <c r="V20" t="s">
        <v>73</v>
      </c>
      <c r="X20" t="s">
        <v>39</v>
      </c>
      <c r="Y20">
        <v>0</v>
      </c>
      <c r="Z20">
        <v>0</v>
      </c>
      <c r="AA20" t="s">
        <v>40</v>
      </c>
      <c r="AB20" t="s">
        <v>48</v>
      </c>
      <c r="AC20" s="6" t="s">
        <v>41</v>
      </c>
      <c r="AD20" t="s">
        <v>42</v>
      </c>
    </row>
    <row r="21" spans="1:30" x14ac:dyDescent="0.3">
      <c r="A21" t="s">
        <v>144</v>
      </c>
      <c r="B21" t="s">
        <v>145</v>
      </c>
      <c r="C21" s="25">
        <v>44974</v>
      </c>
      <c r="D21" s="15">
        <v>0</v>
      </c>
      <c r="E21" t="s">
        <v>45</v>
      </c>
      <c r="F21" t="s">
        <v>141</v>
      </c>
      <c r="G21" s="15">
        <v>0</v>
      </c>
      <c r="H21" s="15">
        <v>0</v>
      </c>
      <c r="I21" s="20" t="e">
        <f t="shared" si="0"/>
        <v>#DIV/0!</v>
      </c>
      <c r="J21" s="15">
        <v>19983</v>
      </c>
      <c r="K21" s="15">
        <f>G21-0</f>
        <v>0</v>
      </c>
      <c r="L21" s="15">
        <v>19983</v>
      </c>
      <c r="M21" s="30">
        <v>0</v>
      </c>
      <c r="N21" s="34">
        <v>0</v>
      </c>
      <c r="O21" s="39">
        <v>4.59</v>
      </c>
      <c r="P21" s="39">
        <v>5.09</v>
      </c>
      <c r="Q21" s="15" t="e">
        <f t="shared" si="1"/>
        <v>#DIV/0!</v>
      </c>
      <c r="R21" s="15">
        <f t="shared" si="2"/>
        <v>0</v>
      </c>
      <c r="S21" s="44">
        <f t="shared" si="3"/>
        <v>0</v>
      </c>
      <c r="T21" s="39">
        <v>0</v>
      </c>
      <c r="U21" s="5" t="s">
        <v>56</v>
      </c>
      <c r="V21" t="s">
        <v>146</v>
      </c>
      <c r="X21" t="s">
        <v>130</v>
      </c>
      <c r="Y21">
        <v>0</v>
      </c>
      <c r="Z21">
        <v>1</v>
      </c>
      <c r="AA21" t="s">
        <v>40</v>
      </c>
      <c r="AB21" t="s">
        <v>48</v>
      </c>
      <c r="AC21" s="6" t="s">
        <v>122</v>
      </c>
      <c r="AD21" t="s">
        <v>131</v>
      </c>
    </row>
    <row r="22" spans="1:30" x14ac:dyDescent="0.3">
      <c r="A22" t="s">
        <v>195</v>
      </c>
      <c r="B22" t="s">
        <v>196</v>
      </c>
      <c r="C22" s="25">
        <v>44764</v>
      </c>
      <c r="D22" s="15">
        <v>0</v>
      </c>
      <c r="E22" t="s">
        <v>45</v>
      </c>
      <c r="F22" t="s">
        <v>46</v>
      </c>
      <c r="G22" s="15">
        <v>0</v>
      </c>
      <c r="H22" s="15">
        <v>146000</v>
      </c>
      <c r="I22" s="20" t="e">
        <f t="shared" si="0"/>
        <v>#DIV/0!</v>
      </c>
      <c r="J22" s="15">
        <v>55983</v>
      </c>
      <c r="K22" s="15">
        <f>G22-0</f>
        <v>0</v>
      </c>
      <c r="L22" s="15">
        <v>55983</v>
      </c>
      <c r="M22" s="30">
        <v>280</v>
      </c>
      <c r="N22" s="34">
        <v>236</v>
      </c>
      <c r="O22" s="39">
        <v>1.67</v>
      </c>
      <c r="P22" s="39">
        <v>1.67</v>
      </c>
      <c r="Q22" s="15">
        <f t="shared" si="1"/>
        <v>0</v>
      </c>
      <c r="R22" s="15">
        <f t="shared" si="2"/>
        <v>0</v>
      </c>
      <c r="S22" s="44">
        <f t="shared" si="3"/>
        <v>0</v>
      </c>
      <c r="T22" s="39">
        <v>280</v>
      </c>
      <c r="U22" s="5" t="s">
        <v>56</v>
      </c>
      <c r="V22" t="s">
        <v>197</v>
      </c>
      <c r="X22" t="s">
        <v>130</v>
      </c>
      <c r="Y22">
        <v>0</v>
      </c>
      <c r="Z22">
        <v>1</v>
      </c>
      <c r="AA22" s="7">
        <v>40002</v>
      </c>
      <c r="AC22" s="6" t="s">
        <v>122</v>
      </c>
    </row>
    <row r="23" spans="1:30" x14ac:dyDescent="0.3">
      <c r="A23" t="s">
        <v>249</v>
      </c>
      <c r="C23" s="25">
        <v>44853</v>
      </c>
      <c r="D23" s="15">
        <v>0</v>
      </c>
      <c r="E23" t="s">
        <v>55</v>
      </c>
      <c r="F23" t="s">
        <v>46</v>
      </c>
      <c r="G23" s="15">
        <v>0</v>
      </c>
      <c r="H23" s="15">
        <v>25400</v>
      </c>
      <c r="I23" s="20" t="e">
        <f t="shared" si="0"/>
        <v>#DIV/0!</v>
      </c>
      <c r="J23" s="15">
        <v>99615</v>
      </c>
      <c r="K23" s="15">
        <f>G23-0</f>
        <v>0</v>
      </c>
      <c r="L23" s="15">
        <v>99615</v>
      </c>
      <c r="M23" s="30">
        <v>345</v>
      </c>
      <c r="N23" s="34">
        <v>181.94000199999999</v>
      </c>
      <c r="O23" s="39">
        <v>2.4089999999999998</v>
      </c>
      <c r="P23" s="39">
        <v>2.4089999999999998</v>
      </c>
      <c r="Q23" s="15">
        <f t="shared" si="1"/>
        <v>0</v>
      </c>
      <c r="R23" s="15">
        <f t="shared" si="2"/>
        <v>0</v>
      </c>
      <c r="S23" s="44">
        <f t="shared" si="3"/>
        <v>0</v>
      </c>
      <c r="T23" s="39">
        <v>345</v>
      </c>
      <c r="U23" s="5" t="s">
        <v>56</v>
      </c>
      <c r="V23" t="s">
        <v>250</v>
      </c>
      <c r="X23" t="s">
        <v>185</v>
      </c>
      <c r="Y23">
        <v>0</v>
      </c>
      <c r="Z23">
        <v>1</v>
      </c>
      <c r="AA23" s="7">
        <v>43691</v>
      </c>
      <c r="AC23" s="6" t="s">
        <v>122</v>
      </c>
    </row>
    <row r="24" spans="1:30" x14ac:dyDescent="0.3">
      <c r="A24" t="s">
        <v>289</v>
      </c>
      <c r="B24" t="s">
        <v>290</v>
      </c>
      <c r="C24" s="25">
        <v>44337</v>
      </c>
      <c r="D24" s="15">
        <v>181000</v>
      </c>
      <c r="E24" t="s">
        <v>45</v>
      </c>
      <c r="F24" t="s">
        <v>35</v>
      </c>
      <c r="G24" s="15">
        <v>181000</v>
      </c>
      <c r="H24" s="15">
        <v>95600</v>
      </c>
      <c r="I24" s="20">
        <f t="shared" si="0"/>
        <v>52.817679558011058</v>
      </c>
      <c r="J24" s="15">
        <v>198594</v>
      </c>
      <c r="K24" s="15">
        <f>G24-180168</f>
        <v>832</v>
      </c>
      <c r="L24" s="15">
        <v>18426</v>
      </c>
      <c r="M24" s="30">
        <v>220</v>
      </c>
      <c r="N24" s="34">
        <v>187</v>
      </c>
      <c r="O24" s="39">
        <v>0.9</v>
      </c>
      <c r="P24" s="39">
        <v>0.9</v>
      </c>
      <c r="Q24" s="15">
        <f t="shared" si="1"/>
        <v>3.7818181818181817</v>
      </c>
      <c r="R24" s="15">
        <f t="shared" si="2"/>
        <v>924.44444444444446</v>
      </c>
      <c r="S24" s="44">
        <f t="shared" si="3"/>
        <v>2.1222324252627284E-2</v>
      </c>
      <c r="T24" s="39">
        <v>220</v>
      </c>
      <c r="U24" s="5" t="s">
        <v>169</v>
      </c>
      <c r="V24" t="s">
        <v>291</v>
      </c>
      <c r="W24" t="s">
        <v>292</v>
      </c>
      <c r="X24" t="s">
        <v>171</v>
      </c>
      <c r="Y24">
        <v>0</v>
      </c>
      <c r="Z24">
        <v>0</v>
      </c>
      <c r="AA24" t="s">
        <v>40</v>
      </c>
      <c r="AB24" t="s">
        <v>48</v>
      </c>
      <c r="AC24" s="6" t="s">
        <v>41</v>
      </c>
    </row>
    <row r="25" spans="1:30" x14ac:dyDescent="0.3">
      <c r="A25" t="s">
        <v>178</v>
      </c>
      <c r="B25" t="s">
        <v>179</v>
      </c>
      <c r="C25" s="25">
        <v>44494</v>
      </c>
      <c r="D25" s="15">
        <v>77000</v>
      </c>
      <c r="E25" t="s">
        <v>45</v>
      </c>
      <c r="F25" t="s">
        <v>46</v>
      </c>
      <c r="G25" s="15">
        <v>77000</v>
      </c>
      <c r="H25" s="15">
        <v>36300</v>
      </c>
      <c r="I25" s="20">
        <f t="shared" si="0"/>
        <v>47.142857142857139</v>
      </c>
      <c r="J25" s="15">
        <v>78354</v>
      </c>
      <c r="K25" s="15">
        <f>G25-73854</f>
        <v>3146</v>
      </c>
      <c r="L25" s="15">
        <v>4500</v>
      </c>
      <c r="M25" s="30">
        <v>100</v>
      </c>
      <c r="N25" s="34">
        <v>267</v>
      </c>
      <c r="O25" s="39">
        <v>0.82499999999999996</v>
      </c>
      <c r="P25" s="39">
        <v>0.82499999999999996</v>
      </c>
      <c r="Q25" s="15">
        <f t="shared" si="1"/>
        <v>31.46</v>
      </c>
      <c r="R25" s="15">
        <f t="shared" si="2"/>
        <v>3813.3333333333335</v>
      </c>
      <c r="S25" s="44">
        <f t="shared" si="3"/>
        <v>8.7542087542087546E-2</v>
      </c>
      <c r="T25" s="39">
        <v>100</v>
      </c>
      <c r="U25" s="5" t="s">
        <v>56</v>
      </c>
      <c r="V25" t="s">
        <v>180</v>
      </c>
      <c r="X25" t="s">
        <v>181</v>
      </c>
      <c r="Y25">
        <v>0</v>
      </c>
      <c r="Z25">
        <v>0</v>
      </c>
      <c r="AA25" s="7">
        <v>42640</v>
      </c>
      <c r="AC25" s="6" t="s">
        <v>41</v>
      </c>
    </row>
    <row r="26" spans="1:30" x14ac:dyDescent="0.3">
      <c r="A26" t="s">
        <v>237</v>
      </c>
      <c r="B26" t="s">
        <v>238</v>
      </c>
      <c r="C26" s="25">
        <v>44497</v>
      </c>
      <c r="D26" s="15">
        <v>54500</v>
      </c>
      <c r="E26" t="s">
        <v>45</v>
      </c>
      <c r="F26" t="s">
        <v>46</v>
      </c>
      <c r="G26" s="15">
        <v>54500</v>
      </c>
      <c r="H26" s="15">
        <v>42700</v>
      </c>
      <c r="I26" s="20">
        <f t="shared" si="0"/>
        <v>78.348623853211009</v>
      </c>
      <c r="J26" s="15">
        <v>55344</v>
      </c>
      <c r="K26" s="15">
        <f>G26-48287</f>
        <v>6213</v>
      </c>
      <c r="L26" s="15">
        <v>7057</v>
      </c>
      <c r="M26" s="30">
        <v>0</v>
      </c>
      <c r="N26" s="34">
        <v>0</v>
      </c>
      <c r="O26" s="39">
        <v>0.27</v>
      </c>
      <c r="P26" s="39">
        <v>0.27</v>
      </c>
      <c r="Q26" s="15" t="e">
        <f t="shared" si="1"/>
        <v>#DIV/0!</v>
      </c>
      <c r="R26" s="15">
        <f t="shared" si="2"/>
        <v>23011.111111111109</v>
      </c>
      <c r="S26" s="44">
        <f t="shared" si="3"/>
        <v>0.52826242220181607</v>
      </c>
      <c r="T26" s="39">
        <v>0</v>
      </c>
      <c r="U26" s="5" t="s">
        <v>56</v>
      </c>
      <c r="V26" t="s">
        <v>239</v>
      </c>
      <c r="X26" t="s">
        <v>185</v>
      </c>
      <c r="Y26">
        <v>0</v>
      </c>
      <c r="Z26">
        <v>0</v>
      </c>
      <c r="AA26" t="s">
        <v>40</v>
      </c>
      <c r="AB26" t="s">
        <v>48</v>
      </c>
      <c r="AC26" s="6" t="s">
        <v>41</v>
      </c>
    </row>
    <row r="27" spans="1:30" x14ac:dyDescent="0.3">
      <c r="A27" t="s">
        <v>215</v>
      </c>
      <c r="B27" t="s">
        <v>216</v>
      </c>
      <c r="C27" s="25">
        <v>44309</v>
      </c>
      <c r="D27" s="15">
        <v>165000</v>
      </c>
      <c r="E27" t="s">
        <v>45</v>
      </c>
      <c r="F27" t="s">
        <v>46</v>
      </c>
      <c r="G27" s="15">
        <v>165000</v>
      </c>
      <c r="H27" s="15">
        <v>68800</v>
      </c>
      <c r="I27" s="20">
        <f t="shared" si="0"/>
        <v>41.696969696969703</v>
      </c>
      <c r="J27" s="15">
        <v>175898</v>
      </c>
      <c r="K27" s="15">
        <f>G27-152951</f>
        <v>12049</v>
      </c>
      <c r="L27" s="15">
        <v>22947</v>
      </c>
      <c r="M27" s="30">
        <v>150</v>
      </c>
      <c r="N27" s="34">
        <v>287</v>
      </c>
      <c r="O27" s="39">
        <v>0.98799999999999999</v>
      </c>
      <c r="P27" s="39">
        <v>0.98799999999999999</v>
      </c>
      <c r="Q27" s="15">
        <f t="shared" si="1"/>
        <v>80.326666666666668</v>
      </c>
      <c r="R27" s="15">
        <f t="shared" si="2"/>
        <v>12195.344129554656</v>
      </c>
      <c r="S27" s="44">
        <f t="shared" si="3"/>
        <v>0.27996657781346779</v>
      </c>
      <c r="T27" s="39">
        <v>150</v>
      </c>
      <c r="U27" s="5" t="s">
        <v>56</v>
      </c>
      <c r="V27" t="s">
        <v>217</v>
      </c>
      <c r="X27" t="s">
        <v>185</v>
      </c>
      <c r="Y27">
        <v>0</v>
      </c>
      <c r="Z27">
        <v>1</v>
      </c>
      <c r="AA27" s="7">
        <v>41919</v>
      </c>
      <c r="AC27" s="6" t="s">
        <v>41</v>
      </c>
    </row>
    <row r="28" spans="1:30" x14ac:dyDescent="0.3">
      <c r="A28" t="s">
        <v>94</v>
      </c>
      <c r="B28" t="s">
        <v>95</v>
      </c>
      <c r="C28" s="25">
        <v>44817</v>
      </c>
      <c r="D28" s="15">
        <v>85000</v>
      </c>
      <c r="E28" t="s">
        <v>45</v>
      </c>
      <c r="F28" t="s">
        <v>46</v>
      </c>
      <c r="G28" s="15">
        <v>85000</v>
      </c>
      <c r="H28" s="15">
        <v>41600</v>
      </c>
      <c r="I28" s="20">
        <f t="shared" si="0"/>
        <v>48.941176470588239</v>
      </c>
      <c r="J28" s="15">
        <v>110314</v>
      </c>
      <c r="K28" s="15">
        <f>G28-69604</f>
        <v>15396</v>
      </c>
      <c r="L28" s="15">
        <v>40710</v>
      </c>
      <c r="M28" s="30">
        <v>59</v>
      </c>
      <c r="N28" s="34">
        <v>50</v>
      </c>
      <c r="O28" s="39">
        <v>6.8000000000000005E-2</v>
      </c>
      <c r="P28" s="39">
        <v>6.8000000000000005E-2</v>
      </c>
      <c r="Q28" s="15">
        <f t="shared" si="1"/>
        <v>260.94915254237287</v>
      </c>
      <c r="R28" s="15">
        <f t="shared" si="2"/>
        <v>226411.76470588235</v>
      </c>
      <c r="S28" s="44">
        <f t="shared" si="3"/>
        <v>5.1976989142764545</v>
      </c>
      <c r="T28" s="39">
        <v>59</v>
      </c>
      <c r="U28" s="5" t="s">
        <v>56</v>
      </c>
      <c r="V28" t="s">
        <v>96</v>
      </c>
      <c r="X28" t="s">
        <v>39</v>
      </c>
      <c r="Y28">
        <v>0</v>
      </c>
      <c r="Z28">
        <v>0</v>
      </c>
      <c r="AA28" t="s">
        <v>40</v>
      </c>
      <c r="AB28" t="s">
        <v>48</v>
      </c>
      <c r="AC28" s="6" t="s">
        <v>41</v>
      </c>
      <c r="AD28" t="s">
        <v>42</v>
      </c>
    </row>
    <row r="29" spans="1:30" x14ac:dyDescent="0.3">
      <c r="A29" t="s">
        <v>167</v>
      </c>
      <c r="B29" t="s">
        <v>168</v>
      </c>
      <c r="C29" s="25">
        <v>44760</v>
      </c>
      <c r="D29" s="15">
        <v>90000</v>
      </c>
      <c r="E29" t="s">
        <v>45</v>
      </c>
      <c r="F29" t="s">
        <v>46</v>
      </c>
      <c r="G29" s="15">
        <v>65000</v>
      </c>
      <c r="H29" s="15">
        <v>26300</v>
      </c>
      <c r="I29" s="20">
        <f t="shared" si="0"/>
        <v>40.46153846153846</v>
      </c>
      <c r="J29" s="15">
        <v>57707</v>
      </c>
      <c r="K29" s="15">
        <f>G29-48307</f>
        <v>16693</v>
      </c>
      <c r="L29" s="15">
        <v>9400</v>
      </c>
      <c r="M29" s="30">
        <v>100</v>
      </c>
      <c r="N29" s="34">
        <v>300</v>
      </c>
      <c r="O29" s="39">
        <v>0.746</v>
      </c>
      <c r="P29" s="39">
        <v>0.68799999999999994</v>
      </c>
      <c r="Q29" s="15">
        <f t="shared" si="1"/>
        <v>166.93</v>
      </c>
      <c r="R29" s="15">
        <f t="shared" si="2"/>
        <v>22376.675603217158</v>
      </c>
      <c r="S29" s="44">
        <f t="shared" si="3"/>
        <v>0.51369778703436997</v>
      </c>
      <c r="T29" s="39">
        <v>100</v>
      </c>
      <c r="U29" s="5" t="s">
        <v>169</v>
      </c>
      <c r="V29" t="s">
        <v>170</v>
      </c>
      <c r="X29" t="s">
        <v>171</v>
      </c>
      <c r="Y29">
        <v>0</v>
      </c>
      <c r="Z29">
        <v>1</v>
      </c>
      <c r="AA29" s="7">
        <v>43320</v>
      </c>
      <c r="AC29" s="6" t="s">
        <v>41</v>
      </c>
    </row>
    <row r="30" spans="1:30" x14ac:dyDescent="0.3">
      <c r="A30" t="s">
        <v>172</v>
      </c>
      <c r="C30" s="25">
        <v>44824</v>
      </c>
      <c r="D30" s="15">
        <v>20000</v>
      </c>
      <c r="E30" t="s">
        <v>45</v>
      </c>
      <c r="F30" t="s">
        <v>46</v>
      </c>
      <c r="G30" s="15">
        <v>20000</v>
      </c>
      <c r="H30" s="15">
        <v>16100</v>
      </c>
      <c r="I30" s="20">
        <f t="shared" si="0"/>
        <v>80.5</v>
      </c>
      <c r="J30" s="15">
        <v>21150</v>
      </c>
      <c r="K30" s="15">
        <f>G30-0</f>
        <v>20000</v>
      </c>
      <c r="L30" s="15">
        <v>21150</v>
      </c>
      <c r="M30" s="30">
        <v>150</v>
      </c>
      <c r="N30" s="34">
        <v>300</v>
      </c>
      <c r="O30" s="39">
        <v>1.0329999999999999</v>
      </c>
      <c r="P30" s="39">
        <v>1.0329999999999999</v>
      </c>
      <c r="Q30" s="15">
        <f t="shared" si="1"/>
        <v>133.33333333333334</v>
      </c>
      <c r="R30" s="15">
        <f t="shared" si="2"/>
        <v>19361.084220716362</v>
      </c>
      <c r="S30" s="44">
        <f t="shared" si="3"/>
        <v>0.44446933472718919</v>
      </c>
      <c r="T30" s="39">
        <v>150</v>
      </c>
      <c r="U30" s="5" t="s">
        <v>169</v>
      </c>
      <c r="V30" t="s">
        <v>173</v>
      </c>
      <c r="X30" t="s">
        <v>171</v>
      </c>
      <c r="Y30">
        <v>0</v>
      </c>
      <c r="Z30">
        <v>1</v>
      </c>
      <c r="AA30" s="7">
        <v>41514</v>
      </c>
      <c r="AC30" s="6" t="s">
        <v>122</v>
      </c>
    </row>
    <row r="31" spans="1:30" x14ac:dyDescent="0.3">
      <c r="A31" t="s">
        <v>120</v>
      </c>
      <c r="C31" s="25">
        <v>44377</v>
      </c>
      <c r="D31" s="15">
        <v>25000</v>
      </c>
      <c r="E31" t="s">
        <v>45</v>
      </c>
      <c r="F31" t="s">
        <v>46</v>
      </c>
      <c r="G31" s="15">
        <v>25000</v>
      </c>
      <c r="H31" s="15">
        <v>9600</v>
      </c>
      <c r="I31" s="20">
        <f t="shared" si="0"/>
        <v>38.4</v>
      </c>
      <c r="J31" s="15">
        <v>0</v>
      </c>
      <c r="K31" s="15">
        <f>G31-0</f>
        <v>25000</v>
      </c>
      <c r="L31" s="15">
        <v>0</v>
      </c>
      <c r="M31" s="30">
        <v>330</v>
      </c>
      <c r="N31" s="34">
        <v>416</v>
      </c>
      <c r="O31" s="39">
        <v>3.15</v>
      </c>
      <c r="P31" s="39">
        <v>3.15</v>
      </c>
      <c r="Q31" s="15">
        <f t="shared" si="1"/>
        <v>75.757575757575751</v>
      </c>
      <c r="R31" s="15">
        <f t="shared" si="2"/>
        <v>7936.5079365079364</v>
      </c>
      <c r="S31" s="44">
        <f t="shared" si="3"/>
        <v>0.18219715189412158</v>
      </c>
      <c r="T31" s="39">
        <v>330</v>
      </c>
      <c r="U31" s="5" t="s">
        <v>36</v>
      </c>
      <c r="V31" t="s">
        <v>121</v>
      </c>
      <c r="X31" t="s">
        <v>70</v>
      </c>
      <c r="Y31">
        <v>0</v>
      </c>
      <c r="Z31">
        <v>0</v>
      </c>
      <c r="AA31" t="s">
        <v>40</v>
      </c>
      <c r="AC31" s="6" t="s">
        <v>122</v>
      </c>
    </row>
    <row r="32" spans="1:30" x14ac:dyDescent="0.3">
      <c r="A32" t="s">
        <v>186</v>
      </c>
      <c r="B32" t="s">
        <v>187</v>
      </c>
      <c r="C32" s="25">
        <v>44372</v>
      </c>
      <c r="D32" s="15">
        <v>25900</v>
      </c>
      <c r="E32" t="s">
        <v>45</v>
      </c>
      <c r="F32" t="s">
        <v>46</v>
      </c>
      <c r="G32" s="15">
        <v>25900</v>
      </c>
      <c r="H32" s="15">
        <v>15200</v>
      </c>
      <c r="I32" s="20">
        <f t="shared" si="0"/>
        <v>58.687258687258691</v>
      </c>
      <c r="J32" s="15">
        <v>19406</v>
      </c>
      <c r="K32" s="15">
        <f>G32-0</f>
        <v>25900</v>
      </c>
      <c r="L32" s="15">
        <v>19406</v>
      </c>
      <c r="M32" s="30">
        <v>246.9</v>
      </c>
      <c r="N32" s="34">
        <v>131</v>
      </c>
      <c r="O32" s="39">
        <v>0.93200000000000005</v>
      </c>
      <c r="P32" s="39">
        <v>0.93200000000000005</v>
      </c>
      <c r="Q32" s="15">
        <f t="shared" si="1"/>
        <v>104.90076954232482</v>
      </c>
      <c r="R32" s="15">
        <f t="shared" si="2"/>
        <v>27789.69957081545</v>
      </c>
      <c r="S32" s="44">
        <f t="shared" si="3"/>
        <v>0.63796371833827936</v>
      </c>
      <c r="T32" s="39">
        <v>246.9</v>
      </c>
      <c r="U32" s="5" t="s">
        <v>56</v>
      </c>
      <c r="V32" t="s">
        <v>188</v>
      </c>
      <c r="X32" t="s">
        <v>130</v>
      </c>
      <c r="Y32">
        <v>0</v>
      </c>
      <c r="Z32">
        <v>1</v>
      </c>
      <c r="AA32" s="7">
        <v>43283</v>
      </c>
      <c r="AB32" t="s">
        <v>48</v>
      </c>
      <c r="AC32" s="6" t="s">
        <v>122</v>
      </c>
    </row>
    <row r="33" spans="1:31" x14ac:dyDescent="0.3">
      <c r="A33" t="s">
        <v>263</v>
      </c>
      <c r="B33" t="s">
        <v>264</v>
      </c>
      <c r="C33" s="25">
        <v>44560</v>
      </c>
      <c r="D33" s="15">
        <v>400000</v>
      </c>
      <c r="E33" t="s">
        <v>45</v>
      </c>
      <c r="F33" t="s">
        <v>35</v>
      </c>
      <c r="G33" s="15">
        <v>400000</v>
      </c>
      <c r="H33" s="15">
        <v>138200</v>
      </c>
      <c r="I33" s="20">
        <f t="shared" si="0"/>
        <v>34.549999999999997</v>
      </c>
      <c r="J33" s="15">
        <v>417545</v>
      </c>
      <c r="K33" s="15">
        <f>G33-364089</f>
        <v>35911</v>
      </c>
      <c r="L33" s="15">
        <v>53456</v>
      </c>
      <c r="M33" s="30">
        <v>254</v>
      </c>
      <c r="N33" s="34">
        <v>727.90000899999995</v>
      </c>
      <c r="O33" s="39">
        <v>1.0049999999999999</v>
      </c>
      <c r="P33" s="39">
        <v>0.30299999999999999</v>
      </c>
      <c r="Q33" s="15">
        <f t="shared" si="1"/>
        <v>141.38188976377953</v>
      </c>
      <c r="R33" s="15">
        <f t="shared" si="2"/>
        <v>35732.338308457714</v>
      </c>
      <c r="S33" s="44">
        <f t="shared" si="3"/>
        <v>0.8203016140600945</v>
      </c>
      <c r="T33" s="39">
        <v>254</v>
      </c>
      <c r="U33" s="5" t="s">
        <v>169</v>
      </c>
      <c r="V33" t="s">
        <v>265</v>
      </c>
      <c r="W33" t="s">
        <v>266</v>
      </c>
      <c r="X33" t="s">
        <v>171</v>
      </c>
      <c r="Y33">
        <v>0</v>
      </c>
      <c r="Z33">
        <v>1</v>
      </c>
      <c r="AA33" s="7">
        <v>43283</v>
      </c>
      <c r="AC33" s="6" t="s">
        <v>41</v>
      </c>
      <c r="AD33" t="s">
        <v>267</v>
      </c>
    </row>
    <row r="34" spans="1:31" x14ac:dyDescent="0.3">
      <c r="A34" t="s">
        <v>218</v>
      </c>
      <c r="B34" t="s">
        <v>219</v>
      </c>
      <c r="C34" s="25">
        <v>44769</v>
      </c>
      <c r="D34" s="15">
        <v>150000</v>
      </c>
      <c r="E34" t="s">
        <v>133</v>
      </c>
      <c r="F34" t="s">
        <v>46</v>
      </c>
      <c r="G34" s="15">
        <v>150000</v>
      </c>
      <c r="H34" s="15">
        <v>115800</v>
      </c>
      <c r="I34" s="20">
        <f t="shared" ref="I34:I65" si="4">H34/G34*100</f>
        <v>77.2</v>
      </c>
      <c r="J34" s="15">
        <v>211236</v>
      </c>
      <c r="K34" s="15">
        <f>G34-111109</f>
        <v>38891</v>
      </c>
      <c r="L34" s="15">
        <v>100127</v>
      </c>
      <c r="M34" s="30">
        <v>250</v>
      </c>
      <c r="N34" s="34">
        <v>678</v>
      </c>
      <c r="O34" s="39">
        <v>4.0199999999999996</v>
      </c>
      <c r="P34" s="39">
        <v>4.0199999999999996</v>
      </c>
      <c r="Q34" s="15">
        <f t="shared" ref="Q34:Q65" si="5">K34/M34</f>
        <v>155.56399999999999</v>
      </c>
      <c r="R34" s="15">
        <f t="shared" ref="R34:R65" si="6">K34/O34</f>
        <v>9674.3781094527367</v>
      </c>
      <c r="S34" s="44">
        <f t="shared" ref="S34:S65" si="7">K34/O34/43560</f>
        <v>0.22209316137402976</v>
      </c>
      <c r="T34" s="39">
        <v>250</v>
      </c>
      <c r="U34" s="5" t="s">
        <v>56</v>
      </c>
      <c r="V34" t="s">
        <v>220</v>
      </c>
      <c r="X34" t="s">
        <v>185</v>
      </c>
      <c r="Y34">
        <v>0</v>
      </c>
      <c r="Z34">
        <v>1</v>
      </c>
      <c r="AA34" s="7">
        <v>41919</v>
      </c>
      <c r="AC34" s="6" t="s">
        <v>41</v>
      </c>
    </row>
    <row r="35" spans="1:31" x14ac:dyDescent="0.3">
      <c r="A35" t="s">
        <v>140</v>
      </c>
      <c r="C35" s="25">
        <v>44621</v>
      </c>
      <c r="D35" s="15">
        <v>40000</v>
      </c>
      <c r="E35" t="s">
        <v>45</v>
      </c>
      <c r="F35" t="s">
        <v>141</v>
      </c>
      <c r="G35" s="15">
        <v>40000</v>
      </c>
      <c r="H35" s="15">
        <v>0</v>
      </c>
      <c r="I35" s="20">
        <f t="shared" si="4"/>
        <v>0</v>
      </c>
      <c r="J35" s="15">
        <v>0</v>
      </c>
      <c r="K35" s="15">
        <f>G35-0</f>
        <v>40000</v>
      </c>
      <c r="L35" s="15">
        <v>0</v>
      </c>
      <c r="M35" s="30">
        <v>0</v>
      </c>
      <c r="N35" s="34">
        <v>0</v>
      </c>
      <c r="O35" s="39">
        <v>20.9</v>
      </c>
      <c r="P35" s="39">
        <v>20.9</v>
      </c>
      <c r="Q35" s="15" t="e">
        <f t="shared" si="5"/>
        <v>#DIV/0!</v>
      </c>
      <c r="R35" s="15">
        <f t="shared" si="6"/>
        <v>1913.8755980861245</v>
      </c>
      <c r="S35" s="44">
        <f t="shared" si="7"/>
        <v>4.3936538064419751E-2</v>
      </c>
      <c r="T35" s="39">
        <v>0</v>
      </c>
      <c r="U35" s="5" t="s">
        <v>142</v>
      </c>
      <c r="V35" t="s">
        <v>143</v>
      </c>
      <c r="Y35">
        <v>0</v>
      </c>
      <c r="Z35">
        <v>0</v>
      </c>
      <c r="AA35" t="s">
        <v>40</v>
      </c>
      <c r="AB35" t="s">
        <v>48</v>
      </c>
      <c r="AC35" s="6" t="s">
        <v>41</v>
      </c>
    </row>
    <row r="36" spans="1:31" x14ac:dyDescent="0.3">
      <c r="A36" t="s">
        <v>251</v>
      </c>
      <c r="B36" t="s">
        <v>252</v>
      </c>
      <c r="C36" s="25">
        <v>44343</v>
      </c>
      <c r="D36" s="15">
        <v>270000</v>
      </c>
      <c r="E36" t="s">
        <v>45</v>
      </c>
      <c r="F36" t="s">
        <v>46</v>
      </c>
      <c r="G36" s="15">
        <v>270000</v>
      </c>
      <c r="H36" s="15">
        <v>73500</v>
      </c>
      <c r="I36" s="20">
        <f t="shared" si="4"/>
        <v>27.222222222222221</v>
      </c>
      <c r="J36" s="15">
        <v>234683</v>
      </c>
      <c r="K36" s="15">
        <f>G36-227643</f>
        <v>42357</v>
      </c>
      <c r="L36" s="15">
        <v>7040</v>
      </c>
      <c r="M36" s="30">
        <v>1124</v>
      </c>
      <c r="N36" s="34">
        <v>321</v>
      </c>
      <c r="O36" s="39">
        <v>6.24</v>
      </c>
      <c r="P36" s="39">
        <v>6.24</v>
      </c>
      <c r="Q36" s="15">
        <f t="shared" si="5"/>
        <v>37.684163701067618</v>
      </c>
      <c r="R36" s="15">
        <f t="shared" si="6"/>
        <v>6787.9807692307686</v>
      </c>
      <c r="S36" s="44">
        <f t="shared" si="7"/>
        <v>0.15583059617150524</v>
      </c>
      <c r="T36" s="39">
        <v>1124</v>
      </c>
      <c r="U36" s="5" t="s">
        <v>169</v>
      </c>
      <c r="V36" t="s">
        <v>253</v>
      </c>
      <c r="X36" t="s">
        <v>171</v>
      </c>
      <c r="Y36">
        <v>0</v>
      </c>
      <c r="Z36">
        <v>1</v>
      </c>
      <c r="AA36" s="7">
        <v>43259</v>
      </c>
      <c r="AC36" s="6" t="s">
        <v>41</v>
      </c>
    </row>
    <row r="37" spans="1:31" x14ac:dyDescent="0.3">
      <c r="A37" t="s">
        <v>246</v>
      </c>
      <c r="B37" t="s">
        <v>247</v>
      </c>
      <c r="C37" s="25">
        <v>44643</v>
      </c>
      <c r="D37" s="15">
        <v>265000</v>
      </c>
      <c r="E37" t="s">
        <v>45</v>
      </c>
      <c r="F37" t="s">
        <v>46</v>
      </c>
      <c r="G37" s="15">
        <v>265000</v>
      </c>
      <c r="H37" s="15">
        <v>149700</v>
      </c>
      <c r="I37" s="20">
        <f t="shared" si="4"/>
        <v>56.490566037735846</v>
      </c>
      <c r="J37" s="15">
        <v>281015</v>
      </c>
      <c r="K37" s="15">
        <f>G37-218028</f>
        <v>46972</v>
      </c>
      <c r="L37" s="15">
        <v>62987</v>
      </c>
      <c r="M37" s="30">
        <v>300</v>
      </c>
      <c r="N37" s="34">
        <v>350</v>
      </c>
      <c r="O37" s="39">
        <v>4.82</v>
      </c>
      <c r="P37" s="39">
        <v>2.41</v>
      </c>
      <c r="Q37" s="15">
        <f t="shared" si="5"/>
        <v>156.57333333333332</v>
      </c>
      <c r="R37" s="15">
        <f t="shared" si="6"/>
        <v>9745.2282157676345</v>
      </c>
      <c r="S37" s="44">
        <f t="shared" si="7"/>
        <v>0.223719656009358</v>
      </c>
      <c r="T37" s="39">
        <v>300</v>
      </c>
      <c r="U37" s="5" t="s">
        <v>56</v>
      </c>
      <c r="V37" t="s">
        <v>248</v>
      </c>
      <c r="X37" t="s">
        <v>185</v>
      </c>
      <c r="Y37">
        <v>0</v>
      </c>
      <c r="Z37">
        <v>1</v>
      </c>
      <c r="AA37" s="7">
        <v>43293</v>
      </c>
      <c r="AC37" s="6" t="s">
        <v>41</v>
      </c>
    </row>
    <row r="38" spans="1:31" x14ac:dyDescent="0.3">
      <c r="A38" t="s">
        <v>115</v>
      </c>
      <c r="B38" t="s">
        <v>116</v>
      </c>
      <c r="C38" s="25">
        <v>44530</v>
      </c>
      <c r="D38" s="15">
        <v>600000</v>
      </c>
      <c r="E38" t="s">
        <v>45</v>
      </c>
      <c r="F38" t="s">
        <v>35</v>
      </c>
      <c r="G38" s="15">
        <v>600000</v>
      </c>
      <c r="H38" s="15">
        <v>251800</v>
      </c>
      <c r="I38" s="20">
        <f t="shared" si="4"/>
        <v>41.966666666666669</v>
      </c>
      <c r="J38" s="15">
        <v>548353</v>
      </c>
      <c r="K38" s="15">
        <f>G38-548353</f>
        <v>51647</v>
      </c>
      <c r="L38" s="15">
        <v>0</v>
      </c>
      <c r="M38" s="30">
        <v>325</v>
      </c>
      <c r="N38" s="34">
        <v>250</v>
      </c>
      <c r="O38" s="39">
        <v>0.98499999999999999</v>
      </c>
      <c r="P38" s="39">
        <v>0.73899999999999999</v>
      </c>
      <c r="Q38" s="15">
        <f t="shared" si="5"/>
        <v>158.91384615384615</v>
      </c>
      <c r="R38" s="15">
        <f t="shared" si="6"/>
        <v>52433.502538071065</v>
      </c>
      <c r="S38" s="44">
        <f t="shared" si="7"/>
        <v>1.2037075881099877</v>
      </c>
      <c r="T38" s="39">
        <v>325</v>
      </c>
      <c r="U38" s="5" t="s">
        <v>36</v>
      </c>
      <c r="V38" t="s">
        <v>117</v>
      </c>
      <c r="W38" t="s">
        <v>118</v>
      </c>
      <c r="X38" t="s">
        <v>70</v>
      </c>
      <c r="Y38">
        <v>0</v>
      </c>
      <c r="Z38">
        <v>0</v>
      </c>
      <c r="AA38" t="s">
        <v>40</v>
      </c>
      <c r="AB38" t="s">
        <v>48</v>
      </c>
      <c r="AC38" s="6" t="s">
        <v>119</v>
      </c>
    </row>
    <row r="39" spans="1:31" x14ac:dyDescent="0.3">
      <c r="A39" t="s">
        <v>243</v>
      </c>
      <c r="B39" t="s">
        <v>244</v>
      </c>
      <c r="C39" s="25">
        <v>44670</v>
      </c>
      <c r="D39" s="15">
        <v>100000</v>
      </c>
      <c r="E39" t="s">
        <v>45</v>
      </c>
      <c r="F39" t="s">
        <v>46</v>
      </c>
      <c r="G39" s="15">
        <v>100000</v>
      </c>
      <c r="H39" s="15">
        <v>19200</v>
      </c>
      <c r="I39" s="20">
        <f t="shared" si="4"/>
        <v>19.2</v>
      </c>
      <c r="J39" s="15">
        <v>47750</v>
      </c>
      <c r="K39" s="15">
        <f>G39-37927</f>
        <v>62073</v>
      </c>
      <c r="L39" s="15">
        <v>9823</v>
      </c>
      <c r="M39" s="30">
        <v>100</v>
      </c>
      <c r="N39" s="34">
        <v>164</v>
      </c>
      <c r="O39" s="39">
        <v>0.752</v>
      </c>
      <c r="P39" s="39">
        <v>0.376</v>
      </c>
      <c r="Q39" s="15">
        <f t="shared" si="5"/>
        <v>620.73</v>
      </c>
      <c r="R39" s="15">
        <f t="shared" si="6"/>
        <v>82543.882978723399</v>
      </c>
      <c r="S39" s="44">
        <f t="shared" si="7"/>
        <v>1.8949468085106382</v>
      </c>
      <c r="T39" s="39">
        <v>100</v>
      </c>
      <c r="U39" s="5" t="s">
        <v>56</v>
      </c>
      <c r="V39" t="s">
        <v>245</v>
      </c>
      <c r="X39" t="s">
        <v>185</v>
      </c>
      <c r="Y39">
        <v>0</v>
      </c>
      <c r="Z39">
        <v>1</v>
      </c>
      <c r="AA39" s="7">
        <v>40023</v>
      </c>
      <c r="AB39" t="s">
        <v>48</v>
      </c>
      <c r="AC39" s="6" t="s">
        <v>41</v>
      </c>
    </row>
    <row r="40" spans="1:31" x14ac:dyDescent="0.3">
      <c r="A40" t="s">
        <v>153</v>
      </c>
      <c r="B40" t="s">
        <v>154</v>
      </c>
      <c r="C40" s="25">
        <v>44365</v>
      </c>
      <c r="D40" s="15">
        <v>70000</v>
      </c>
      <c r="E40" t="s">
        <v>45</v>
      </c>
      <c r="F40" t="s">
        <v>46</v>
      </c>
      <c r="G40" s="15">
        <v>70000</v>
      </c>
      <c r="H40" s="15">
        <v>21500</v>
      </c>
      <c r="I40" s="20">
        <f t="shared" si="4"/>
        <v>30.714285714285715</v>
      </c>
      <c r="J40" s="15">
        <v>59275</v>
      </c>
      <c r="K40" s="15">
        <f>G40-0</f>
        <v>70000</v>
      </c>
      <c r="L40" s="15">
        <v>59275</v>
      </c>
      <c r="M40" s="30">
        <v>0</v>
      </c>
      <c r="N40" s="34">
        <v>0</v>
      </c>
      <c r="O40" s="39">
        <v>24.44</v>
      </c>
      <c r="P40" s="39">
        <v>24.44</v>
      </c>
      <c r="Q40" s="15" t="e">
        <f t="shared" si="5"/>
        <v>#DIV/0!</v>
      </c>
      <c r="R40" s="15">
        <f t="shared" si="6"/>
        <v>2864.1571194762682</v>
      </c>
      <c r="S40" s="44">
        <f t="shared" si="7"/>
        <v>6.5751999987976775E-2</v>
      </c>
      <c r="T40" s="39">
        <v>0</v>
      </c>
      <c r="U40" s="5" t="s">
        <v>142</v>
      </c>
      <c r="V40" t="s">
        <v>155</v>
      </c>
      <c r="Y40">
        <v>0</v>
      </c>
      <c r="Z40">
        <v>1</v>
      </c>
      <c r="AA40" t="s">
        <v>40</v>
      </c>
      <c r="AB40" t="s">
        <v>48</v>
      </c>
      <c r="AC40" s="6" t="s">
        <v>156</v>
      </c>
    </row>
    <row r="41" spans="1:31" x14ac:dyDescent="0.3">
      <c r="A41" t="s">
        <v>210</v>
      </c>
      <c r="C41" s="25">
        <v>44529</v>
      </c>
      <c r="D41" s="15">
        <v>73200</v>
      </c>
      <c r="E41" t="s">
        <v>45</v>
      </c>
      <c r="F41" t="s">
        <v>46</v>
      </c>
      <c r="G41" s="15">
        <v>73200</v>
      </c>
      <c r="H41" s="15">
        <v>36600</v>
      </c>
      <c r="I41" s="20">
        <f t="shared" si="4"/>
        <v>50</v>
      </c>
      <c r="J41" s="15">
        <v>74763</v>
      </c>
      <c r="K41" s="15">
        <f>G41-0</f>
        <v>73200</v>
      </c>
      <c r="L41" s="15">
        <v>74763</v>
      </c>
      <c r="M41" s="30">
        <v>20</v>
      </c>
      <c r="N41" s="34">
        <v>2437</v>
      </c>
      <c r="O41" s="39">
        <v>1.119</v>
      </c>
      <c r="P41" s="39">
        <v>1.119</v>
      </c>
      <c r="Q41" s="15">
        <f t="shared" si="5"/>
        <v>3660</v>
      </c>
      <c r="R41" s="15">
        <f t="shared" si="6"/>
        <v>65415.549597855228</v>
      </c>
      <c r="S41" s="44">
        <f t="shared" si="7"/>
        <v>1.5017343801160521</v>
      </c>
      <c r="T41" s="39">
        <v>20</v>
      </c>
      <c r="U41" s="5" t="s">
        <v>56</v>
      </c>
      <c r="V41" t="s">
        <v>211</v>
      </c>
      <c r="X41" t="s">
        <v>185</v>
      </c>
      <c r="Y41">
        <v>0</v>
      </c>
      <c r="Z41">
        <v>1</v>
      </c>
      <c r="AA41" s="7">
        <v>43719</v>
      </c>
      <c r="AB41" t="s">
        <v>48</v>
      </c>
      <c r="AC41" s="6" t="s">
        <v>122</v>
      </c>
    </row>
    <row r="42" spans="1:31" x14ac:dyDescent="0.3">
      <c r="A42" t="s">
        <v>123</v>
      </c>
      <c r="B42" t="s">
        <v>124</v>
      </c>
      <c r="C42" s="25">
        <v>44993</v>
      </c>
      <c r="D42" s="15">
        <v>83000</v>
      </c>
      <c r="E42" t="s">
        <v>45</v>
      </c>
      <c r="F42" t="s">
        <v>46</v>
      </c>
      <c r="G42" s="15">
        <v>83000</v>
      </c>
      <c r="H42" s="15">
        <v>33000</v>
      </c>
      <c r="I42" s="20">
        <f t="shared" si="4"/>
        <v>39.75903614457831</v>
      </c>
      <c r="J42" s="15">
        <v>77625</v>
      </c>
      <c r="K42" s="15">
        <f>G42-0</f>
        <v>83000</v>
      </c>
      <c r="L42" s="15">
        <v>77625</v>
      </c>
      <c r="M42" s="30">
        <v>225</v>
      </c>
      <c r="N42" s="34">
        <v>288</v>
      </c>
      <c r="O42" s="39">
        <v>2.9780000000000002</v>
      </c>
      <c r="P42" s="39">
        <v>2.9780000000000002</v>
      </c>
      <c r="Q42" s="15">
        <f t="shared" si="5"/>
        <v>368.88888888888891</v>
      </c>
      <c r="R42" s="15">
        <f t="shared" si="6"/>
        <v>27871.054398925451</v>
      </c>
      <c r="S42" s="44">
        <f t="shared" si="7"/>
        <v>0.63983136820306363</v>
      </c>
      <c r="T42" s="39">
        <v>225</v>
      </c>
      <c r="U42" s="5" t="s">
        <v>56</v>
      </c>
      <c r="V42" t="s">
        <v>125</v>
      </c>
      <c r="X42" t="s">
        <v>39</v>
      </c>
      <c r="Y42">
        <v>0</v>
      </c>
      <c r="Z42">
        <v>0</v>
      </c>
      <c r="AA42" t="s">
        <v>40</v>
      </c>
      <c r="AB42" t="s">
        <v>48</v>
      </c>
      <c r="AC42" s="6" t="s">
        <v>122</v>
      </c>
      <c r="AD42" t="s">
        <v>42</v>
      </c>
    </row>
    <row r="43" spans="1:31" x14ac:dyDescent="0.3">
      <c r="A43" t="s">
        <v>240</v>
      </c>
      <c r="B43" t="s">
        <v>241</v>
      </c>
      <c r="C43" s="25">
        <v>44673</v>
      </c>
      <c r="D43" s="15">
        <v>250000</v>
      </c>
      <c r="E43" t="s">
        <v>45</v>
      </c>
      <c r="F43" t="s">
        <v>46</v>
      </c>
      <c r="G43" s="15">
        <v>250000</v>
      </c>
      <c r="H43" s="15">
        <v>99200</v>
      </c>
      <c r="I43" s="20">
        <f t="shared" si="4"/>
        <v>39.68</v>
      </c>
      <c r="J43" s="15">
        <v>236392</v>
      </c>
      <c r="K43" s="15">
        <f>G43-150244</f>
        <v>99756</v>
      </c>
      <c r="L43" s="15">
        <v>86148</v>
      </c>
      <c r="M43" s="30">
        <v>0</v>
      </c>
      <c r="N43" s="34">
        <v>0</v>
      </c>
      <c r="O43" s="39">
        <v>0.83799999999999997</v>
      </c>
      <c r="P43" s="39">
        <v>0.83799999999999997</v>
      </c>
      <c r="Q43" s="15" t="e">
        <f t="shared" si="5"/>
        <v>#DIV/0!</v>
      </c>
      <c r="R43" s="15">
        <f t="shared" si="6"/>
        <v>119040.57279236277</v>
      </c>
      <c r="S43" s="44">
        <f t="shared" si="7"/>
        <v>2.7327955186492829</v>
      </c>
      <c r="T43" s="39">
        <v>0</v>
      </c>
      <c r="U43" s="5" t="s">
        <v>56</v>
      </c>
      <c r="V43" t="s">
        <v>242</v>
      </c>
      <c r="X43" t="s">
        <v>185</v>
      </c>
      <c r="Y43">
        <v>0</v>
      </c>
      <c r="Z43">
        <v>1</v>
      </c>
      <c r="AA43" t="s">
        <v>40</v>
      </c>
      <c r="AB43" t="s">
        <v>48</v>
      </c>
      <c r="AC43" s="6" t="s">
        <v>41</v>
      </c>
    </row>
    <row r="44" spans="1:31" x14ac:dyDescent="0.3">
      <c r="A44" t="s">
        <v>182</v>
      </c>
      <c r="B44" t="s">
        <v>183</v>
      </c>
      <c r="C44" s="25">
        <v>44354</v>
      </c>
      <c r="D44" s="15">
        <v>235000</v>
      </c>
      <c r="E44" t="s">
        <v>45</v>
      </c>
      <c r="F44" t="s">
        <v>46</v>
      </c>
      <c r="G44" s="15">
        <v>235000</v>
      </c>
      <c r="H44" s="15">
        <v>97500</v>
      </c>
      <c r="I44" s="20">
        <f t="shared" si="4"/>
        <v>41.48936170212766</v>
      </c>
      <c r="J44" s="15">
        <v>238451</v>
      </c>
      <c r="K44" s="15">
        <f>G44-134724</f>
        <v>100276</v>
      </c>
      <c r="L44" s="15">
        <v>103727</v>
      </c>
      <c r="M44" s="30">
        <v>164</v>
      </c>
      <c r="N44" s="34">
        <v>299</v>
      </c>
      <c r="O44" s="39">
        <v>1.129</v>
      </c>
      <c r="P44" s="39">
        <v>1.129</v>
      </c>
      <c r="Q44" s="15">
        <f t="shared" si="5"/>
        <v>611.43902439024396</v>
      </c>
      <c r="R44" s="15">
        <f t="shared" si="6"/>
        <v>88818.423383525238</v>
      </c>
      <c r="S44" s="44">
        <f t="shared" si="7"/>
        <v>2.038990435801773</v>
      </c>
      <c r="T44" s="39">
        <v>164</v>
      </c>
      <c r="U44" s="5" t="s">
        <v>56</v>
      </c>
      <c r="V44" t="s">
        <v>184</v>
      </c>
      <c r="X44" t="s">
        <v>185</v>
      </c>
      <c r="Y44">
        <v>1</v>
      </c>
      <c r="Z44">
        <v>0</v>
      </c>
      <c r="AA44" s="7">
        <v>44033</v>
      </c>
      <c r="AC44" s="6" t="s">
        <v>41</v>
      </c>
    </row>
    <row r="45" spans="1:31" x14ac:dyDescent="0.3">
      <c r="A45" t="s">
        <v>112</v>
      </c>
      <c r="B45" t="s">
        <v>113</v>
      </c>
      <c r="C45" s="25">
        <v>44944</v>
      </c>
      <c r="D45" s="15">
        <v>175000</v>
      </c>
      <c r="E45" t="s">
        <v>45</v>
      </c>
      <c r="F45" t="s">
        <v>46</v>
      </c>
      <c r="G45" s="15">
        <v>175000</v>
      </c>
      <c r="H45" s="15">
        <v>40000</v>
      </c>
      <c r="I45" s="20">
        <f t="shared" si="4"/>
        <v>22.857142857142858</v>
      </c>
      <c r="J45" s="15">
        <v>129941</v>
      </c>
      <c r="K45" s="15">
        <f>G45-69566</f>
        <v>105434</v>
      </c>
      <c r="L45" s="15">
        <v>60375</v>
      </c>
      <c r="M45" s="30">
        <v>87.5</v>
      </c>
      <c r="N45" s="34">
        <v>115.85714</v>
      </c>
      <c r="O45" s="39">
        <v>0.23300000000000001</v>
      </c>
      <c r="P45" s="39">
        <v>0.23300000000000001</v>
      </c>
      <c r="Q45" s="15">
        <f t="shared" si="5"/>
        <v>1204.96</v>
      </c>
      <c r="R45" s="15">
        <f t="shared" si="6"/>
        <v>452506.43776824034</v>
      </c>
      <c r="S45" s="44">
        <f t="shared" si="7"/>
        <v>10.388118406066123</v>
      </c>
      <c r="T45" s="39">
        <v>87.5</v>
      </c>
      <c r="U45" s="5" t="s">
        <v>56</v>
      </c>
      <c r="V45" t="s">
        <v>114</v>
      </c>
      <c r="X45" t="s">
        <v>39</v>
      </c>
      <c r="Y45">
        <v>0</v>
      </c>
      <c r="Z45">
        <v>1</v>
      </c>
      <c r="AA45" t="s">
        <v>40</v>
      </c>
      <c r="AB45" t="s">
        <v>48</v>
      </c>
      <c r="AC45" s="6" t="s">
        <v>41</v>
      </c>
      <c r="AD45" t="s">
        <v>42</v>
      </c>
      <c r="AE45" t="s">
        <v>42</v>
      </c>
    </row>
    <row r="46" spans="1:31" x14ac:dyDescent="0.3">
      <c r="A46" t="s">
        <v>254</v>
      </c>
      <c r="B46" t="s">
        <v>255</v>
      </c>
      <c r="C46" s="25">
        <v>44343</v>
      </c>
      <c r="D46" s="15">
        <v>380000</v>
      </c>
      <c r="E46" t="s">
        <v>45</v>
      </c>
      <c r="F46" t="s">
        <v>46</v>
      </c>
      <c r="G46" s="15">
        <v>380000</v>
      </c>
      <c r="H46" s="15">
        <v>147600</v>
      </c>
      <c r="I46" s="20">
        <f t="shared" si="4"/>
        <v>38.842105263157897</v>
      </c>
      <c r="J46" s="15">
        <v>355800</v>
      </c>
      <c r="K46" s="15">
        <f>G46-271041</f>
        <v>108959</v>
      </c>
      <c r="L46" s="15">
        <v>84759</v>
      </c>
      <c r="M46" s="30">
        <v>344</v>
      </c>
      <c r="N46" s="34">
        <v>525</v>
      </c>
      <c r="O46" s="39">
        <v>4.9429999999999996</v>
      </c>
      <c r="P46" s="39">
        <v>4.7300000000000004</v>
      </c>
      <c r="Q46" s="15">
        <f t="shared" si="5"/>
        <v>316.74127906976742</v>
      </c>
      <c r="R46" s="15">
        <f t="shared" si="6"/>
        <v>22043.091240137572</v>
      </c>
      <c r="S46" s="44">
        <f t="shared" si="7"/>
        <v>0.50603974380481109</v>
      </c>
      <c r="T46" s="39">
        <v>344</v>
      </c>
      <c r="U46" s="5" t="s">
        <v>169</v>
      </c>
      <c r="V46" t="s">
        <v>256</v>
      </c>
      <c r="X46" t="s">
        <v>171</v>
      </c>
      <c r="Y46">
        <v>0</v>
      </c>
      <c r="Z46">
        <v>1</v>
      </c>
      <c r="AA46" s="7">
        <v>42157</v>
      </c>
      <c r="AC46" s="6" t="s">
        <v>41</v>
      </c>
    </row>
    <row r="47" spans="1:31" x14ac:dyDescent="0.3">
      <c r="A47" t="s">
        <v>192</v>
      </c>
      <c r="B47" t="s">
        <v>193</v>
      </c>
      <c r="C47" s="25">
        <v>44727</v>
      </c>
      <c r="D47" s="15">
        <v>110000</v>
      </c>
      <c r="E47" t="s">
        <v>45</v>
      </c>
      <c r="F47" t="s">
        <v>46</v>
      </c>
      <c r="G47" s="15">
        <v>110000</v>
      </c>
      <c r="H47" s="15">
        <v>35400</v>
      </c>
      <c r="I47" s="20">
        <f t="shared" si="4"/>
        <v>32.181818181818187</v>
      </c>
      <c r="J47" s="15">
        <v>129112</v>
      </c>
      <c r="K47" s="15">
        <f>G47-0</f>
        <v>110000</v>
      </c>
      <c r="L47" s="15">
        <v>129112</v>
      </c>
      <c r="M47" s="30">
        <v>243.33333300000001</v>
      </c>
      <c r="N47" s="34">
        <v>804</v>
      </c>
      <c r="O47" s="39">
        <v>4.9400000000000004</v>
      </c>
      <c r="P47" s="39">
        <v>5.09</v>
      </c>
      <c r="Q47" s="15">
        <f t="shared" si="5"/>
        <v>452.05479513980106</v>
      </c>
      <c r="R47" s="15">
        <f t="shared" si="6"/>
        <v>22267.206477732791</v>
      </c>
      <c r="S47" s="44">
        <f t="shared" si="7"/>
        <v>0.51118472171103746</v>
      </c>
      <c r="T47" s="39">
        <v>0</v>
      </c>
      <c r="U47" s="5" t="s">
        <v>56</v>
      </c>
      <c r="V47" t="s">
        <v>194</v>
      </c>
      <c r="X47" t="s">
        <v>185</v>
      </c>
      <c r="Y47">
        <v>0</v>
      </c>
      <c r="Z47">
        <v>1</v>
      </c>
      <c r="AA47" s="7">
        <v>44056</v>
      </c>
      <c r="AC47" s="6" t="s">
        <v>122</v>
      </c>
    </row>
    <row r="48" spans="1:31" x14ac:dyDescent="0.3">
      <c r="A48" t="s">
        <v>293</v>
      </c>
      <c r="B48" t="s">
        <v>294</v>
      </c>
      <c r="C48" s="25">
        <v>44461</v>
      </c>
      <c r="D48" s="15">
        <v>342900</v>
      </c>
      <c r="E48" t="s">
        <v>45</v>
      </c>
      <c r="F48" t="s">
        <v>46</v>
      </c>
      <c r="G48" s="15">
        <v>342900</v>
      </c>
      <c r="H48" s="15">
        <v>73900</v>
      </c>
      <c r="I48" s="20">
        <f t="shared" si="4"/>
        <v>21.551472732575093</v>
      </c>
      <c r="J48" s="15">
        <v>250998</v>
      </c>
      <c r="K48" s="15">
        <f>G48-231958</f>
        <v>110942</v>
      </c>
      <c r="L48" s="15">
        <v>19040</v>
      </c>
      <c r="M48" s="30">
        <v>0</v>
      </c>
      <c r="N48" s="34">
        <v>0</v>
      </c>
      <c r="O48" s="39">
        <v>0.93</v>
      </c>
      <c r="P48" s="39">
        <v>0.93</v>
      </c>
      <c r="Q48" s="15" t="e">
        <f t="shared" si="5"/>
        <v>#DIV/0!</v>
      </c>
      <c r="R48" s="15">
        <f t="shared" si="6"/>
        <v>119292.47311827957</v>
      </c>
      <c r="S48" s="44">
        <f t="shared" si="7"/>
        <v>2.7385783544141313</v>
      </c>
      <c r="T48" s="39">
        <v>0</v>
      </c>
      <c r="U48" s="5" t="s">
        <v>169</v>
      </c>
      <c r="V48" t="s">
        <v>295</v>
      </c>
      <c r="X48" t="s">
        <v>171</v>
      </c>
      <c r="Y48">
        <v>0</v>
      </c>
      <c r="Z48">
        <v>0</v>
      </c>
      <c r="AA48" t="s">
        <v>40</v>
      </c>
      <c r="AB48" t="s">
        <v>48</v>
      </c>
      <c r="AC48" s="6" t="s">
        <v>41</v>
      </c>
    </row>
    <row r="49" spans="1:30" x14ac:dyDescent="0.3">
      <c r="A49" t="s">
        <v>278</v>
      </c>
      <c r="B49" t="s">
        <v>279</v>
      </c>
      <c r="C49" s="25">
        <v>44560</v>
      </c>
      <c r="D49" s="15">
        <v>400000</v>
      </c>
      <c r="E49" t="s">
        <v>45</v>
      </c>
      <c r="F49" t="s">
        <v>35</v>
      </c>
      <c r="G49" s="15">
        <v>400000</v>
      </c>
      <c r="H49" s="15">
        <v>133000</v>
      </c>
      <c r="I49" s="20">
        <f t="shared" si="4"/>
        <v>33.25</v>
      </c>
      <c r="J49" s="15">
        <v>333246</v>
      </c>
      <c r="K49" s="15">
        <f>G49-286308</f>
        <v>113692</v>
      </c>
      <c r="L49" s="15">
        <v>46938</v>
      </c>
      <c r="M49" s="30">
        <v>297</v>
      </c>
      <c r="N49" s="34">
        <v>200</v>
      </c>
      <c r="O49" s="39">
        <v>0.68200000000000005</v>
      </c>
      <c r="P49" s="39">
        <v>0.45900000000000002</v>
      </c>
      <c r="Q49" s="15">
        <f t="shared" si="5"/>
        <v>382.80134680134682</v>
      </c>
      <c r="R49" s="15">
        <f t="shared" si="6"/>
        <v>166703.81231671554</v>
      </c>
      <c r="S49" s="44">
        <f t="shared" si="7"/>
        <v>3.8269929365637179</v>
      </c>
      <c r="T49" s="39">
        <v>297</v>
      </c>
      <c r="U49" s="5" t="s">
        <v>169</v>
      </c>
      <c r="V49" t="s">
        <v>280</v>
      </c>
      <c r="W49" t="s">
        <v>281</v>
      </c>
      <c r="X49" t="s">
        <v>171</v>
      </c>
      <c r="Y49">
        <v>0</v>
      </c>
      <c r="Z49">
        <v>1</v>
      </c>
      <c r="AA49" s="7">
        <v>42585</v>
      </c>
      <c r="AC49" s="6" t="s">
        <v>41</v>
      </c>
    </row>
    <row r="50" spans="1:30" x14ac:dyDescent="0.3">
      <c r="A50" t="s">
        <v>224</v>
      </c>
      <c r="B50" t="s">
        <v>225</v>
      </c>
      <c r="C50" s="25">
        <v>44741</v>
      </c>
      <c r="D50" s="15">
        <v>150000</v>
      </c>
      <c r="E50" t="s">
        <v>45</v>
      </c>
      <c r="F50" t="s">
        <v>46</v>
      </c>
      <c r="G50" s="15">
        <v>150000</v>
      </c>
      <c r="H50" s="15">
        <v>51100</v>
      </c>
      <c r="I50" s="20">
        <f t="shared" si="4"/>
        <v>34.06666666666667</v>
      </c>
      <c r="J50" s="15">
        <v>157878</v>
      </c>
      <c r="K50" s="15">
        <f>G50-33732</f>
        <v>116268</v>
      </c>
      <c r="L50" s="15">
        <v>124146</v>
      </c>
      <c r="M50" s="30">
        <v>330</v>
      </c>
      <c r="N50" s="34">
        <v>660</v>
      </c>
      <c r="O50" s="39">
        <v>5</v>
      </c>
      <c r="P50" s="39">
        <v>5</v>
      </c>
      <c r="Q50" s="15">
        <f t="shared" si="5"/>
        <v>352.32727272727271</v>
      </c>
      <c r="R50" s="15">
        <f t="shared" si="6"/>
        <v>23253.599999999999</v>
      </c>
      <c r="S50" s="44">
        <f t="shared" si="7"/>
        <v>0.53382920110192833</v>
      </c>
      <c r="T50" s="39">
        <v>330</v>
      </c>
      <c r="U50" s="5" t="s">
        <v>56</v>
      </c>
      <c r="V50" t="s">
        <v>226</v>
      </c>
      <c r="X50" t="s">
        <v>185</v>
      </c>
      <c r="Y50">
        <v>0</v>
      </c>
      <c r="Z50">
        <v>1</v>
      </c>
      <c r="AA50" s="7">
        <v>42202</v>
      </c>
      <c r="AC50" s="6" t="s">
        <v>41</v>
      </c>
    </row>
    <row r="51" spans="1:30" x14ac:dyDescent="0.3">
      <c r="A51" t="s">
        <v>257</v>
      </c>
      <c r="B51" t="s">
        <v>258</v>
      </c>
      <c r="C51" s="25">
        <v>44483</v>
      </c>
      <c r="D51" s="15">
        <v>130000</v>
      </c>
      <c r="E51" t="s">
        <v>45</v>
      </c>
      <c r="F51" t="s">
        <v>46</v>
      </c>
      <c r="G51" s="15">
        <v>130000</v>
      </c>
      <c r="H51" s="15">
        <v>32800</v>
      </c>
      <c r="I51" s="20">
        <f t="shared" si="4"/>
        <v>25.23076923076923</v>
      </c>
      <c r="J51" s="15">
        <v>19650</v>
      </c>
      <c r="K51" s="15">
        <f>G51-0</f>
        <v>130000</v>
      </c>
      <c r="L51" s="15">
        <v>19650</v>
      </c>
      <c r="M51" s="30">
        <v>0</v>
      </c>
      <c r="N51" s="34">
        <v>0</v>
      </c>
      <c r="O51" s="39">
        <v>5</v>
      </c>
      <c r="P51" s="39">
        <v>5</v>
      </c>
      <c r="Q51" s="15" t="e">
        <f t="shared" si="5"/>
        <v>#DIV/0!</v>
      </c>
      <c r="R51" s="15">
        <f t="shared" si="6"/>
        <v>26000</v>
      </c>
      <c r="S51" s="44">
        <f t="shared" si="7"/>
        <v>0.59687786960514233</v>
      </c>
      <c r="T51" s="39">
        <v>0</v>
      </c>
      <c r="U51" s="5" t="s">
        <v>56</v>
      </c>
      <c r="V51" t="s">
        <v>259</v>
      </c>
      <c r="X51" t="s">
        <v>181</v>
      </c>
      <c r="Y51">
        <v>0</v>
      </c>
      <c r="Z51">
        <v>0</v>
      </c>
      <c r="AA51" t="s">
        <v>40</v>
      </c>
      <c r="AB51" t="s">
        <v>48</v>
      </c>
      <c r="AC51" s="6" t="s">
        <v>41</v>
      </c>
    </row>
    <row r="52" spans="1:30" x14ac:dyDescent="0.3">
      <c r="A52" t="s">
        <v>66</v>
      </c>
      <c r="B52" t="s">
        <v>67</v>
      </c>
      <c r="C52" s="25">
        <v>44915</v>
      </c>
      <c r="D52" s="15">
        <v>220000</v>
      </c>
      <c r="E52" t="s">
        <v>55</v>
      </c>
      <c r="F52" t="s">
        <v>35</v>
      </c>
      <c r="G52" s="15">
        <v>220000</v>
      </c>
      <c r="H52" s="15">
        <v>87200</v>
      </c>
      <c r="I52" s="20">
        <f t="shared" si="4"/>
        <v>39.636363636363633</v>
      </c>
      <c r="J52" s="15">
        <v>98859</v>
      </c>
      <c r="K52" s="15">
        <f>G52-67809</f>
        <v>152191</v>
      </c>
      <c r="L52" s="15">
        <v>31050</v>
      </c>
      <c r="M52" s="30">
        <v>195</v>
      </c>
      <c r="N52" s="34">
        <v>242</v>
      </c>
      <c r="O52" s="39">
        <v>0.49099999999999999</v>
      </c>
      <c r="P52" s="39">
        <v>0.34399999999999997</v>
      </c>
      <c r="Q52" s="15">
        <f t="shared" si="5"/>
        <v>780.4666666666667</v>
      </c>
      <c r="R52" s="15">
        <f t="shared" si="6"/>
        <v>309961.30346232181</v>
      </c>
      <c r="S52" s="44">
        <f t="shared" si="7"/>
        <v>7.1157324027162954</v>
      </c>
      <c r="T52" s="39">
        <v>195</v>
      </c>
      <c r="U52" s="5" t="s">
        <v>36</v>
      </c>
      <c r="V52" t="s">
        <v>68</v>
      </c>
      <c r="W52" t="s">
        <v>69</v>
      </c>
      <c r="X52" t="s">
        <v>70</v>
      </c>
      <c r="Y52">
        <v>0</v>
      </c>
      <c r="Z52">
        <v>1</v>
      </c>
      <c r="AA52" t="s">
        <v>40</v>
      </c>
      <c r="AB52" t="s">
        <v>48</v>
      </c>
      <c r="AC52" s="6" t="s">
        <v>41</v>
      </c>
      <c r="AD52" t="s">
        <v>42</v>
      </c>
    </row>
    <row r="53" spans="1:30" x14ac:dyDescent="0.3">
      <c r="A53" t="s">
        <v>275</v>
      </c>
      <c r="B53" t="s">
        <v>276</v>
      </c>
      <c r="C53" s="25">
        <v>44440</v>
      </c>
      <c r="D53" s="15">
        <v>260000</v>
      </c>
      <c r="E53" t="s">
        <v>45</v>
      </c>
      <c r="F53" t="s">
        <v>46</v>
      </c>
      <c r="G53" s="15">
        <v>260000</v>
      </c>
      <c r="H53" s="15">
        <v>65100</v>
      </c>
      <c r="I53" s="20">
        <f t="shared" si="4"/>
        <v>25.038461538461537</v>
      </c>
      <c r="J53" s="15">
        <v>144173</v>
      </c>
      <c r="K53" s="15">
        <f>G53-106175</f>
        <v>153825</v>
      </c>
      <c r="L53" s="15">
        <v>37998</v>
      </c>
      <c r="M53" s="30">
        <v>210</v>
      </c>
      <c r="N53" s="34">
        <v>385</v>
      </c>
      <c r="O53" s="39">
        <v>2</v>
      </c>
      <c r="P53" s="39">
        <v>2</v>
      </c>
      <c r="Q53" s="15">
        <f t="shared" si="5"/>
        <v>732.5</v>
      </c>
      <c r="R53" s="15">
        <f t="shared" si="6"/>
        <v>76912.5</v>
      </c>
      <c r="S53" s="44">
        <f t="shared" si="7"/>
        <v>1.7656680440771351</v>
      </c>
      <c r="T53" s="39">
        <v>210</v>
      </c>
      <c r="U53" s="5" t="s">
        <v>169</v>
      </c>
      <c r="V53" t="s">
        <v>277</v>
      </c>
      <c r="X53" t="s">
        <v>171</v>
      </c>
      <c r="Y53">
        <v>0</v>
      </c>
      <c r="Z53">
        <v>1</v>
      </c>
      <c r="AA53" s="7">
        <v>42969</v>
      </c>
      <c r="AC53" s="6" t="s">
        <v>41</v>
      </c>
    </row>
    <row r="54" spans="1:30" x14ac:dyDescent="0.3">
      <c r="A54" t="s">
        <v>97</v>
      </c>
      <c r="B54" t="s">
        <v>98</v>
      </c>
      <c r="C54" s="25">
        <v>44398</v>
      </c>
      <c r="D54" s="15">
        <v>275000</v>
      </c>
      <c r="E54" t="s">
        <v>45</v>
      </c>
      <c r="F54" t="s">
        <v>46</v>
      </c>
      <c r="G54" s="15">
        <v>275000</v>
      </c>
      <c r="H54" s="15">
        <v>68000</v>
      </c>
      <c r="I54" s="20">
        <f t="shared" si="4"/>
        <v>24.727272727272727</v>
      </c>
      <c r="J54" s="15">
        <v>181683</v>
      </c>
      <c r="K54" s="15">
        <f>G54-119583</f>
        <v>155417</v>
      </c>
      <c r="L54" s="15">
        <v>62100</v>
      </c>
      <c r="M54" s="30">
        <v>90</v>
      </c>
      <c r="N54" s="34">
        <v>175</v>
      </c>
      <c r="O54" s="39">
        <v>0.36199999999999999</v>
      </c>
      <c r="P54" s="39">
        <v>0.36199999999999999</v>
      </c>
      <c r="Q54" s="15">
        <f t="shared" si="5"/>
        <v>1726.8555555555556</v>
      </c>
      <c r="R54" s="15">
        <f t="shared" si="6"/>
        <v>429328.72928176797</v>
      </c>
      <c r="S54" s="44">
        <f t="shared" si="7"/>
        <v>9.8560314343840218</v>
      </c>
      <c r="T54" s="39">
        <v>90</v>
      </c>
      <c r="U54" s="5" t="s">
        <v>56</v>
      </c>
      <c r="V54" t="s">
        <v>99</v>
      </c>
      <c r="X54" t="s">
        <v>39</v>
      </c>
      <c r="Y54">
        <v>0</v>
      </c>
      <c r="Z54">
        <v>0</v>
      </c>
      <c r="AA54" t="s">
        <v>40</v>
      </c>
      <c r="AB54" t="s">
        <v>48</v>
      </c>
      <c r="AC54" s="6" t="s">
        <v>41</v>
      </c>
      <c r="AD54" t="s">
        <v>42</v>
      </c>
    </row>
    <row r="55" spans="1:30" x14ac:dyDescent="0.3">
      <c r="A55" t="s">
        <v>157</v>
      </c>
      <c r="B55" t="s">
        <v>158</v>
      </c>
      <c r="C55" s="25">
        <v>44322</v>
      </c>
      <c r="D55" s="15">
        <v>700000</v>
      </c>
      <c r="E55" t="s">
        <v>45</v>
      </c>
      <c r="F55" t="s">
        <v>46</v>
      </c>
      <c r="G55" s="15">
        <v>700000</v>
      </c>
      <c r="H55" s="15">
        <v>348500</v>
      </c>
      <c r="I55" s="20">
        <f t="shared" si="4"/>
        <v>49.785714285714285</v>
      </c>
      <c r="J55" s="15">
        <v>772221</v>
      </c>
      <c r="K55" s="15">
        <f>G55-538773</f>
        <v>161227</v>
      </c>
      <c r="L55" s="15">
        <v>233448</v>
      </c>
      <c r="M55" s="30">
        <v>710</v>
      </c>
      <c r="N55" s="34">
        <v>453</v>
      </c>
      <c r="O55" s="39">
        <v>7.3840000000000003</v>
      </c>
      <c r="P55" s="39">
        <v>7.3840000000000003</v>
      </c>
      <c r="Q55" s="15">
        <f t="shared" si="5"/>
        <v>227.08028169014085</v>
      </c>
      <c r="R55" s="15">
        <f t="shared" si="6"/>
        <v>21834.64247020585</v>
      </c>
      <c r="S55" s="44">
        <f t="shared" si="7"/>
        <v>0.50125441850793961</v>
      </c>
      <c r="T55" s="39">
        <v>710</v>
      </c>
      <c r="U55" s="5" t="s">
        <v>56</v>
      </c>
      <c r="V55" t="s">
        <v>159</v>
      </c>
      <c r="X55" t="s">
        <v>130</v>
      </c>
      <c r="Y55">
        <v>0</v>
      </c>
      <c r="Z55">
        <v>1</v>
      </c>
      <c r="AA55" s="7">
        <v>41990</v>
      </c>
      <c r="AC55" s="6" t="s">
        <v>41</v>
      </c>
      <c r="AD55" t="s">
        <v>131</v>
      </c>
    </row>
    <row r="56" spans="1:30" x14ac:dyDescent="0.3">
      <c r="A56" t="s">
        <v>82</v>
      </c>
      <c r="B56" t="s">
        <v>83</v>
      </c>
      <c r="C56" s="25">
        <v>44733</v>
      </c>
      <c r="D56" s="15">
        <v>350000</v>
      </c>
      <c r="E56" t="s">
        <v>45</v>
      </c>
      <c r="F56" t="s">
        <v>46</v>
      </c>
      <c r="G56" s="15">
        <v>350000</v>
      </c>
      <c r="H56" s="15">
        <v>86800</v>
      </c>
      <c r="I56" s="20">
        <f t="shared" si="4"/>
        <v>24.8</v>
      </c>
      <c r="J56" s="15">
        <v>264836</v>
      </c>
      <c r="K56" s="15">
        <f>G56-183736</f>
        <v>166264</v>
      </c>
      <c r="L56" s="15">
        <v>81100</v>
      </c>
      <c r="M56" s="30">
        <v>50</v>
      </c>
      <c r="N56" s="34">
        <v>144</v>
      </c>
      <c r="O56" s="39">
        <v>0.16500000000000001</v>
      </c>
      <c r="P56" s="39">
        <v>0.16500000000000001</v>
      </c>
      <c r="Q56" s="15">
        <f t="shared" si="5"/>
        <v>3325.28</v>
      </c>
      <c r="R56" s="15">
        <f t="shared" si="6"/>
        <v>1007660.606060606</v>
      </c>
      <c r="S56" s="44">
        <f t="shared" si="7"/>
        <v>23.132704455018501</v>
      </c>
      <c r="T56" s="39">
        <v>50</v>
      </c>
      <c r="U56" s="5" t="s">
        <v>56</v>
      </c>
      <c r="V56" t="s">
        <v>84</v>
      </c>
      <c r="X56" t="s">
        <v>39</v>
      </c>
      <c r="Y56">
        <v>0</v>
      </c>
      <c r="Z56">
        <v>1</v>
      </c>
      <c r="AA56" s="7">
        <v>34935</v>
      </c>
      <c r="AB56" t="s">
        <v>48</v>
      </c>
      <c r="AC56" s="6" t="s">
        <v>41</v>
      </c>
      <c r="AD56" t="s">
        <v>85</v>
      </c>
    </row>
    <row r="57" spans="1:30" x14ac:dyDescent="0.3">
      <c r="A57" t="s">
        <v>212</v>
      </c>
      <c r="B57" t="s">
        <v>213</v>
      </c>
      <c r="C57" s="25">
        <v>44827</v>
      </c>
      <c r="D57" s="15">
        <v>516000</v>
      </c>
      <c r="E57" t="s">
        <v>45</v>
      </c>
      <c r="F57" t="s">
        <v>46</v>
      </c>
      <c r="G57" s="15">
        <v>516000</v>
      </c>
      <c r="H57" s="15">
        <v>203600</v>
      </c>
      <c r="I57" s="20">
        <f t="shared" si="4"/>
        <v>39.457364341085274</v>
      </c>
      <c r="J57" s="15">
        <v>436950</v>
      </c>
      <c r="K57" s="15">
        <f>G57-348088</f>
        <v>167912</v>
      </c>
      <c r="L57" s="15">
        <v>88862</v>
      </c>
      <c r="M57" s="30">
        <v>437.51</v>
      </c>
      <c r="N57" s="34">
        <v>367.38000499999998</v>
      </c>
      <c r="O57" s="39">
        <v>3.69</v>
      </c>
      <c r="P57" s="39">
        <v>3.69</v>
      </c>
      <c r="Q57" s="15">
        <f t="shared" si="5"/>
        <v>383.79008479806174</v>
      </c>
      <c r="R57" s="15">
        <f t="shared" si="6"/>
        <v>45504.607046070458</v>
      </c>
      <c r="S57" s="44">
        <f t="shared" si="7"/>
        <v>1.0446420350337571</v>
      </c>
      <c r="T57" s="39">
        <v>437.51</v>
      </c>
      <c r="U57" s="5" t="s">
        <v>56</v>
      </c>
      <c r="V57" t="s">
        <v>214</v>
      </c>
      <c r="X57" t="s">
        <v>185</v>
      </c>
      <c r="Y57">
        <v>0</v>
      </c>
      <c r="Z57">
        <v>1</v>
      </c>
      <c r="AA57" s="7">
        <v>41179</v>
      </c>
      <c r="AC57" s="6" t="s">
        <v>41</v>
      </c>
    </row>
    <row r="58" spans="1:30" x14ac:dyDescent="0.3">
      <c r="A58" t="s">
        <v>189</v>
      </c>
      <c r="B58" t="s">
        <v>190</v>
      </c>
      <c r="C58" s="25">
        <v>44853</v>
      </c>
      <c r="D58" s="15">
        <v>350000</v>
      </c>
      <c r="E58" t="s">
        <v>45</v>
      </c>
      <c r="F58" t="s">
        <v>46</v>
      </c>
      <c r="G58" s="15">
        <v>350000</v>
      </c>
      <c r="H58" s="15">
        <v>82900</v>
      </c>
      <c r="I58" s="20">
        <f t="shared" si="4"/>
        <v>23.685714285714283</v>
      </c>
      <c r="J58" s="15">
        <v>199275</v>
      </c>
      <c r="K58" s="15">
        <f>G58-180718</f>
        <v>169282</v>
      </c>
      <c r="L58" s="15">
        <v>18557</v>
      </c>
      <c r="M58" s="30">
        <v>98</v>
      </c>
      <c r="N58" s="34">
        <v>350</v>
      </c>
      <c r="O58" s="39">
        <v>1.18</v>
      </c>
      <c r="P58" s="39">
        <v>0.78</v>
      </c>
      <c r="Q58" s="15">
        <f t="shared" si="5"/>
        <v>1727.3673469387754</v>
      </c>
      <c r="R58" s="15">
        <f t="shared" si="6"/>
        <v>143459.32203389832</v>
      </c>
      <c r="S58" s="44">
        <f t="shared" si="7"/>
        <v>3.2933728657919725</v>
      </c>
      <c r="T58" s="39">
        <v>98</v>
      </c>
      <c r="U58" s="5" t="s">
        <v>56</v>
      </c>
      <c r="V58" t="s">
        <v>191</v>
      </c>
      <c r="X58" t="s">
        <v>130</v>
      </c>
      <c r="Y58">
        <v>0</v>
      </c>
      <c r="Z58">
        <v>1</v>
      </c>
      <c r="AA58" s="7">
        <v>40001</v>
      </c>
      <c r="AC58" s="6" t="s">
        <v>41</v>
      </c>
    </row>
    <row r="59" spans="1:30" x14ac:dyDescent="0.3">
      <c r="A59" t="s">
        <v>74</v>
      </c>
      <c r="B59" t="s">
        <v>75</v>
      </c>
      <c r="C59" s="25">
        <v>44512</v>
      </c>
      <c r="D59" s="15">
        <v>840000</v>
      </c>
      <c r="E59" t="s">
        <v>51</v>
      </c>
      <c r="F59" t="s">
        <v>46</v>
      </c>
      <c r="G59" s="15">
        <v>490000</v>
      </c>
      <c r="H59" s="15">
        <v>142800</v>
      </c>
      <c r="I59" s="20">
        <f t="shared" si="4"/>
        <v>29.142857142857142</v>
      </c>
      <c r="J59" s="15">
        <v>449985</v>
      </c>
      <c r="K59" s="15">
        <f>G59-320422</f>
        <v>169578</v>
      </c>
      <c r="L59" s="15">
        <v>129563</v>
      </c>
      <c r="M59" s="30">
        <v>150</v>
      </c>
      <c r="N59" s="34">
        <v>144</v>
      </c>
      <c r="O59" s="39">
        <v>0.496</v>
      </c>
      <c r="P59" s="39">
        <v>0.496</v>
      </c>
      <c r="Q59" s="15">
        <f t="shared" si="5"/>
        <v>1130.52</v>
      </c>
      <c r="R59" s="15">
        <f t="shared" si="6"/>
        <v>341891.12903225806</v>
      </c>
      <c r="S59" s="44">
        <f t="shared" si="7"/>
        <v>7.8487403359104242</v>
      </c>
      <c r="T59" s="39">
        <v>150</v>
      </c>
      <c r="U59" s="5" t="s">
        <v>56</v>
      </c>
      <c r="V59" t="s">
        <v>76</v>
      </c>
      <c r="X59" t="s">
        <v>39</v>
      </c>
      <c r="Y59">
        <v>0</v>
      </c>
      <c r="Z59">
        <v>0</v>
      </c>
      <c r="AA59" t="s">
        <v>40</v>
      </c>
      <c r="AC59" s="6" t="s">
        <v>41</v>
      </c>
      <c r="AD59" t="s">
        <v>77</v>
      </c>
    </row>
    <row r="60" spans="1:30" x14ac:dyDescent="0.3">
      <c r="A60" t="s">
        <v>53</v>
      </c>
      <c r="B60" t="s">
        <v>54</v>
      </c>
      <c r="C60" s="25">
        <v>44937</v>
      </c>
      <c r="D60" s="15">
        <v>485000</v>
      </c>
      <c r="E60" t="s">
        <v>55</v>
      </c>
      <c r="F60" t="s">
        <v>46</v>
      </c>
      <c r="G60" s="15">
        <v>485000</v>
      </c>
      <c r="H60" s="15">
        <v>103800</v>
      </c>
      <c r="I60" s="20">
        <f t="shared" si="4"/>
        <v>21.402061855670105</v>
      </c>
      <c r="J60" s="15">
        <v>276879</v>
      </c>
      <c r="K60" s="15">
        <f>G60-269364</f>
        <v>215636</v>
      </c>
      <c r="L60" s="15">
        <v>7515</v>
      </c>
      <c r="M60" s="30">
        <v>104.233745</v>
      </c>
      <c r="N60" s="34">
        <v>97</v>
      </c>
      <c r="O60" s="39">
        <v>0.28299999999999997</v>
      </c>
      <c r="P60" s="39">
        <v>0.28299999999999997</v>
      </c>
      <c r="Q60" s="15">
        <f t="shared" si="5"/>
        <v>2068.7734092255823</v>
      </c>
      <c r="R60" s="15">
        <f t="shared" si="6"/>
        <v>761964.66431095416</v>
      </c>
      <c r="S60" s="44">
        <f t="shared" si="7"/>
        <v>17.492301751858452</v>
      </c>
      <c r="T60" s="39">
        <v>127</v>
      </c>
      <c r="U60" s="5" t="s">
        <v>56</v>
      </c>
      <c r="V60" t="s">
        <v>57</v>
      </c>
      <c r="X60" t="s">
        <v>39</v>
      </c>
      <c r="Y60">
        <v>0</v>
      </c>
      <c r="Z60">
        <v>1</v>
      </c>
      <c r="AA60" t="s">
        <v>40</v>
      </c>
      <c r="AB60" t="s">
        <v>48</v>
      </c>
      <c r="AC60" s="6" t="s">
        <v>41</v>
      </c>
      <c r="AD60" t="s">
        <v>58</v>
      </c>
    </row>
    <row r="61" spans="1:30" x14ac:dyDescent="0.3">
      <c r="A61" t="s">
        <v>272</v>
      </c>
      <c r="B61" t="s">
        <v>273</v>
      </c>
      <c r="C61" s="25">
        <v>44292</v>
      </c>
      <c r="D61" s="15">
        <v>425000</v>
      </c>
      <c r="E61" t="s">
        <v>45</v>
      </c>
      <c r="F61" t="s">
        <v>46</v>
      </c>
      <c r="G61" s="15">
        <v>425000</v>
      </c>
      <c r="H61" s="15">
        <v>84300</v>
      </c>
      <c r="I61" s="20">
        <f t="shared" si="4"/>
        <v>19.835294117647059</v>
      </c>
      <c r="J61" s="15">
        <v>249681</v>
      </c>
      <c r="K61" s="15">
        <f>G61-192785</f>
        <v>232215</v>
      </c>
      <c r="L61" s="15">
        <v>56896</v>
      </c>
      <c r="M61" s="30">
        <v>250.01</v>
      </c>
      <c r="N61" s="34">
        <v>800.94000200000005</v>
      </c>
      <c r="O61" s="39">
        <v>4.58</v>
      </c>
      <c r="P61" s="39">
        <v>4.58</v>
      </c>
      <c r="Q61" s="15">
        <f t="shared" si="5"/>
        <v>928.82284708611655</v>
      </c>
      <c r="R61" s="15">
        <f t="shared" si="6"/>
        <v>50701.965065502183</v>
      </c>
      <c r="S61" s="44">
        <f t="shared" si="7"/>
        <v>1.1639569574265882</v>
      </c>
      <c r="T61" s="39">
        <v>250.01</v>
      </c>
      <c r="U61" s="5" t="s">
        <v>169</v>
      </c>
      <c r="V61" t="s">
        <v>274</v>
      </c>
      <c r="X61" t="s">
        <v>171</v>
      </c>
      <c r="Y61">
        <v>0</v>
      </c>
      <c r="Z61">
        <v>1</v>
      </c>
      <c r="AA61" s="7">
        <v>42585</v>
      </c>
      <c r="AC61" s="6" t="s">
        <v>41</v>
      </c>
    </row>
    <row r="62" spans="1:30" x14ac:dyDescent="0.3">
      <c r="A62" t="s">
        <v>78</v>
      </c>
      <c r="B62" t="s">
        <v>79</v>
      </c>
      <c r="C62" s="25">
        <v>44910</v>
      </c>
      <c r="D62" s="15">
        <v>675000</v>
      </c>
      <c r="E62" t="s">
        <v>55</v>
      </c>
      <c r="F62" t="s">
        <v>35</v>
      </c>
      <c r="G62" s="15">
        <v>675000</v>
      </c>
      <c r="H62" s="15">
        <v>251300</v>
      </c>
      <c r="I62" s="20">
        <f t="shared" si="4"/>
        <v>37.229629629629628</v>
      </c>
      <c r="J62" s="15">
        <v>501176</v>
      </c>
      <c r="K62" s="15">
        <f>G62-432176</f>
        <v>242824</v>
      </c>
      <c r="L62" s="15">
        <v>69000</v>
      </c>
      <c r="M62" s="30">
        <v>100</v>
      </c>
      <c r="N62" s="34">
        <v>226</v>
      </c>
      <c r="O62" s="39">
        <v>0.25900000000000001</v>
      </c>
      <c r="P62" s="39">
        <v>0.16500000000000001</v>
      </c>
      <c r="Q62" s="15">
        <f t="shared" si="5"/>
        <v>2428.2399999999998</v>
      </c>
      <c r="R62" s="15">
        <f t="shared" si="6"/>
        <v>937544.40154440154</v>
      </c>
      <c r="S62" s="44">
        <f t="shared" si="7"/>
        <v>21.52305788669425</v>
      </c>
      <c r="T62" s="39">
        <v>100</v>
      </c>
      <c r="U62" s="5" t="s">
        <v>56</v>
      </c>
      <c r="V62" t="s">
        <v>80</v>
      </c>
      <c r="W62" t="s">
        <v>81</v>
      </c>
      <c r="X62" t="s">
        <v>39</v>
      </c>
      <c r="Y62">
        <v>0</v>
      </c>
      <c r="Z62">
        <v>1</v>
      </c>
      <c r="AA62" t="s">
        <v>40</v>
      </c>
      <c r="AB62" t="s">
        <v>48</v>
      </c>
      <c r="AC62" s="6" t="s">
        <v>41</v>
      </c>
      <c r="AD62" t="s">
        <v>42</v>
      </c>
    </row>
    <row r="63" spans="1:30" x14ac:dyDescent="0.3">
      <c r="A63" t="s">
        <v>160</v>
      </c>
      <c r="B63" t="s">
        <v>161</v>
      </c>
      <c r="C63" s="25">
        <v>44519</v>
      </c>
      <c r="D63" s="15">
        <v>700000</v>
      </c>
      <c r="E63" t="s">
        <v>45</v>
      </c>
      <c r="F63" t="s">
        <v>46</v>
      </c>
      <c r="G63" s="15">
        <v>692500</v>
      </c>
      <c r="H63" s="15">
        <v>171300</v>
      </c>
      <c r="I63" s="20">
        <f t="shared" si="4"/>
        <v>24.736462093862816</v>
      </c>
      <c r="J63" s="15">
        <v>504797</v>
      </c>
      <c r="K63" s="15">
        <f>G63-422597</f>
        <v>269903</v>
      </c>
      <c r="L63" s="15">
        <v>82200</v>
      </c>
      <c r="M63" s="30">
        <v>200</v>
      </c>
      <c r="N63" s="34">
        <v>442</v>
      </c>
      <c r="O63" s="39">
        <v>2.0289999999999999</v>
      </c>
      <c r="P63" s="39">
        <v>2.0289999999999999</v>
      </c>
      <c r="Q63" s="15">
        <f t="shared" si="5"/>
        <v>1349.5150000000001</v>
      </c>
      <c r="R63" s="15">
        <f t="shared" si="6"/>
        <v>133022.67126663381</v>
      </c>
      <c r="S63" s="44">
        <f t="shared" si="7"/>
        <v>3.0537803321082144</v>
      </c>
      <c r="T63" s="39">
        <v>200</v>
      </c>
      <c r="U63" s="5" t="s">
        <v>56</v>
      </c>
      <c r="V63" t="s">
        <v>162</v>
      </c>
      <c r="X63" t="s">
        <v>130</v>
      </c>
      <c r="Y63">
        <v>0</v>
      </c>
      <c r="Z63">
        <v>1</v>
      </c>
      <c r="AA63" s="7">
        <v>43718</v>
      </c>
      <c r="AC63" s="6" t="s">
        <v>41</v>
      </c>
      <c r="AD63" t="s">
        <v>131</v>
      </c>
    </row>
    <row r="64" spans="1:30" x14ac:dyDescent="0.3">
      <c r="A64" t="s">
        <v>126</v>
      </c>
      <c r="B64" t="s">
        <v>127</v>
      </c>
      <c r="C64" s="25">
        <v>44477</v>
      </c>
      <c r="D64" s="15">
        <v>800001</v>
      </c>
      <c r="E64" t="s">
        <v>55</v>
      </c>
      <c r="F64" t="s">
        <v>35</v>
      </c>
      <c r="G64" s="15">
        <v>800001</v>
      </c>
      <c r="H64" s="15">
        <v>212300</v>
      </c>
      <c r="I64" s="20">
        <f t="shared" si="4"/>
        <v>26.537466828166465</v>
      </c>
      <c r="J64" s="15">
        <v>586150</v>
      </c>
      <c r="K64" s="15">
        <f>G64-465042</f>
        <v>334959</v>
      </c>
      <c r="L64" s="15">
        <v>121108</v>
      </c>
      <c r="M64" s="30">
        <v>294.66666700000002</v>
      </c>
      <c r="N64" s="34">
        <v>420</v>
      </c>
      <c r="O64" s="39">
        <v>1.732</v>
      </c>
      <c r="P64" s="39">
        <v>1.181</v>
      </c>
      <c r="Q64" s="15">
        <f t="shared" si="5"/>
        <v>1136.7386864969019</v>
      </c>
      <c r="R64" s="15">
        <f t="shared" si="6"/>
        <v>193394.34180138569</v>
      </c>
      <c r="S64" s="44">
        <f t="shared" si="7"/>
        <v>4.4397231818499927</v>
      </c>
      <c r="T64" s="39">
        <v>120</v>
      </c>
      <c r="U64" s="5" t="s">
        <v>56</v>
      </c>
      <c r="V64" t="s">
        <v>128</v>
      </c>
      <c r="W64" t="s">
        <v>129</v>
      </c>
      <c r="X64" t="s">
        <v>130</v>
      </c>
      <c r="Y64">
        <v>0</v>
      </c>
      <c r="Z64">
        <v>0</v>
      </c>
      <c r="AA64" t="s">
        <v>40</v>
      </c>
      <c r="AC64" s="6" t="s">
        <v>41</v>
      </c>
      <c r="AD64" t="s">
        <v>131</v>
      </c>
    </row>
    <row r="65" spans="1:32" x14ac:dyDescent="0.3">
      <c r="A65" t="s">
        <v>204</v>
      </c>
      <c r="B65" t="s">
        <v>205</v>
      </c>
      <c r="C65" s="25">
        <v>44529</v>
      </c>
      <c r="D65" s="15">
        <v>1005000</v>
      </c>
      <c r="E65" t="s">
        <v>45</v>
      </c>
      <c r="F65" t="s">
        <v>46</v>
      </c>
      <c r="G65" s="15">
        <v>1005000</v>
      </c>
      <c r="H65" s="15">
        <v>257100</v>
      </c>
      <c r="I65" s="20">
        <f t="shared" si="4"/>
        <v>25.582089552238806</v>
      </c>
      <c r="J65" s="15">
        <v>1033172</v>
      </c>
      <c r="K65" s="15">
        <f>G65-644480</f>
        <v>360520</v>
      </c>
      <c r="L65" s="15">
        <v>388692</v>
      </c>
      <c r="M65" s="30">
        <v>461</v>
      </c>
      <c r="N65" s="34">
        <v>390</v>
      </c>
      <c r="O65" s="39">
        <v>0.34899999999999998</v>
      </c>
      <c r="P65" s="39">
        <v>4.13</v>
      </c>
      <c r="Q65" s="15">
        <f t="shared" si="5"/>
        <v>782.03904555314534</v>
      </c>
      <c r="R65" s="15">
        <f t="shared" si="6"/>
        <v>1033008.5959885387</v>
      </c>
      <c r="S65" s="44">
        <f t="shared" si="7"/>
        <v>23.714614232978391</v>
      </c>
      <c r="T65" s="39">
        <v>461</v>
      </c>
      <c r="U65" s="5" t="s">
        <v>56</v>
      </c>
      <c r="V65" t="s">
        <v>206</v>
      </c>
      <c r="X65" t="s">
        <v>185</v>
      </c>
      <c r="Y65">
        <v>0</v>
      </c>
      <c r="Z65">
        <v>0</v>
      </c>
      <c r="AA65" t="s">
        <v>40</v>
      </c>
      <c r="AB65" t="s">
        <v>48</v>
      </c>
      <c r="AC65" s="6" t="s">
        <v>41</v>
      </c>
    </row>
    <row r="66" spans="1:32" x14ac:dyDescent="0.3">
      <c r="A66" t="s">
        <v>107</v>
      </c>
      <c r="B66" t="s">
        <v>108</v>
      </c>
      <c r="C66" s="25">
        <v>44487</v>
      </c>
      <c r="D66" s="15">
        <v>900000</v>
      </c>
      <c r="E66" t="s">
        <v>45</v>
      </c>
      <c r="F66" t="s">
        <v>35</v>
      </c>
      <c r="G66" s="15">
        <v>900000</v>
      </c>
      <c r="H66" s="15">
        <v>225700</v>
      </c>
      <c r="I66" s="20">
        <f t="shared" ref="I66:I76" si="8">H66/G66*100</f>
        <v>25.077777777777776</v>
      </c>
      <c r="J66" s="15">
        <v>784044</v>
      </c>
      <c r="K66" s="15">
        <f>G66-427613</f>
        <v>472387</v>
      </c>
      <c r="L66" s="15">
        <v>356431</v>
      </c>
      <c r="M66" s="30">
        <v>487.88016499999998</v>
      </c>
      <c r="N66" s="34">
        <v>352</v>
      </c>
      <c r="O66" s="39">
        <v>1.4370000000000001</v>
      </c>
      <c r="P66" s="39">
        <v>1.2050000000000001</v>
      </c>
      <c r="Q66" s="15">
        <f t="shared" ref="Q66:Q76" si="9">K66/M66</f>
        <v>968.2439129289055</v>
      </c>
      <c r="R66" s="15">
        <f t="shared" ref="R66:R76" si="10">K66/O66</f>
        <v>328731.38482950593</v>
      </c>
      <c r="S66" s="44">
        <f t="shared" ref="S66:S76" si="11">K66/O66/43560</f>
        <v>7.5466341788224502</v>
      </c>
      <c r="T66" s="39">
        <v>400</v>
      </c>
      <c r="U66" s="5" t="s">
        <v>56</v>
      </c>
      <c r="V66" t="s">
        <v>109</v>
      </c>
      <c r="W66" t="s">
        <v>110</v>
      </c>
      <c r="X66" t="s">
        <v>39</v>
      </c>
      <c r="Y66">
        <v>0</v>
      </c>
      <c r="Z66">
        <v>0</v>
      </c>
      <c r="AA66" t="s">
        <v>40</v>
      </c>
      <c r="AB66" t="s">
        <v>48</v>
      </c>
      <c r="AC66" s="6" t="s">
        <v>41</v>
      </c>
      <c r="AD66" t="s">
        <v>111</v>
      </c>
    </row>
    <row r="67" spans="1:32" x14ac:dyDescent="0.3">
      <c r="A67" t="s">
        <v>132</v>
      </c>
      <c r="C67" s="25">
        <v>44540</v>
      </c>
      <c r="D67" s="15">
        <v>550000</v>
      </c>
      <c r="E67" t="s">
        <v>133</v>
      </c>
      <c r="F67" t="s">
        <v>35</v>
      </c>
      <c r="G67" s="15">
        <v>550000</v>
      </c>
      <c r="H67" s="15">
        <v>131300</v>
      </c>
      <c r="I67" s="20">
        <f t="shared" si="8"/>
        <v>23.872727272727275</v>
      </c>
      <c r="J67" s="15">
        <v>322031</v>
      </c>
      <c r="K67" s="15">
        <f>G67-0</f>
        <v>550000</v>
      </c>
      <c r="L67" s="15">
        <v>322031</v>
      </c>
      <c r="M67" s="30">
        <v>1070</v>
      </c>
      <c r="N67" s="34">
        <v>860.06201199999998</v>
      </c>
      <c r="O67" s="39">
        <v>6.0270000000000001</v>
      </c>
      <c r="P67" s="39">
        <v>2.96</v>
      </c>
      <c r="Q67" s="15">
        <f t="shared" si="9"/>
        <v>514.01869158878503</v>
      </c>
      <c r="R67" s="15">
        <f t="shared" si="10"/>
        <v>91256.014600962328</v>
      </c>
      <c r="S67" s="44">
        <f t="shared" si="11"/>
        <v>2.0949498301414677</v>
      </c>
      <c r="T67" s="39">
        <v>1070</v>
      </c>
      <c r="U67" s="5" t="s">
        <v>56</v>
      </c>
      <c r="V67" t="s">
        <v>134</v>
      </c>
      <c r="W67" t="s">
        <v>135</v>
      </c>
      <c r="X67" t="s">
        <v>130</v>
      </c>
      <c r="Y67">
        <v>0</v>
      </c>
      <c r="Z67">
        <v>1</v>
      </c>
      <c r="AA67" s="7">
        <v>41900</v>
      </c>
      <c r="AC67" s="6" t="s">
        <v>122</v>
      </c>
      <c r="AD67" t="s">
        <v>131</v>
      </c>
    </row>
    <row r="68" spans="1:32" x14ac:dyDescent="0.3">
      <c r="A68" t="s">
        <v>136</v>
      </c>
      <c r="B68" t="s">
        <v>137</v>
      </c>
      <c r="C68" s="25">
        <v>44540</v>
      </c>
      <c r="D68" s="15">
        <v>1600000</v>
      </c>
      <c r="E68" t="s">
        <v>45</v>
      </c>
      <c r="F68" t="s">
        <v>35</v>
      </c>
      <c r="G68" s="15">
        <v>1600000</v>
      </c>
      <c r="H68" s="15">
        <v>373300</v>
      </c>
      <c r="I68" s="20">
        <f t="shared" si="8"/>
        <v>23.331250000000001</v>
      </c>
      <c r="J68" s="15">
        <v>1107488</v>
      </c>
      <c r="K68" s="15">
        <f>G68-980468</f>
        <v>619532</v>
      </c>
      <c r="L68" s="15">
        <v>127020</v>
      </c>
      <c r="M68" s="30">
        <v>368.66</v>
      </c>
      <c r="N68" s="34">
        <v>601</v>
      </c>
      <c r="O68" s="39">
        <v>2.0249999999999999</v>
      </c>
      <c r="P68" s="39">
        <v>0.67500000000000004</v>
      </c>
      <c r="Q68" s="15">
        <f t="shared" si="9"/>
        <v>1680.4969348451145</v>
      </c>
      <c r="R68" s="15">
        <f t="shared" si="10"/>
        <v>305941.72839506174</v>
      </c>
      <c r="S68" s="44">
        <f t="shared" si="11"/>
        <v>7.0234556564522901</v>
      </c>
      <c r="T68" s="39">
        <v>368.66</v>
      </c>
      <c r="U68" s="5" t="s">
        <v>56</v>
      </c>
      <c r="V68" t="s">
        <v>138</v>
      </c>
      <c r="W68" t="s">
        <v>139</v>
      </c>
      <c r="X68" t="s">
        <v>130</v>
      </c>
      <c r="Y68">
        <v>0</v>
      </c>
      <c r="Z68">
        <v>1</v>
      </c>
      <c r="AA68" s="7">
        <v>42947</v>
      </c>
      <c r="AC68" s="6" t="s">
        <v>41</v>
      </c>
      <c r="AD68" t="s">
        <v>131</v>
      </c>
    </row>
    <row r="69" spans="1:32" x14ac:dyDescent="0.3">
      <c r="A69" t="s">
        <v>201</v>
      </c>
      <c r="B69" t="s">
        <v>202</v>
      </c>
      <c r="C69" s="25">
        <v>44348</v>
      </c>
      <c r="D69" s="15">
        <v>650000</v>
      </c>
      <c r="E69" t="s">
        <v>45</v>
      </c>
      <c r="F69" t="s">
        <v>46</v>
      </c>
      <c r="G69" s="15">
        <v>650000</v>
      </c>
      <c r="H69" s="15">
        <v>213200</v>
      </c>
      <c r="I69" s="20">
        <f t="shared" si="8"/>
        <v>32.800000000000004</v>
      </c>
      <c r="J69" s="15">
        <v>421311</v>
      </c>
      <c r="K69" s="15">
        <f>G69-0</f>
        <v>650000</v>
      </c>
      <c r="L69" s="15">
        <v>421311</v>
      </c>
      <c r="M69" s="30">
        <v>178.71</v>
      </c>
      <c r="N69" s="34">
        <v>509.10998499999999</v>
      </c>
      <c r="O69" s="39">
        <v>2.4089999999999998</v>
      </c>
      <c r="P69" s="39">
        <v>2.4089999999999998</v>
      </c>
      <c r="Q69" s="15">
        <f t="shared" si="9"/>
        <v>3637.1775502210285</v>
      </c>
      <c r="R69" s="15">
        <f t="shared" si="10"/>
        <v>269821.50269821507</v>
      </c>
      <c r="S69" s="44">
        <f t="shared" si="11"/>
        <v>6.1942493732372608</v>
      </c>
      <c r="T69" s="39">
        <v>178.71</v>
      </c>
      <c r="U69" s="5" t="s">
        <v>56</v>
      </c>
      <c r="V69" t="s">
        <v>203</v>
      </c>
      <c r="X69" t="s">
        <v>185</v>
      </c>
      <c r="Y69">
        <v>0</v>
      </c>
      <c r="Z69">
        <v>1</v>
      </c>
      <c r="AA69" s="7">
        <v>43284</v>
      </c>
      <c r="AC69" s="6" t="s">
        <v>122</v>
      </c>
    </row>
    <row r="70" spans="1:32" x14ac:dyDescent="0.3">
      <c r="A70" t="s">
        <v>286</v>
      </c>
      <c r="B70" t="s">
        <v>287</v>
      </c>
      <c r="C70" s="25">
        <v>44540</v>
      </c>
      <c r="D70" s="15">
        <v>1600000</v>
      </c>
      <c r="E70" t="s">
        <v>51</v>
      </c>
      <c r="F70" t="s">
        <v>46</v>
      </c>
      <c r="G70" s="15">
        <v>1600000</v>
      </c>
      <c r="H70" s="15">
        <v>233900</v>
      </c>
      <c r="I70" s="20">
        <f t="shared" si="8"/>
        <v>14.61875</v>
      </c>
      <c r="J70" s="15">
        <v>774514</v>
      </c>
      <c r="K70" s="15">
        <f>G70-746317</f>
        <v>853683</v>
      </c>
      <c r="L70" s="15">
        <v>28197</v>
      </c>
      <c r="M70" s="30">
        <v>214</v>
      </c>
      <c r="N70" s="34">
        <v>216</v>
      </c>
      <c r="O70" s="39">
        <v>1.0609999999999999</v>
      </c>
      <c r="P70" s="39">
        <v>1.0609999999999999</v>
      </c>
      <c r="Q70" s="15">
        <f t="shared" si="9"/>
        <v>3989.1728971962616</v>
      </c>
      <c r="R70" s="15">
        <f t="shared" si="10"/>
        <v>804602.26201696519</v>
      </c>
      <c r="S70" s="44">
        <f t="shared" si="11"/>
        <v>18.471126308929414</v>
      </c>
      <c r="T70" s="39">
        <v>214</v>
      </c>
      <c r="U70" s="5" t="s">
        <v>102</v>
      </c>
      <c r="V70" t="s">
        <v>288</v>
      </c>
      <c r="X70" t="s">
        <v>171</v>
      </c>
      <c r="Y70">
        <v>0</v>
      </c>
      <c r="Z70">
        <v>1</v>
      </c>
      <c r="AA70" s="7">
        <v>43706</v>
      </c>
      <c r="AB70" t="s">
        <v>48</v>
      </c>
      <c r="AC70" s="6" t="s">
        <v>41</v>
      </c>
    </row>
    <row r="71" spans="1:32" x14ac:dyDescent="0.3">
      <c r="A71" t="s">
        <v>147</v>
      </c>
      <c r="B71" t="s">
        <v>148</v>
      </c>
      <c r="C71" s="25">
        <v>44663</v>
      </c>
      <c r="D71" s="15">
        <v>2000000</v>
      </c>
      <c r="E71" t="s">
        <v>45</v>
      </c>
      <c r="F71" t="s">
        <v>46</v>
      </c>
      <c r="G71" s="15">
        <v>2000000</v>
      </c>
      <c r="H71" s="15">
        <v>550200</v>
      </c>
      <c r="I71" s="20">
        <f t="shared" si="8"/>
        <v>27.51</v>
      </c>
      <c r="J71" s="15">
        <v>1759117</v>
      </c>
      <c r="K71" s="15">
        <f>G71-1101109</f>
        <v>898891</v>
      </c>
      <c r="L71" s="15">
        <v>658008</v>
      </c>
      <c r="M71" s="30">
        <v>370</v>
      </c>
      <c r="N71" s="34">
        <v>1235</v>
      </c>
      <c r="O71" s="39">
        <v>11.12</v>
      </c>
      <c r="P71" s="39">
        <v>11.12</v>
      </c>
      <c r="Q71" s="15">
        <f t="shared" si="9"/>
        <v>2429.4351351351352</v>
      </c>
      <c r="R71" s="15">
        <f t="shared" si="10"/>
        <v>80835.521582733825</v>
      </c>
      <c r="S71" s="44">
        <f t="shared" si="11"/>
        <v>1.8557282273354874</v>
      </c>
      <c r="T71" s="39">
        <v>370</v>
      </c>
      <c r="U71" s="5" t="s">
        <v>56</v>
      </c>
      <c r="V71" t="s">
        <v>149</v>
      </c>
      <c r="X71" t="s">
        <v>130</v>
      </c>
      <c r="Y71">
        <v>0</v>
      </c>
      <c r="Z71">
        <v>1</v>
      </c>
      <c r="AA71" s="7">
        <v>43311</v>
      </c>
      <c r="AC71" s="6" t="s">
        <v>41</v>
      </c>
      <c r="AD71" t="s">
        <v>131</v>
      </c>
    </row>
    <row r="72" spans="1:32" x14ac:dyDescent="0.3">
      <c r="A72" t="s">
        <v>104</v>
      </c>
      <c r="B72" t="s">
        <v>105</v>
      </c>
      <c r="C72" s="25">
        <v>44743</v>
      </c>
      <c r="D72" s="15">
        <v>1800000</v>
      </c>
      <c r="E72" t="s">
        <v>45</v>
      </c>
      <c r="F72" t="s">
        <v>46</v>
      </c>
      <c r="G72" s="15">
        <v>1800000</v>
      </c>
      <c r="H72" s="15">
        <v>387800</v>
      </c>
      <c r="I72" s="20">
        <f t="shared" si="8"/>
        <v>21.544444444444444</v>
      </c>
      <c r="J72" s="15">
        <v>1032272</v>
      </c>
      <c r="K72" s="15">
        <f>G72-887162</f>
        <v>912838</v>
      </c>
      <c r="L72" s="15">
        <v>145110</v>
      </c>
      <c r="M72" s="30">
        <v>210</v>
      </c>
      <c r="N72" s="34">
        <v>330</v>
      </c>
      <c r="O72" s="39">
        <v>1.591</v>
      </c>
      <c r="P72" s="39">
        <v>1.5960000000000001</v>
      </c>
      <c r="Q72" s="15">
        <f t="shared" si="9"/>
        <v>4346.8476190476194</v>
      </c>
      <c r="R72" s="15">
        <f t="shared" si="10"/>
        <v>573751.09993714641</v>
      </c>
      <c r="S72" s="44">
        <f t="shared" si="11"/>
        <v>13.171512854388117</v>
      </c>
      <c r="T72" s="39">
        <v>210</v>
      </c>
      <c r="U72" s="5" t="s">
        <v>56</v>
      </c>
      <c r="V72" t="s">
        <v>106</v>
      </c>
      <c r="X72" t="s">
        <v>39</v>
      </c>
      <c r="Y72">
        <v>0</v>
      </c>
      <c r="Z72">
        <v>1</v>
      </c>
      <c r="AA72" s="7">
        <v>31649</v>
      </c>
      <c r="AB72" t="s">
        <v>48</v>
      </c>
      <c r="AC72" s="6" t="s">
        <v>41</v>
      </c>
      <c r="AD72" t="s">
        <v>77</v>
      </c>
    </row>
    <row r="73" spans="1:32" x14ac:dyDescent="0.3">
      <c r="A73" t="s">
        <v>198</v>
      </c>
      <c r="B73" t="s">
        <v>199</v>
      </c>
      <c r="C73" s="25">
        <v>44939</v>
      </c>
      <c r="D73" s="15">
        <v>2000000</v>
      </c>
      <c r="E73" t="s">
        <v>45</v>
      </c>
      <c r="F73" t="s">
        <v>46</v>
      </c>
      <c r="G73" s="15">
        <v>2000000</v>
      </c>
      <c r="H73" s="15">
        <v>524400</v>
      </c>
      <c r="I73" s="20">
        <f t="shared" si="8"/>
        <v>26.22</v>
      </c>
      <c r="J73" s="15">
        <v>1149301</v>
      </c>
      <c r="K73" s="15">
        <f>G73-909298</f>
        <v>1090702</v>
      </c>
      <c r="L73" s="15">
        <v>240003</v>
      </c>
      <c r="M73" s="30">
        <v>155.35</v>
      </c>
      <c r="N73" s="34">
        <v>370</v>
      </c>
      <c r="O73" s="39">
        <v>1.19</v>
      </c>
      <c r="P73" s="39">
        <v>1.42</v>
      </c>
      <c r="Q73" s="15">
        <f t="shared" si="9"/>
        <v>7020.9333762471842</v>
      </c>
      <c r="R73" s="15">
        <f t="shared" si="10"/>
        <v>916556.30252100842</v>
      </c>
      <c r="S73" s="44">
        <f t="shared" si="11"/>
        <v>21.041237431611762</v>
      </c>
      <c r="T73" s="39">
        <v>155.35</v>
      </c>
      <c r="U73" s="5" t="s">
        <v>56</v>
      </c>
      <c r="V73" t="s">
        <v>200</v>
      </c>
      <c r="X73" t="s">
        <v>185</v>
      </c>
      <c r="Y73">
        <v>0</v>
      </c>
      <c r="Z73">
        <v>1</v>
      </c>
      <c r="AA73" s="7">
        <v>44057</v>
      </c>
      <c r="AC73" s="6" t="s">
        <v>41</v>
      </c>
    </row>
    <row r="74" spans="1:32" x14ac:dyDescent="0.3">
      <c r="A74" t="s">
        <v>207</v>
      </c>
      <c r="B74" t="s">
        <v>208</v>
      </c>
      <c r="C74" s="25">
        <v>45007</v>
      </c>
      <c r="D74" s="15">
        <v>5963000</v>
      </c>
      <c r="E74" t="s">
        <v>51</v>
      </c>
      <c r="F74" t="s">
        <v>46</v>
      </c>
      <c r="G74" s="15">
        <v>5963000</v>
      </c>
      <c r="H74" s="15">
        <v>2465600</v>
      </c>
      <c r="I74" s="20">
        <f t="shared" si="8"/>
        <v>41.348314606741567</v>
      </c>
      <c r="J74" s="15">
        <v>5592278</v>
      </c>
      <c r="K74" s="15">
        <f>G74-4735126</f>
        <v>1227874</v>
      </c>
      <c r="L74" s="15">
        <v>857152</v>
      </c>
      <c r="M74" s="30">
        <v>0</v>
      </c>
      <c r="N74" s="34">
        <v>0</v>
      </c>
      <c r="O74" s="39">
        <v>4.25</v>
      </c>
      <c r="P74" s="39">
        <v>4.25</v>
      </c>
      <c r="Q74" s="15" t="e">
        <f t="shared" si="9"/>
        <v>#DIV/0!</v>
      </c>
      <c r="R74" s="15">
        <f t="shared" si="10"/>
        <v>288911.5294117647</v>
      </c>
      <c r="S74" s="44">
        <f t="shared" si="11"/>
        <v>6.6324960838329821</v>
      </c>
      <c r="T74" s="39">
        <v>0</v>
      </c>
      <c r="U74" s="5" t="s">
        <v>56</v>
      </c>
      <c r="V74" t="s">
        <v>209</v>
      </c>
      <c r="X74" t="s">
        <v>185</v>
      </c>
      <c r="Y74">
        <v>1</v>
      </c>
      <c r="Z74">
        <v>0</v>
      </c>
      <c r="AA74" s="7">
        <v>43719</v>
      </c>
      <c r="AB74" t="s">
        <v>48</v>
      </c>
      <c r="AC74" s="6" t="s">
        <v>41</v>
      </c>
    </row>
    <row r="75" spans="1:32" x14ac:dyDescent="0.3">
      <c r="A75" t="s">
        <v>233</v>
      </c>
      <c r="B75" t="s">
        <v>234</v>
      </c>
      <c r="C75" s="25">
        <v>44329</v>
      </c>
      <c r="D75" s="15">
        <v>1750000</v>
      </c>
      <c r="E75" t="s">
        <v>45</v>
      </c>
      <c r="F75" t="s">
        <v>46</v>
      </c>
      <c r="G75" s="15">
        <v>1750000</v>
      </c>
      <c r="H75" s="15">
        <v>318200</v>
      </c>
      <c r="I75" s="20">
        <f t="shared" si="8"/>
        <v>18.182857142857141</v>
      </c>
      <c r="J75" s="15">
        <v>725567</v>
      </c>
      <c r="K75" s="15">
        <f>G75-493251</f>
        <v>1256749</v>
      </c>
      <c r="L75" s="15">
        <v>232316</v>
      </c>
      <c r="M75" s="30">
        <v>692</v>
      </c>
      <c r="N75" s="34">
        <v>950.38153199999999</v>
      </c>
      <c r="O75" s="39">
        <v>2.0960000000000001</v>
      </c>
      <c r="P75" s="39">
        <v>0.28799999999999998</v>
      </c>
      <c r="Q75" s="15">
        <f t="shared" si="9"/>
        <v>1816.1112716763005</v>
      </c>
      <c r="R75" s="15">
        <f t="shared" si="10"/>
        <v>599593.98854961828</v>
      </c>
      <c r="S75" s="44">
        <f t="shared" si="11"/>
        <v>13.764783942828702</v>
      </c>
      <c r="T75" s="39">
        <v>692</v>
      </c>
      <c r="U75" s="5" t="s">
        <v>56</v>
      </c>
      <c r="V75" t="s">
        <v>235</v>
      </c>
      <c r="W75" t="s">
        <v>236</v>
      </c>
      <c r="X75" t="s">
        <v>185</v>
      </c>
      <c r="Y75">
        <v>1</v>
      </c>
      <c r="Z75">
        <v>0</v>
      </c>
      <c r="AA75" s="7">
        <v>43292</v>
      </c>
      <c r="AB75" t="s">
        <v>48</v>
      </c>
      <c r="AC75" s="6" t="s">
        <v>41</v>
      </c>
    </row>
    <row r="76" spans="1:32" x14ac:dyDescent="0.3">
      <c r="A76" t="s">
        <v>63</v>
      </c>
      <c r="B76" t="s">
        <v>64</v>
      </c>
      <c r="C76" s="25">
        <v>44663</v>
      </c>
      <c r="D76" s="15">
        <v>2000000</v>
      </c>
      <c r="E76" t="s">
        <v>45</v>
      </c>
      <c r="F76" t="s">
        <v>46</v>
      </c>
      <c r="G76" s="15">
        <v>2000000</v>
      </c>
      <c r="H76" s="15">
        <v>683900</v>
      </c>
      <c r="I76" s="20">
        <f t="shared" si="8"/>
        <v>34.195</v>
      </c>
      <c r="J76" s="15">
        <v>546480</v>
      </c>
      <c r="K76" s="15">
        <f>G76-0</f>
        <v>2000000</v>
      </c>
      <c r="L76" s="15">
        <v>546480</v>
      </c>
      <c r="M76" s="30">
        <v>792</v>
      </c>
      <c r="N76" s="34">
        <v>300</v>
      </c>
      <c r="O76" s="39">
        <v>5.4550000000000001</v>
      </c>
      <c r="P76" s="39">
        <v>5.4550000000000001</v>
      </c>
      <c r="Q76" s="15">
        <f t="shared" si="9"/>
        <v>2525.2525252525252</v>
      </c>
      <c r="R76" s="15">
        <f t="shared" si="10"/>
        <v>366636.11365719524</v>
      </c>
      <c r="S76" s="44">
        <f t="shared" si="11"/>
        <v>8.4168070169236735</v>
      </c>
      <c r="T76" s="39">
        <v>792</v>
      </c>
      <c r="U76" s="5" t="s">
        <v>56</v>
      </c>
      <c r="V76" t="s">
        <v>65</v>
      </c>
      <c r="X76" t="s">
        <v>39</v>
      </c>
      <c r="Y76">
        <v>0</v>
      </c>
      <c r="Z76">
        <v>1</v>
      </c>
      <c r="AA76" t="s">
        <v>40</v>
      </c>
      <c r="AB76" t="s">
        <v>48</v>
      </c>
      <c r="AC76" s="6" t="s">
        <v>41</v>
      </c>
      <c r="AD76" t="s">
        <v>42</v>
      </c>
    </row>
    <row r="77" spans="1:32" ht="15" thickBot="1" x14ac:dyDescent="0.35">
      <c r="A77" t="s">
        <v>300</v>
      </c>
      <c r="B77" t="s">
        <v>301</v>
      </c>
      <c r="C77" s="25">
        <v>44546</v>
      </c>
      <c r="D77" s="15">
        <v>85000</v>
      </c>
      <c r="E77" t="s">
        <v>45</v>
      </c>
      <c r="F77" t="s">
        <v>46</v>
      </c>
      <c r="G77" s="15">
        <v>85000</v>
      </c>
      <c r="H77" s="15">
        <v>52400</v>
      </c>
      <c r="I77" s="20">
        <f t="shared" ref="I77" si="12">H77/G77*100</f>
        <v>61.647058823529413</v>
      </c>
      <c r="J77" s="15">
        <v>127811</v>
      </c>
      <c r="K77" s="15">
        <f>G77-106048</f>
        <v>-21048</v>
      </c>
      <c r="L77" s="15">
        <v>21763</v>
      </c>
      <c r="M77" s="30">
        <v>189</v>
      </c>
      <c r="N77" s="34">
        <v>245</v>
      </c>
      <c r="O77" s="39">
        <v>1.0629999999999999</v>
      </c>
      <c r="P77" s="39">
        <v>1.0629999999999999</v>
      </c>
      <c r="Q77" s="15">
        <f t="shared" ref="Q77" si="13">K77/M77</f>
        <v>-111.36507936507937</v>
      </c>
      <c r="R77" s="15">
        <f t="shared" ref="R77" si="14">K77/O77</f>
        <v>-19800.564440263406</v>
      </c>
      <c r="S77" s="44">
        <f t="shared" ref="S77" si="15">K77/O77/43560</f>
        <v>-0.45455841231091382</v>
      </c>
      <c r="T77" s="39">
        <v>189</v>
      </c>
      <c r="U77" s="5" t="s">
        <v>169</v>
      </c>
      <c r="V77" t="s">
        <v>302</v>
      </c>
      <c r="X77" t="s">
        <v>171</v>
      </c>
      <c r="Y77">
        <v>0</v>
      </c>
      <c r="Z77">
        <v>0</v>
      </c>
      <c r="AA77" s="7">
        <v>42963</v>
      </c>
      <c r="AB77" t="s">
        <v>48</v>
      </c>
      <c r="AC77" s="6" t="s">
        <v>41</v>
      </c>
    </row>
    <row r="78" spans="1:32" ht="15" thickTop="1" x14ac:dyDescent="0.3">
      <c r="A78" s="8"/>
      <c r="B78" s="8"/>
      <c r="C78" s="26" t="s">
        <v>303</v>
      </c>
      <c r="D78" s="16">
        <f>+SUM(D2:D77)</f>
        <v>40105551</v>
      </c>
      <c r="E78" s="8"/>
      <c r="F78" s="8"/>
      <c r="G78" s="16">
        <f>+SUM(G2:G77)</f>
        <v>39643501</v>
      </c>
      <c r="H78" s="16">
        <f>+SUM(H2:H77)</f>
        <v>14411500</v>
      </c>
      <c r="I78" s="21"/>
      <c r="J78" s="16">
        <f>+SUM(J2:J77)</f>
        <v>34737397</v>
      </c>
      <c r="K78" s="16">
        <f>+SUM(K2:K77)</f>
        <v>12758106</v>
      </c>
      <c r="L78" s="16">
        <f>+SUM(L2:L77)</f>
        <v>7852002</v>
      </c>
      <c r="M78" s="31">
        <f>+SUM(M2:M77)</f>
        <v>18401.727654999999</v>
      </c>
      <c r="N78" s="35"/>
      <c r="O78" s="40">
        <f>+SUM(O2:O77)</f>
        <v>226.09099999999998</v>
      </c>
      <c r="P78" s="40">
        <f>+SUM(P2:P77)</f>
        <v>215.17900000000003</v>
      </c>
      <c r="Q78" s="16"/>
      <c r="R78" s="16"/>
      <c r="S78" s="45"/>
      <c r="T78" s="40"/>
      <c r="U78" s="9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x14ac:dyDescent="0.3">
      <c r="A79" s="10"/>
      <c r="B79" s="10"/>
      <c r="C79" s="27"/>
      <c r="D79" s="17"/>
      <c r="E79" s="10"/>
      <c r="F79" s="10"/>
      <c r="G79" s="17"/>
      <c r="H79" s="17" t="s">
        <v>304</v>
      </c>
      <c r="I79" s="22">
        <f>H78/G78*100</f>
        <v>36.352742912388088</v>
      </c>
      <c r="J79" s="17"/>
      <c r="K79" s="17"/>
      <c r="L79" s="17" t="s">
        <v>305</v>
      </c>
      <c r="M79" s="32"/>
      <c r="N79" s="36"/>
      <c r="O79" s="41" t="s">
        <v>305</v>
      </c>
      <c r="P79" s="41"/>
      <c r="Q79" s="17"/>
      <c r="R79" s="17" t="s">
        <v>305</v>
      </c>
      <c r="S79" s="46"/>
      <c r="T79" s="41"/>
      <c r="U79" s="11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</row>
    <row r="80" spans="1:32" x14ac:dyDescent="0.3">
      <c r="A80" s="12"/>
      <c r="B80" s="12"/>
      <c r="C80" s="28"/>
      <c r="D80" s="18"/>
      <c r="E80" s="12"/>
      <c r="F80" s="12"/>
      <c r="G80" s="18"/>
      <c r="H80" s="18" t="s">
        <v>306</v>
      </c>
      <c r="I80" s="23" t="e">
        <f>STDEV(I2:I77)</f>
        <v>#DIV/0!</v>
      </c>
      <c r="J80" s="18"/>
      <c r="K80" s="18"/>
      <c r="L80" s="18" t="s">
        <v>307</v>
      </c>
      <c r="M80" s="48">
        <f>K78/M78</f>
        <v>693.31022821291731</v>
      </c>
      <c r="N80" s="37"/>
      <c r="O80" s="42" t="s">
        <v>308</v>
      </c>
      <c r="P80" s="42">
        <f>K78/O78</f>
        <v>56429.075018466021</v>
      </c>
      <c r="Q80" s="18"/>
      <c r="R80" s="18" t="s">
        <v>309</v>
      </c>
      <c r="S80" s="47">
        <f>K78/O78/43560</f>
        <v>1.2954333108004137</v>
      </c>
      <c r="T80" s="42"/>
      <c r="U80" s="13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</sheetData>
  <sortState xmlns:xlrd2="http://schemas.microsoft.com/office/spreadsheetml/2017/richdata2" ref="A2:BL76">
    <sortCondition ref="K2:K76"/>
  </sortState>
  <conditionalFormatting sqref="A2:AF77">
    <cfRule type="expression" dxfId="15" priority="1" stopIfTrue="1">
      <formula>MOD(ROW(),4)&gt;1</formula>
    </cfRule>
    <cfRule type="expression" dxfId="14" priority="2" stopIfTrue="1">
      <formula>MOD(ROW(),4)&lt;2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FF434-1347-45BA-9472-6CA4F9EE3FED}">
  <dimension ref="A4:AK129"/>
  <sheetViews>
    <sheetView workbookViewId="0">
      <selection activeCell="O13" sqref="O13"/>
    </sheetView>
  </sheetViews>
  <sheetFormatPr defaultRowHeight="14.4" x14ac:dyDescent="0.3"/>
  <cols>
    <col min="1" max="1" width="17" style="89" bestFit="1" customWidth="1"/>
    <col min="2" max="2" width="9.33203125" style="102" bestFit="1" customWidth="1"/>
    <col min="3" max="3" width="14.6640625" style="113" bestFit="1" customWidth="1"/>
    <col min="4" max="4" width="11.88671875" style="113" bestFit="1" customWidth="1"/>
    <col min="5" max="5" width="9.33203125" style="124" bestFit="1" customWidth="1"/>
    <col min="6" max="6" width="11.88671875" style="113" bestFit="1" customWidth="1"/>
    <col min="7" max="7" width="11.109375" style="30" bestFit="1" customWidth="1"/>
    <col min="8" max="8" width="7.33203125" style="34" bestFit="1" customWidth="1"/>
    <col min="9" max="9" width="14.33203125" style="147" bestFit="1" customWidth="1"/>
    <col min="10" max="10" width="10.88671875" style="39" bestFit="1" customWidth="1"/>
    <col min="11" max="11" width="10" style="113" bestFit="1" customWidth="1"/>
    <col min="12" max="12" width="12" style="113" bestFit="1" customWidth="1"/>
    <col min="13" max="13" width="11.88671875" style="129" bestFit="1" customWidth="1"/>
  </cols>
  <sheetData>
    <row r="4" spans="1:37" s="57" customFormat="1" x14ac:dyDescent="0.3">
      <c r="A4" s="88" t="s">
        <v>0</v>
      </c>
      <c r="B4" s="55" t="s">
        <v>2</v>
      </c>
      <c r="C4" s="56" t="s">
        <v>7</v>
      </c>
      <c r="D4" s="56" t="s">
        <v>3</v>
      </c>
      <c r="E4" s="58" t="s">
        <v>318</v>
      </c>
      <c r="F4" s="56" t="s">
        <v>319</v>
      </c>
      <c r="G4" s="59" t="s">
        <v>12</v>
      </c>
      <c r="H4" s="60" t="s">
        <v>13</v>
      </c>
      <c r="I4" s="61" t="s">
        <v>14</v>
      </c>
      <c r="J4" s="61" t="s">
        <v>15</v>
      </c>
      <c r="K4" s="56" t="s">
        <v>16</v>
      </c>
      <c r="L4" s="56" t="s">
        <v>17</v>
      </c>
      <c r="M4" s="62" t="s">
        <v>18</v>
      </c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37" x14ac:dyDescent="0.3">
      <c r="A5" s="89" t="s">
        <v>94</v>
      </c>
      <c r="B5" s="102">
        <v>44817</v>
      </c>
      <c r="C5" s="113">
        <v>41600</v>
      </c>
      <c r="D5" s="113">
        <v>85000</v>
      </c>
      <c r="E5" s="120">
        <f t="shared" ref="E5:E15" si="0">C5/D5</f>
        <v>0.48941176470588238</v>
      </c>
      <c r="F5" s="113">
        <v>15396</v>
      </c>
      <c r="G5" s="30">
        <v>59</v>
      </c>
      <c r="H5" s="34">
        <v>50</v>
      </c>
      <c r="I5" s="147">
        <v>6.8000000000000005E-2</v>
      </c>
      <c r="J5" s="39">
        <v>6.8000000000000005E-2</v>
      </c>
      <c r="K5" s="113">
        <f t="shared" ref="K5:K15" si="1">F5/G5</f>
        <v>260.94915254237287</v>
      </c>
      <c r="L5" s="113">
        <f t="shared" ref="L5:L15" si="2">F5/I5</f>
        <v>226411.76470588235</v>
      </c>
      <c r="M5" s="129">
        <f t="shared" ref="M5:M15" si="3">F5/I5/43560</f>
        <v>5.1976989142764545</v>
      </c>
    </row>
    <row r="6" spans="1:37" x14ac:dyDescent="0.3">
      <c r="A6" s="89" t="s">
        <v>237</v>
      </c>
      <c r="B6" s="102">
        <v>44497</v>
      </c>
      <c r="C6" s="113">
        <v>42700</v>
      </c>
      <c r="D6" s="113">
        <v>54500</v>
      </c>
      <c r="E6" s="120">
        <f t="shared" si="0"/>
        <v>0.78348623853211008</v>
      </c>
      <c r="F6" s="113">
        <v>6213</v>
      </c>
      <c r="G6" s="30">
        <v>100</v>
      </c>
      <c r="H6" s="34">
        <v>100</v>
      </c>
      <c r="I6" s="147">
        <v>0.27</v>
      </c>
      <c r="J6" s="39">
        <v>0.27</v>
      </c>
      <c r="K6" s="113">
        <f t="shared" si="1"/>
        <v>62.13</v>
      </c>
      <c r="L6" s="113">
        <f t="shared" si="2"/>
        <v>23011.111111111109</v>
      </c>
      <c r="M6" s="129">
        <f t="shared" si="3"/>
        <v>0.52826242220181607</v>
      </c>
    </row>
    <row r="7" spans="1:37" x14ac:dyDescent="0.3">
      <c r="A7" s="89" t="s">
        <v>66</v>
      </c>
      <c r="B7" s="102">
        <v>44915</v>
      </c>
      <c r="C7" s="113">
        <v>87200</v>
      </c>
      <c r="D7" s="113">
        <v>220000</v>
      </c>
      <c r="E7" s="120">
        <f t="shared" si="0"/>
        <v>0.39636363636363636</v>
      </c>
      <c r="F7" s="113">
        <v>152161</v>
      </c>
      <c r="G7" s="30">
        <v>195</v>
      </c>
      <c r="H7" s="34">
        <v>242</v>
      </c>
      <c r="I7" s="147">
        <v>0.49099999999999999</v>
      </c>
      <c r="J7" s="39">
        <v>0.34399999999999997</v>
      </c>
      <c r="K7" s="113">
        <f t="shared" si="1"/>
        <v>780.31282051282051</v>
      </c>
      <c r="L7" s="113">
        <f t="shared" si="2"/>
        <v>309900.20366598776</v>
      </c>
      <c r="M7" s="129">
        <f t="shared" si="3"/>
        <v>7.1143297443982503</v>
      </c>
    </row>
    <row r="8" spans="1:37" x14ac:dyDescent="0.3">
      <c r="A8" s="89" t="s">
        <v>278</v>
      </c>
      <c r="B8" s="102">
        <v>44560</v>
      </c>
      <c r="C8" s="113">
        <v>133000</v>
      </c>
      <c r="D8" s="113">
        <v>400000</v>
      </c>
      <c r="E8" s="120">
        <f t="shared" si="0"/>
        <v>0.33250000000000002</v>
      </c>
      <c r="F8" s="113">
        <v>113692</v>
      </c>
      <c r="G8" s="30">
        <v>297</v>
      </c>
      <c r="H8" s="34">
        <v>200</v>
      </c>
      <c r="I8" s="147">
        <v>0.68200000000000005</v>
      </c>
      <c r="J8" s="39">
        <v>0.45900000000000002</v>
      </c>
      <c r="K8" s="113">
        <f t="shared" si="1"/>
        <v>382.80134680134682</v>
      </c>
      <c r="L8" s="113">
        <f t="shared" si="2"/>
        <v>166703.81231671554</v>
      </c>
      <c r="M8" s="129">
        <f t="shared" si="3"/>
        <v>3.8269929365637179</v>
      </c>
    </row>
    <row r="9" spans="1:37" x14ac:dyDescent="0.3">
      <c r="A9" s="89" t="s">
        <v>167</v>
      </c>
      <c r="B9" s="102">
        <v>44760</v>
      </c>
      <c r="C9" s="113">
        <v>26300</v>
      </c>
      <c r="D9" s="113">
        <v>90000</v>
      </c>
      <c r="E9" s="120">
        <f t="shared" si="0"/>
        <v>0.29222222222222222</v>
      </c>
      <c r="F9" s="113">
        <v>16693</v>
      </c>
      <c r="G9" s="30">
        <v>100</v>
      </c>
      <c r="H9" s="34">
        <v>300</v>
      </c>
      <c r="I9" s="147">
        <v>0.746</v>
      </c>
      <c r="J9" s="39">
        <v>0.68799999999999994</v>
      </c>
      <c r="K9" s="113">
        <f t="shared" si="1"/>
        <v>166.93</v>
      </c>
      <c r="L9" s="113">
        <f t="shared" si="2"/>
        <v>22376.675603217158</v>
      </c>
      <c r="M9" s="129">
        <f t="shared" si="3"/>
        <v>0.51369778703436997</v>
      </c>
    </row>
    <row r="10" spans="1:37" x14ac:dyDescent="0.3">
      <c r="A10" s="89" t="s">
        <v>243</v>
      </c>
      <c r="B10" s="102">
        <v>44670</v>
      </c>
      <c r="C10" s="113">
        <v>19200</v>
      </c>
      <c r="D10" s="113">
        <v>100000</v>
      </c>
      <c r="E10" s="120">
        <f t="shared" si="0"/>
        <v>0.192</v>
      </c>
      <c r="F10" s="113">
        <v>62073</v>
      </c>
      <c r="G10" s="30">
        <v>100</v>
      </c>
      <c r="H10" s="34">
        <v>164</v>
      </c>
      <c r="I10" s="147">
        <v>0.752</v>
      </c>
      <c r="J10" s="39">
        <v>0.376</v>
      </c>
      <c r="K10" s="113">
        <f t="shared" si="1"/>
        <v>620.73</v>
      </c>
      <c r="L10" s="113">
        <f t="shared" si="2"/>
        <v>82543.882978723399</v>
      </c>
      <c r="M10" s="129">
        <f t="shared" si="3"/>
        <v>1.8949468085106382</v>
      </c>
    </row>
    <row r="11" spans="1:37" x14ac:dyDescent="0.3">
      <c r="A11" s="135" t="s">
        <v>178</v>
      </c>
      <c r="B11" s="101">
        <v>44494</v>
      </c>
      <c r="C11" s="112">
        <v>36300</v>
      </c>
      <c r="D11" s="112">
        <v>77000</v>
      </c>
      <c r="E11" s="120">
        <f t="shared" si="0"/>
        <v>0.47142857142857142</v>
      </c>
      <c r="F11" s="112">
        <v>3146</v>
      </c>
      <c r="G11" s="30">
        <v>100</v>
      </c>
      <c r="H11" s="34">
        <v>267</v>
      </c>
      <c r="I11" s="148">
        <v>0.82499999999999996</v>
      </c>
      <c r="J11" s="82">
        <v>0.82499999999999996</v>
      </c>
      <c r="K11" s="113">
        <f t="shared" si="1"/>
        <v>31.46</v>
      </c>
      <c r="L11" s="113">
        <f t="shared" si="2"/>
        <v>3813.3333333333335</v>
      </c>
      <c r="M11" s="129">
        <f t="shared" si="3"/>
        <v>8.7542087542087546E-2</v>
      </c>
    </row>
    <row r="12" spans="1:37" ht="15" thickBot="1" x14ac:dyDescent="0.35">
      <c r="A12" s="134" t="s">
        <v>240</v>
      </c>
      <c r="B12" s="138">
        <v>44673</v>
      </c>
      <c r="C12" s="140">
        <v>99200</v>
      </c>
      <c r="D12" s="140">
        <v>250000</v>
      </c>
      <c r="E12" s="120">
        <f t="shared" si="0"/>
        <v>0.39679999999999999</v>
      </c>
      <c r="F12" s="140">
        <v>99756</v>
      </c>
      <c r="G12" s="30">
        <v>100</v>
      </c>
      <c r="H12" s="34">
        <v>0</v>
      </c>
      <c r="I12" s="149">
        <v>0.83799999999999997</v>
      </c>
      <c r="J12" s="146">
        <v>0.83799999999999997</v>
      </c>
      <c r="K12" s="113">
        <f t="shared" si="1"/>
        <v>997.56</v>
      </c>
      <c r="L12" s="113">
        <f t="shared" si="2"/>
        <v>119040.57279236277</v>
      </c>
      <c r="M12" s="129">
        <f t="shared" si="3"/>
        <v>2.7327955186492829</v>
      </c>
    </row>
    <row r="13" spans="1:37" ht="15" thickBot="1" x14ac:dyDescent="0.35">
      <c r="A13" s="134" t="s">
        <v>186</v>
      </c>
      <c r="B13" s="138">
        <v>44372</v>
      </c>
      <c r="C13" s="140">
        <v>15200</v>
      </c>
      <c r="D13" s="140">
        <v>25900</v>
      </c>
      <c r="E13" s="120">
        <f t="shared" si="0"/>
        <v>0.58687258687258692</v>
      </c>
      <c r="F13" s="140">
        <v>25900</v>
      </c>
      <c r="G13" s="30">
        <v>246.9</v>
      </c>
      <c r="H13" s="34">
        <v>131</v>
      </c>
      <c r="I13" s="149">
        <v>0.93200000000000005</v>
      </c>
      <c r="J13" s="146">
        <v>0.93200000000000005</v>
      </c>
      <c r="K13" s="113">
        <f t="shared" si="1"/>
        <v>104.90076954232482</v>
      </c>
      <c r="L13" s="113">
        <f t="shared" si="2"/>
        <v>27789.69957081545</v>
      </c>
      <c r="M13" s="129">
        <f t="shared" si="3"/>
        <v>0.63796371833827936</v>
      </c>
    </row>
    <row r="14" spans="1:37" x14ac:dyDescent="0.3">
      <c r="A14" s="90" t="s">
        <v>115</v>
      </c>
      <c r="B14" s="101">
        <v>44530</v>
      </c>
      <c r="C14" s="112">
        <v>251800</v>
      </c>
      <c r="D14" s="112">
        <v>600000</v>
      </c>
      <c r="E14" s="119">
        <f t="shared" si="0"/>
        <v>0.41966666666666669</v>
      </c>
      <c r="F14" s="112">
        <v>51647</v>
      </c>
      <c r="G14" s="81">
        <v>325</v>
      </c>
      <c r="H14" s="34">
        <v>250</v>
      </c>
      <c r="I14" s="148">
        <v>0.98499999999999999</v>
      </c>
      <c r="J14" s="82">
        <v>0.73899999999999999</v>
      </c>
      <c r="K14" s="113">
        <f t="shared" si="1"/>
        <v>158.91384615384615</v>
      </c>
      <c r="L14" s="113">
        <f t="shared" si="2"/>
        <v>52433.502538071065</v>
      </c>
      <c r="M14" s="129">
        <f t="shared" si="3"/>
        <v>1.2037075881099877</v>
      </c>
    </row>
    <row r="15" spans="1:37" ht="15" thickBot="1" x14ac:dyDescent="0.35">
      <c r="A15" s="90" t="s">
        <v>215</v>
      </c>
      <c r="B15" s="101">
        <v>44309</v>
      </c>
      <c r="C15" s="112">
        <v>68800</v>
      </c>
      <c r="D15" s="112">
        <v>165000</v>
      </c>
      <c r="E15" s="119">
        <f t="shared" si="0"/>
        <v>0.41696969696969699</v>
      </c>
      <c r="F15" s="112">
        <v>12049</v>
      </c>
      <c r="G15" s="81">
        <v>150</v>
      </c>
      <c r="H15" s="34">
        <v>287</v>
      </c>
      <c r="I15" s="148">
        <v>0.98799999999999999</v>
      </c>
      <c r="J15" s="82">
        <v>0.98799999999999999</v>
      </c>
      <c r="K15" s="113">
        <f t="shared" si="1"/>
        <v>80.326666666666668</v>
      </c>
      <c r="L15" s="113">
        <f t="shared" si="2"/>
        <v>12195.344129554656</v>
      </c>
      <c r="M15" s="129">
        <f t="shared" si="3"/>
        <v>0.27996657781346779</v>
      </c>
    </row>
    <row r="16" spans="1:37" ht="15" thickTop="1" x14ac:dyDescent="0.3">
      <c r="A16" s="91"/>
      <c r="B16" s="103" t="s">
        <v>303</v>
      </c>
      <c r="C16" s="114">
        <f>+SUM(C5:C15)</f>
        <v>821300</v>
      </c>
      <c r="D16" s="114">
        <f>+SUM(D5:D15)</f>
        <v>2067400</v>
      </c>
      <c r="E16" s="121"/>
      <c r="F16" s="114">
        <f>+SUM(F5:F15)</f>
        <v>558726</v>
      </c>
      <c r="G16" s="31">
        <f>+SUM(G5:G15)</f>
        <v>1772.9</v>
      </c>
      <c r="H16" s="35"/>
      <c r="I16" s="126">
        <f>+SUM(I5:I15)</f>
        <v>7.5770000000000017</v>
      </c>
      <c r="J16" s="40">
        <f>+SUM(J5:J15)</f>
        <v>6.527000000000001</v>
      </c>
      <c r="K16" s="114"/>
      <c r="L16" s="114"/>
      <c r="M16" s="130"/>
    </row>
    <row r="17" spans="1:37" x14ac:dyDescent="0.3">
      <c r="A17" s="92"/>
      <c r="B17" s="104"/>
      <c r="C17" s="115" t="s">
        <v>304</v>
      </c>
      <c r="D17" s="115"/>
      <c r="E17" s="122" t="e">
        <f>C16/#REF!*100</f>
        <v>#REF!</v>
      </c>
      <c r="F17" s="115"/>
      <c r="G17" s="32"/>
      <c r="H17" s="36"/>
      <c r="I17" s="127" t="s">
        <v>305</v>
      </c>
      <c r="J17" s="41"/>
      <c r="K17" s="115"/>
      <c r="L17" s="115" t="s">
        <v>305</v>
      </c>
      <c r="M17" s="131"/>
    </row>
    <row r="18" spans="1:37" x14ac:dyDescent="0.3">
      <c r="A18" s="93"/>
      <c r="B18" s="105"/>
      <c r="C18" s="116" t="s">
        <v>306</v>
      </c>
      <c r="D18" s="116"/>
      <c r="E18" s="123" t="e">
        <f>STDEV(E5:E23)</f>
        <v>#REF!</v>
      </c>
      <c r="F18" s="116"/>
      <c r="G18" s="48">
        <f>F16/G16</f>
        <v>315.14806249647467</v>
      </c>
      <c r="H18" s="37"/>
      <c r="I18" s="128" t="s">
        <v>308</v>
      </c>
      <c r="J18" s="42">
        <f>F16/I16</f>
        <v>73739.738682855997</v>
      </c>
      <c r="K18" s="116"/>
      <c r="L18" s="116" t="s">
        <v>309</v>
      </c>
      <c r="M18" s="132">
        <f>F16/I16/43560</f>
        <v>1.6928314665485766</v>
      </c>
    </row>
    <row r="19" spans="1:37" x14ac:dyDescent="0.3">
      <c r="G19" s="50" t="s">
        <v>346</v>
      </c>
    </row>
    <row r="21" spans="1:37" s="57" customFormat="1" x14ac:dyDescent="0.3">
      <c r="A21" s="88" t="s">
        <v>0</v>
      </c>
      <c r="B21" s="55" t="s">
        <v>2</v>
      </c>
      <c r="C21" s="56" t="s">
        <v>7</v>
      </c>
      <c r="D21" s="56" t="s">
        <v>3</v>
      </c>
      <c r="E21" s="58" t="s">
        <v>318</v>
      </c>
      <c r="F21" s="56" t="s">
        <v>319</v>
      </c>
      <c r="G21" s="59" t="s">
        <v>12</v>
      </c>
      <c r="H21" s="60" t="s">
        <v>13</v>
      </c>
      <c r="I21" s="61" t="s">
        <v>14</v>
      </c>
      <c r="J21" s="61" t="s">
        <v>15</v>
      </c>
      <c r="K21" s="56" t="s">
        <v>16</v>
      </c>
      <c r="L21" s="56" t="s">
        <v>17</v>
      </c>
      <c r="M21" s="62" t="s">
        <v>18</v>
      </c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</row>
    <row r="22" spans="1:37" x14ac:dyDescent="0.3">
      <c r="A22" s="90" t="s">
        <v>172</v>
      </c>
      <c r="B22" s="101">
        <v>44824</v>
      </c>
      <c r="C22" s="112">
        <v>16100</v>
      </c>
      <c r="D22" s="112">
        <v>20000</v>
      </c>
      <c r="E22" s="119">
        <f t="shared" ref="E22:E27" si="4">C22/D22</f>
        <v>0.80500000000000005</v>
      </c>
      <c r="F22" s="112">
        <v>20000</v>
      </c>
      <c r="G22" s="81">
        <v>150</v>
      </c>
      <c r="H22" s="34">
        <v>300</v>
      </c>
      <c r="I22" s="148">
        <v>1.0329999999999999</v>
      </c>
      <c r="J22" s="82">
        <v>1.0329999999999999</v>
      </c>
      <c r="K22" s="113">
        <f>F22/G22</f>
        <v>133.33333333333334</v>
      </c>
      <c r="L22" s="113">
        <f t="shared" ref="L22:L39" si="5">F22/I22</f>
        <v>19361.084220716362</v>
      </c>
      <c r="M22" s="129">
        <f t="shared" ref="M22:M39" si="6">F22/I22/43560</f>
        <v>0.44446933472718919</v>
      </c>
    </row>
    <row r="23" spans="1:37" x14ac:dyDescent="0.3">
      <c r="A23" s="90" t="s">
        <v>263</v>
      </c>
      <c r="B23" s="101">
        <v>44560</v>
      </c>
      <c r="C23" s="112">
        <v>138200</v>
      </c>
      <c r="D23" s="112">
        <v>400000</v>
      </c>
      <c r="E23" s="119">
        <f t="shared" si="4"/>
        <v>0.34549999999999997</v>
      </c>
      <c r="F23" s="112">
        <v>35911</v>
      </c>
      <c r="G23" s="81">
        <v>254</v>
      </c>
      <c r="H23" s="34">
        <v>727.90000899999995</v>
      </c>
      <c r="I23" s="148">
        <v>1.0049999999999999</v>
      </c>
      <c r="J23" s="82">
        <v>0.30299999999999999</v>
      </c>
      <c r="K23" s="113">
        <f>F23/G23</f>
        <v>141.38188976377953</v>
      </c>
      <c r="L23" s="113">
        <f t="shared" si="5"/>
        <v>35732.338308457714</v>
      </c>
      <c r="M23" s="129">
        <f t="shared" si="6"/>
        <v>0.8203016140600945</v>
      </c>
    </row>
    <row r="24" spans="1:37" x14ac:dyDescent="0.3">
      <c r="A24" s="79" t="s">
        <v>320</v>
      </c>
      <c r="B24" s="100">
        <v>44317</v>
      </c>
      <c r="C24" s="84">
        <v>111500</v>
      </c>
      <c r="D24" s="84">
        <v>460000</v>
      </c>
      <c r="E24" s="118">
        <f t="shared" si="4"/>
        <v>0.24239130434782608</v>
      </c>
      <c r="F24" s="84">
        <v>21500</v>
      </c>
      <c r="G24" s="75"/>
      <c r="I24" s="151">
        <v>1.5</v>
      </c>
      <c r="J24" s="69"/>
      <c r="K24" s="113" t="e">
        <f t="shared" ref="K24" si="7">F24/G24</f>
        <v>#DIV/0!</v>
      </c>
      <c r="L24" s="113">
        <f t="shared" si="5"/>
        <v>14333.333333333334</v>
      </c>
      <c r="M24" s="129">
        <f t="shared" si="6"/>
        <v>0.3290480563207836</v>
      </c>
    </row>
    <row r="25" spans="1:37" x14ac:dyDescent="0.3">
      <c r="A25" s="79" t="s">
        <v>321</v>
      </c>
      <c r="B25" s="100">
        <v>44682</v>
      </c>
      <c r="C25" s="84">
        <v>18900</v>
      </c>
      <c r="D25" s="84">
        <v>50000</v>
      </c>
      <c r="E25" s="118">
        <f t="shared" si="4"/>
        <v>0.378</v>
      </c>
      <c r="F25" s="84">
        <v>21670</v>
      </c>
      <c r="G25" s="75"/>
      <c r="I25" s="151">
        <v>1.88</v>
      </c>
      <c r="J25" s="69"/>
      <c r="K25" s="113" t="e">
        <f>F25/G25</f>
        <v>#DIV/0!</v>
      </c>
      <c r="L25" s="113">
        <f t="shared" si="5"/>
        <v>11526.595744680852</v>
      </c>
      <c r="M25" s="129">
        <f t="shared" si="6"/>
        <v>0.26461422738018486</v>
      </c>
    </row>
    <row r="26" spans="1:37" x14ac:dyDescent="0.3">
      <c r="A26" s="79" t="s">
        <v>322</v>
      </c>
      <c r="B26" s="100">
        <v>44774</v>
      </c>
      <c r="C26" s="84">
        <v>25800</v>
      </c>
      <c r="D26" s="84">
        <v>105000</v>
      </c>
      <c r="E26" s="118">
        <f t="shared" si="4"/>
        <v>0.24571428571428572</v>
      </c>
      <c r="F26" s="84">
        <v>23556</v>
      </c>
      <c r="G26" s="67"/>
      <c r="I26" s="151">
        <v>1.89</v>
      </c>
      <c r="J26" s="69"/>
      <c r="K26" s="113" t="e">
        <f>F26/G26</f>
        <v>#DIV/0!</v>
      </c>
      <c r="L26" s="113">
        <f t="shared" si="5"/>
        <v>12463.492063492064</v>
      </c>
      <c r="M26" s="129">
        <f t="shared" si="6"/>
        <v>0.28612240733452854</v>
      </c>
    </row>
    <row r="27" spans="1:37" s="166" customFormat="1" x14ac:dyDescent="0.3">
      <c r="A27" s="157" t="s">
        <v>325</v>
      </c>
      <c r="B27" s="167">
        <v>44470</v>
      </c>
      <c r="C27" s="159">
        <v>8800</v>
      </c>
      <c r="D27" s="159">
        <v>21500</v>
      </c>
      <c r="E27" s="160">
        <f t="shared" si="4"/>
        <v>0.40930232558139534</v>
      </c>
      <c r="F27" s="161">
        <v>21500</v>
      </c>
      <c r="G27" s="106"/>
      <c r="H27" s="162"/>
      <c r="I27" s="152">
        <v>2.1240000000000001</v>
      </c>
      <c r="J27" s="163"/>
      <c r="K27" s="164" t="e">
        <f>F27/G27</f>
        <v>#DIV/0!</v>
      </c>
      <c r="L27" s="164">
        <f t="shared" si="5"/>
        <v>10122.410546139359</v>
      </c>
      <c r="M27" s="165">
        <f t="shared" si="6"/>
        <v>0.232378570848011</v>
      </c>
    </row>
    <row r="28" spans="1:37" s="166" customFormat="1" x14ac:dyDescent="0.3">
      <c r="A28" s="157" t="s">
        <v>326</v>
      </c>
      <c r="B28" s="158">
        <v>44652</v>
      </c>
      <c r="C28" s="80"/>
      <c r="D28" s="159">
        <v>30000</v>
      </c>
      <c r="E28" s="160"/>
      <c r="F28" s="161">
        <v>30000</v>
      </c>
      <c r="G28" s="106"/>
      <c r="H28" s="162"/>
      <c r="I28" s="152">
        <v>2.2000000000000002</v>
      </c>
      <c r="J28" s="163"/>
      <c r="K28" s="164" t="e">
        <f>F28/G28</f>
        <v>#DIV/0!</v>
      </c>
      <c r="L28" s="164">
        <f t="shared" si="5"/>
        <v>13636.363636363636</v>
      </c>
      <c r="M28" s="165">
        <f t="shared" si="6"/>
        <v>0.31304783370899075</v>
      </c>
    </row>
    <row r="29" spans="1:37" x14ac:dyDescent="0.3">
      <c r="A29" s="76" t="s">
        <v>313</v>
      </c>
      <c r="B29" s="83">
        <v>44469</v>
      </c>
      <c r="C29" s="84">
        <v>50200</v>
      </c>
      <c r="D29" s="84">
        <v>50200</v>
      </c>
      <c r="E29" s="86">
        <v>34.033898305084747</v>
      </c>
      <c r="F29" s="87">
        <v>14211</v>
      </c>
      <c r="G29" s="81"/>
      <c r="I29" s="153">
        <v>2.5009999999999999</v>
      </c>
      <c r="J29" s="85"/>
      <c r="L29" s="113">
        <f t="shared" si="5"/>
        <v>5682.127149140344</v>
      </c>
      <c r="M29" s="129">
        <f t="shared" si="6"/>
        <v>0.13044369029247804</v>
      </c>
    </row>
    <row r="30" spans="1:37" x14ac:dyDescent="0.3">
      <c r="A30" s="78" t="s">
        <v>327</v>
      </c>
      <c r="B30" s="99">
        <v>44713</v>
      </c>
      <c r="C30" s="111">
        <v>50100</v>
      </c>
      <c r="D30" s="111">
        <v>100000</v>
      </c>
      <c r="E30" s="118">
        <f>C30/D30</f>
        <v>0.501</v>
      </c>
      <c r="F30" s="84">
        <v>21389</v>
      </c>
      <c r="G30" s="77"/>
      <c r="I30" s="152">
        <v>2.78</v>
      </c>
      <c r="J30" s="69"/>
      <c r="K30" s="113" t="e">
        <f t="shared" ref="K30:K39" si="8">F30/G30</f>
        <v>#DIV/0!</v>
      </c>
      <c r="L30" s="113">
        <f t="shared" si="5"/>
        <v>7693.8848920863311</v>
      </c>
      <c r="M30" s="129">
        <f t="shared" si="6"/>
        <v>0.17662729320675691</v>
      </c>
    </row>
    <row r="31" spans="1:37" x14ac:dyDescent="0.3">
      <c r="A31" s="90" t="s">
        <v>123</v>
      </c>
      <c r="B31" s="101">
        <v>44993</v>
      </c>
      <c r="C31" s="112">
        <v>33000</v>
      </c>
      <c r="D31" s="112">
        <v>83000</v>
      </c>
      <c r="E31" s="119">
        <f>C31/D31</f>
        <v>0.39759036144578314</v>
      </c>
      <c r="F31" s="112">
        <v>83000</v>
      </c>
      <c r="G31" s="81">
        <v>225</v>
      </c>
      <c r="H31" s="34">
        <v>288</v>
      </c>
      <c r="I31" s="148">
        <v>2.9780000000000002</v>
      </c>
      <c r="J31" s="39">
        <v>2.9780000000000002</v>
      </c>
      <c r="K31" s="113">
        <f t="shared" si="8"/>
        <v>368.88888888888891</v>
      </c>
      <c r="L31" s="113">
        <f t="shared" si="5"/>
        <v>27871.054398925451</v>
      </c>
      <c r="M31" s="129">
        <f t="shared" si="6"/>
        <v>0.63983136820306363</v>
      </c>
    </row>
    <row r="32" spans="1:37" x14ac:dyDescent="0.3">
      <c r="A32" s="78" t="s">
        <v>323</v>
      </c>
      <c r="B32" s="99">
        <v>44287</v>
      </c>
      <c r="C32" s="111">
        <v>98200</v>
      </c>
      <c r="D32" s="111">
        <v>135000</v>
      </c>
      <c r="E32" s="118">
        <f>C32/D32</f>
        <v>0.72740740740740739</v>
      </c>
      <c r="F32" s="84">
        <v>23018</v>
      </c>
      <c r="G32" s="77"/>
      <c r="I32" s="152">
        <v>3.02</v>
      </c>
      <c r="J32" s="69"/>
      <c r="K32" s="113" t="e">
        <f t="shared" si="8"/>
        <v>#DIV/0!</v>
      </c>
      <c r="L32" s="113">
        <f t="shared" si="5"/>
        <v>7621.8543046357618</v>
      </c>
      <c r="M32" s="129">
        <f t="shared" si="6"/>
        <v>0.17497369845352989</v>
      </c>
    </row>
    <row r="33" spans="1:37" s="166" customFormat="1" x14ac:dyDescent="0.3">
      <c r="A33" s="157" t="s">
        <v>324</v>
      </c>
      <c r="B33" s="158">
        <v>44440</v>
      </c>
      <c r="C33" s="80"/>
      <c r="D33" s="159">
        <v>15000</v>
      </c>
      <c r="E33" s="160"/>
      <c r="F33" s="161">
        <v>15000</v>
      </c>
      <c r="G33" s="107"/>
      <c r="H33" s="162"/>
      <c r="I33" s="152">
        <v>3.1</v>
      </c>
      <c r="J33" s="163"/>
      <c r="K33" s="164" t="e">
        <f t="shared" si="8"/>
        <v>#DIV/0!</v>
      </c>
      <c r="L33" s="164">
        <f t="shared" si="5"/>
        <v>4838.7096774193551</v>
      </c>
      <c r="M33" s="165">
        <f t="shared" si="6"/>
        <v>0.11108148938060962</v>
      </c>
    </row>
    <row r="34" spans="1:37" x14ac:dyDescent="0.3">
      <c r="A34" s="78" t="s">
        <v>328</v>
      </c>
      <c r="B34" s="99">
        <v>44713</v>
      </c>
      <c r="C34" s="111">
        <v>61400</v>
      </c>
      <c r="D34" s="111">
        <v>130000</v>
      </c>
      <c r="E34" s="118">
        <f t="shared" ref="E34:E39" si="9">C34/D34</f>
        <v>0.47230769230769232</v>
      </c>
      <c r="F34" s="84">
        <v>23130</v>
      </c>
      <c r="G34" s="71"/>
      <c r="I34" s="152">
        <v>3.13</v>
      </c>
      <c r="J34" s="69"/>
      <c r="K34" s="113" t="e">
        <f t="shared" si="8"/>
        <v>#DIV/0!</v>
      </c>
      <c r="L34" s="113">
        <f t="shared" si="5"/>
        <v>7389.7763578274762</v>
      </c>
      <c r="M34" s="129">
        <f t="shared" si="6"/>
        <v>0.16964592189686584</v>
      </c>
    </row>
    <row r="35" spans="1:37" x14ac:dyDescent="0.3">
      <c r="A35" s="90" t="s">
        <v>120</v>
      </c>
      <c r="B35" s="101">
        <v>44377</v>
      </c>
      <c r="C35" s="112">
        <v>9600</v>
      </c>
      <c r="D35" s="112">
        <v>25000</v>
      </c>
      <c r="E35" s="119">
        <f t="shared" si="9"/>
        <v>0.38400000000000001</v>
      </c>
      <c r="F35" s="112">
        <v>25000</v>
      </c>
      <c r="G35" s="30">
        <v>330</v>
      </c>
      <c r="H35" s="34">
        <v>416</v>
      </c>
      <c r="I35" s="148">
        <v>3.15</v>
      </c>
      <c r="J35" s="39">
        <v>3.15</v>
      </c>
      <c r="K35" s="113">
        <f t="shared" si="8"/>
        <v>75.757575757575751</v>
      </c>
      <c r="L35" s="113">
        <f t="shared" si="5"/>
        <v>7936.5079365079364</v>
      </c>
      <c r="M35" s="129">
        <f t="shared" si="6"/>
        <v>0.18219715189412158</v>
      </c>
    </row>
    <row r="36" spans="1:37" x14ac:dyDescent="0.3">
      <c r="A36" s="135" t="s">
        <v>218</v>
      </c>
      <c r="B36" s="101">
        <v>44769</v>
      </c>
      <c r="C36" s="112">
        <v>115800</v>
      </c>
      <c r="D36" s="112">
        <v>150000</v>
      </c>
      <c r="E36" s="119">
        <f t="shared" si="9"/>
        <v>0.77200000000000002</v>
      </c>
      <c r="F36" s="112">
        <v>38891</v>
      </c>
      <c r="G36" s="30">
        <v>250</v>
      </c>
      <c r="H36" s="34">
        <v>678</v>
      </c>
      <c r="I36" s="148">
        <v>4.0199999999999996</v>
      </c>
      <c r="J36" s="39">
        <v>4.0199999999999996</v>
      </c>
      <c r="K36" s="113">
        <f t="shared" si="8"/>
        <v>155.56399999999999</v>
      </c>
      <c r="L36" s="113">
        <f t="shared" si="5"/>
        <v>9674.3781094527367</v>
      </c>
      <c r="M36" s="129">
        <f t="shared" si="6"/>
        <v>0.22209316137402976</v>
      </c>
    </row>
    <row r="37" spans="1:37" ht="15" thickBot="1" x14ac:dyDescent="0.35">
      <c r="A37" s="134" t="s">
        <v>246</v>
      </c>
      <c r="B37" s="138">
        <v>44643</v>
      </c>
      <c r="C37" s="140">
        <v>149700</v>
      </c>
      <c r="D37" s="140">
        <v>265000</v>
      </c>
      <c r="E37" s="143">
        <f t="shared" si="9"/>
        <v>0.56490566037735845</v>
      </c>
      <c r="F37" s="140">
        <v>46972</v>
      </c>
      <c r="G37" s="30">
        <v>300</v>
      </c>
      <c r="H37" s="34">
        <v>350</v>
      </c>
      <c r="I37" s="149">
        <v>4.82</v>
      </c>
      <c r="J37" s="39">
        <v>2.41</v>
      </c>
      <c r="K37" s="113">
        <f t="shared" si="8"/>
        <v>156.57333333333332</v>
      </c>
      <c r="L37" s="113">
        <f t="shared" si="5"/>
        <v>9745.2282157676345</v>
      </c>
      <c r="M37" s="129">
        <f t="shared" si="6"/>
        <v>0.223719656009358</v>
      </c>
    </row>
    <row r="38" spans="1:37" x14ac:dyDescent="0.3">
      <c r="A38" s="133" t="s">
        <v>192</v>
      </c>
      <c r="B38" s="137">
        <v>44727</v>
      </c>
      <c r="C38" s="139">
        <v>35400</v>
      </c>
      <c r="D38" s="139">
        <v>110000</v>
      </c>
      <c r="E38" s="142">
        <f t="shared" si="9"/>
        <v>0.32181818181818184</v>
      </c>
      <c r="F38" s="139">
        <v>110000</v>
      </c>
      <c r="G38" s="30">
        <v>243.33333300000001</v>
      </c>
      <c r="H38" s="34">
        <v>804</v>
      </c>
      <c r="I38" s="150">
        <v>4.9400000000000004</v>
      </c>
      <c r="J38" s="39">
        <v>5.09</v>
      </c>
      <c r="K38" s="113">
        <f t="shared" si="8"/>
        <v>452.05479513980106</v>
      </c>
      <c r="L38" s="113">
        <f t="shared" si="5"/>
        <v>22267.206477732791</v>
      </c>
      <c r="M38" s="129">
        <f t="shared" si="6"/>
        <v>0.51118472171103746</v>
      </c>
    </row>
    <row r="39" spans="1:37" ht="15" thickBot="1" x14ac:dyDescent="0.35">
      <c r="A39" s="135" t="s">
        <v>254</v>
      </c>
      <c r="B39" s="101">
        <v>44343</v>
      </c>
      <c r="C39" s="112">
        <v>147600</v>
      </c>
      <c r="D39" s="112">
        <v>380000</v>
      </c>
      <c r="E39" s="119">
        <f t="shared" si="9"/>
        <v>0.38842105263157894</v>
      </c>
      <c r="F39" s="112">
        <v>108959</v>
      </c>
      <c r="G39" s="30">
        <v>344</v>
      </c>
      <c r="H39" s="34">
        <v>525</v>
      </c>
      <c r="I39" s="148">
        <v>4.9429999999999996</v>
      </c>
      <c r="J39" s="39">
        <v>4.7300000000000004</v>
      </c>
      <c r="K39" s="113">
        <f t="shared" si="8"/>
        <v>316.74127906976742</v>
      </c>
      <c r="L39" s="113">
        <f t="shared" si="5"/>
        <v>22043.091240137572</v>
      </c>
      <c r="M39" s="129">
        <f t="shared" si="6"/>
        <v>0.50603974380481109</v>
      </c>
    </row>
    <row r="40" spans="1:37" ht="15" thickTop="1" x14ac:dyDescent="0.3">
      <c r="A40" s="91"/>
      <c r="B40" s="103" t="s">
        <v>303</v>
      </c>
      <c r="C40" s="114">
        <f>+SUM(C22:C39)</f>
        <v>1070300</v>
      </c>
      <c r="D40" s="114">
        <f>+SUM(D22:D39)</f>
        <v>2529700</v>
      </c>
      <c r="E40" s="121"/>
      <c r="F40" s="114">
        <f>+SUM(F22:F39)</f>
        <v>683707</v>
      </c>
      <c r="G40" s="31">
        <f>+SUM(G22:G39)</f>
        <v>2096.333333</v>
      </c>
      <c r="H40" s="35"/>
      <c r="I40" s="126">
        <f>+SUM(I22:I39)</f>
        <v>51.013999999999989</v>
      </c>
      <c r="J40" s="40">
        <f>+SUM(J22:J39)</f>
        <v>23.714000000000002</v>
      </c>
      <c r="K40" s="114"/>
      <c r="L40" s="114"/>
      <c r="M40" s="130"/>
    </row>
    <row r="41" spans="1:37" x14ac:dyDescent="0.3">
      <c r="A41" s="92"/>
      <c r="B41" s="104"/>
      <c r="C41" s="115" t="s">
        <v>304</v>
      </c>
      <c r="D41" s="115"/>
      <c r="E41" s="122" t="e">
        <f>C40/#REF!*100</f>
        <v>#REF!</v>
      </c>
      <c r="F41" s="115"/>
      <c r="G41" s="32"/>
      <c r="H41" s="36"/>
      <c r="I41" s="127" t="s">
        <v>305</v>
      </c>
      <c r="J41" s="41"/>
      <c r="K41" s="115"/>
      <c r="L41" s="115" t="s">
        <v>305</v>
      </c>
      <c r="M41" s="131"/>
    </row>
    <row r="42" spans="1:37" x14ac:dyDescent="0.3">
      <c r="A42" s="93"/>
      <c r="B42" s="105"/>
      <c r="C42" s="116" t="s">
        <v>306</v>
      </c>
      <c r="D42" s="116"/>
      <c r="E42" s="123">
        <f>STDEV(E22:E39)</f>
        <v>8.3943393419581405</v>
      </c>
      <c r="F42" s="116"/>
      <c r="G42" s="48">
        <f>F40/G40</f>
        <v>326.14422011864275</v>
      </c>
      <c r="H42" s="37"/>
      <c r="I42" s="128" t="s">
        <v>308</v>
      </c>
      <c r="J42" s="42">
        <f>F40/I40</f>
        <v>13402.34053397107</v>
      </c>
      <c r="K42" s="116"/>
      <c r="L42" s="116" t="s">
        <v>309</v>
      </c>
      <c r="M42" s="132">
        <f>F40/I40/43560</f>
        <v>0.30767540252458836</v>
      </c>
    </row>
    <row r="43" spans="1:37" x14ac:dyDescent="0.3">
      <c r="J43" s="53">
        <v>13000</v>
      </c>
    </row>
    <row r="46" spans="1:37" s="57" customFormat="1" x14ac:dyDescent="0.3">
      <c r="A46" s="88" t="s">
        <v>0</v>
      </c>
      <c r="B46" s="55" t="s">
        <v>2</v>
      </c>
      <c r="C46" s="56" t="s">
        <v>7</v>
      </c>
      <c r="D46" s="56" t="s">
        <v>3</v>
      </c>
      <c r="E46" s="58" t="s">
        <v>318</v>
      </c>
      <c r="F46" s="56" t="s">
        <v>319</v>
      </c>
      <c r="G46" s="59" t="s">
        <v>12</v>
      </c>
      <c r="H46" s="60" t="s">
        <v>13</v>
      </c>
      <c r="I46" s="61" t="s">
        <v>14</v>
      </c>
      <c r="J46" s="61" t="s">
        <v>15</v>
      </c>
      <c r="K46" s="56" t="s">
        <v>16</v>
      </c>
      <c r="L46" s="56" t="s">
        <v>17</v>
      </c>
      <c r="M46" s="62" t="s">
        <v>18</v>
      </c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</row>
    <row r="47" spans="1:37" ht="15" thickBot="1" x14ac:dyDescent="0.35">
      <c r="A47" s="134" t="s">
        <v>224</v>
      </c>
      <c r="B47" s="138">
        <v>44741</v>
      </c>
      <c r="C47" s="140">
        <v>51100</v>
      </c>
      <c r="D47" s="140">
        <v>150000</v>
      </c>
      <c r="E47" s="143">
        <f>C47/D47</f>
        <v>0.34066666666666667</v>
      </c>
      <c r="F47" s="140">
        <v>116268</v>
      </c>
      <c r="G47" s="30">
        <v>330</v>
      </c>
      <c r="H47" s="34">
        <v>660</v>
      </c>
      <c r="I47" s="149">
        <v>5</v>
      </c>
      <c r="J47" s="39">
        <v>5</v>
      </c>
      <c r="K47" s="113">
        <f>F47/G47</f>
        <v>352.32727272727271</v>
      </c>
      <c r="L47" s="113">
        <f t="shared" ref="L47:L56" si="10">F47/I47</f>
        <v>23253.599999999999</v>
      </c>
      <c r="M47" s="129">
        <f t="shared" ref="M47:M56" si="11">F47/I47/43560</f>
        <v>0.53382920110192833</v>
      </c>
    </row>
    <row r="48" spans="1:37" x14ac:dyDescent="0.3">
      <c r="A48" s="65" t="s">
        <v>257</v>
      </c>
      <c r="B48" s="94">
        <v>44470</v>
      </c>
      <c r="C48" s="109">
        <v>32800</v>
      </c>
      <c r="D48" s="109">
        <v>130000</v>
      </c>
      <c r="E48" s="117">
        <f>C48/D48</f>
        <v>0.25230769230769229</v>
      </c>
      <c r="F48" s="109">
        <v>19650</v>
      </c>
      <c r="G48" s="68"/>
      <c r="I48" s="66">
        <v>5</v>
      </c>
      <c r="J48" s="69"/>
      <c r="K48" s="113" t="e">
        <f>F48/G48</f>
        <v>#DIV/0!</v>
      </c>
      <c r="L48" s="113">
        <f t="shared" si="10"/>
        <v>3930</v>
      </c>
      <c r="M48" s="129">
        <f t="shared" si="11"/>
        <v>9.0220385674931125E-2</v>
      </c>
    </row>
    <row r="49" spans="1:37" x14ac:dyDescent="0.3">
      <c r="A49" s="89" t="s">
        <v>257</v>
      </c>
      <c r="B49" s="102">
        <v>44483</v>
      </c>
      <c r="C49" s="113">
        <v>32800</v>
      </c>
      <c r="D49" s="113">
        <v>130000</v>
      </c>
      <c r="E49" s="120">
        <f>C49/D49</f>
        <v>0.25230769230769229</v>
      </c>
      <c r="F49" s="113">
        <v>130000</v>
      </c>
      <c r="G49" s="30">
        <v>0</v>
      </c>
      <c r="H49" s="34">
        <v>0</v>
      </c>
      <c r="I49" s="147">
        <v>5</v>
      </c>
      <c r="J49" s="39">
        <v>5</v>
      </c>
      <c r="K49" s="113" t="e">
        <f>F49/G49</f>
        <v>#DIV/0!</v>
      </c>
      <c r="L49" s="113">
        <f t="shared" si="10"/>
        <v>26000</v>
      </c>
      <c r="M49" s="129">
        <f t="shared" si="11"/>
        <v>0.59687786960514233</v>
      </c>
    </row>
    <row r="50" spans="1:37" ht="43.2" x14ac:dyDescent="0.3">
      <c r="A50" s="65" t="s">
        <v>329</v>
      </c>
      <c r="B50" s="94">
        <v>44197</v>
      </c>
      <c r="C50" s="109">
        <v>68100</v>
      </c>
      <c r="D50" s="109">
        <v>225000</v>
      </c>
      <c r="E50" s="117">
        <f>C50/D50</f>
        <v>0.30266666666666664</v>
      </c>
      <c r="F50" s="109">
        <v>68863</v>
      </c>
      <c r="G50" s="68"/>
      <c r="I50" s="66">
        <v>5.1100000000000003</v>
      </c>
      <c r="J50" s="69"/>
      <c r="K50" s="113" t="e">
        <f>F50/G50</f>
        <v>#DIV/0!</v>
      </c>
      <c r="L50" s="113">
        <f t="shared" si="10"/>
        <v>13476.125244618395</v>
      </c>
      <c r="M50" s="129">
        <f t="shared" si="11"/>
        <v>0.30936926640538098</v>
      </c>
    </row>
    <row r="51" spans="1:37" x14ac:dyDescent="0.3">
      <c r="A51" s="65" t="s">
        <v>331</v>
      </c>
      <c r="B51" s="94">
        <v>44317</v>
      </c>
      <c r="C51" s="109">
        <v>141700</v>
      </c>
      <c r="D51" s="109">
        <v>225000</v>
      </c>
      <c r="E51" s="117">
        <f>C51/D51</f>
        <v>0.62977777777777777</v>
      </c>
      <c r="F51" s="109">
        <v>67534</v>
      </c>
      <c r="G51" s="68"/>
      <c r="I51" s="66">
        <v>5.65</v>
      </c>
      <c r="J51" s="69"/>
      <c r="K51" s="113" t="e">
        <f>F51/G51</f>
        <v>#DIV/0!</v>
      </c>
      <c r="L51" s="113">
        <f t="shared" si="10"/>
        <v>11952.920353982299</v>
      </c>
      <c r="M51" s="129">
        <f t="shared" si="11"/>
        <v>0.27440129370941918</v>
      </c>
    </row>
    <row r="52" spans="1:37" x14ac:dyDescent="0.3">
      <c r="A52" s="72" t="s">
        <v>314</v>
      </c>
      <c r="B52" s="136">
        <v>44533</v>
      </c>
      <c r="C52" s="108">
        <v>82800</v>
      </c>
      <c r="D52" s="108">
        <v>225000</v>
      </c>
      <c r="E52" s="141">
        <v>36.799999999999997</v>
      </c>
      <c r="F52" s="144">
        <v>13762</v>
      </c>
      <c r="I52" s="154">
        <v>5.69</v>
      </c>
      <c r="J52" s="85"/>
      <c r="L52" s="113">
        <f t="shared" si="10"/>
        <v>2418.629173989455</v>
      </c>
      <c r="M52" s="129">
        <f t="shared" si="11"/>
        <v>5.5524085720602731E-2</v>
      </c>
    </row>
    <row r="53" spans="1:37" ht="28.8" x14ac:dyDescent="0.3">
      <c r="A53" s="65" t="s">
        <v>330</v>
      </c>
      <c r="B53" s="94">
        <v>44287</v>
      </c>
      <c r="C53" s="109">
        <v>245000</v>
      </c>
      <c r="D53" s="109">
        <v>450000</v>
      </c>
      <c r="E53" s="117">
        <f>C53/D53</f>
        <v>0.5444444444444444</v>
      </c>
      <c r="F53" s="109">
        <v>21865</v>
      </c>
      <c r="G53" s="68"/>
      <c r="I53" s="66">
        <v>6.0590000000000002</v>
      </c>
      <c r="J53" s="69"/>
      <c r="K53" s="113" t="e">
        <f>F53/G53</f>
        <v>#DIV/0!</v>
      </c>
      <c r="L53" s="113">
        <f t="shared" si="10"/>
        <v>3608.6813005446443</v>
      </c>
      <c r="M53" s="129">
        <f t="shared" si="11"/>
        <v>8.2843923336653913E-2</v>
      </c>
    </row>
    <row r="54" spans="1:37" x14ac:dyDescent="0.3">
      <c r="A54" s="73" t="s">
        <v>333</v>
      </c>
      <c r="B54" s="95">
        <v>44835</v>
      </c>
      <c r="C54" s="109">
        <v>217600</v>
      </c>
      <c r="D54" s="109">
        <v>349222</v>
      </c>
      <c r="E54" s="117"/>
      <c r="F54" s="109">
        <v>25250</v>
      </c>
      <c r="G54" s="70"/>
      <c r="I54" s="74">
        <v>6.11</v>
      </c>
      <c r="J54" s="69"/>
      <c r="K54" s="113" t="e">
        <f>F54/G54</f>
        <v>#DIV/0!</v>
      </c>
      <c r="L54" s="113">
        <f t="shared" si="10"/>
        <v>4132.5695581014725</v>
      </c>
      <c r="M54" s="129">
        <f t="shared" si="11"/>
        <v>9.4870742839795047E-2</v>
      </c>
    </row>
    <row r="55" spans="1:37" x14ac:dyDescent="0.3">
      <c r="A55" s="89" t="s">
        <v>251</v>
      </c>
      <c r="B55" s="102">
        <v>44343</v>
      </c>
      <c r="C55" s="113">
        <v>73500</v>
      </c>
      <c r="D55" s="113">
        <v>270000</v>
      </c>
      <c r="E55" s="120">
        <f>C55/D55</f>
        <v>0.2722222222222222</v>
      </c>
      <c r="F55" s="113">
        <v>42357</v>
      </c>
      <c r="G55" s="30">
        <v>1124</v>
      </c>
      <c r="H55" s="34">
        <v>321</v>
      </c>
      <c r="I55" s="147">
        <v>6.24</v>
      </c>
      <c r="J55" s="39">
        <v>6.24</v>
      </c>
      <c r="K55" s="113">
        <f>F55/G55</f>
        <v>37.684163701067618</v>
      </c>
      <c r="L55" s="113">
        <f t="shared" si="10"/>
        <v>6787.9807692307686</v>
      </c>
      <c r="M55" s="129">
        <f t="shared" si="11"/>
        <v>0.15583059617150524</v>
      </c>
    </row>
    <row r="56" spans="1:37" s="166" customFormat="1" ht="15" thickBot="1" x14ac:dyDescent="0.35">
      <c r="A56" s="168" t="s">
        <v>332</v>
      </c>
      <c r="B56" s="169">
        <v>44409</v>
      </c>
      <c r="C56" s="170"/>
      <c r="D56" s="170">
        <v>40500</v>
      </c>
      <c r="E56" s="172"/>
      <c r="F56" s="170">
        <v>40500</v>
      </c>
      <c r="G56" s="171"/>
      <c r="H56" s="162"/>
      <c r="I56" s="66">
        <v>6.72</v>
      </c>
      <c r="J56" s="163"/>
      <c r="K56" s="164" t="e">
        <f>F56/G56</f>
        <v>#DIV/0!</v>
      </c>
      <c r="L56" s="164">
        <f t="shared" si="10"/>
        <v>6026.7857142857147</v>
      </c>
      <c r="M56" s="165">
        <f t="shared" si="11"/>
        <v>0.13835596221959859</v>
      </c>
    </row>
    <row r="57" spans="1:37" ht="15" thickTop="1" x14ac:dyDescent="0.3">
      <c r="A57" s="91"/>
      <c r="B57" s="103" t="s">
        <v>303</v>
      </c>
      <c r="C57" s="114">
        <f>+SUM(C47:C56)</f>
        <v>945400</v>
      </c>
      <c r="D57" s="114">
        <f>+SUM(D47:D56)</f>
        <v>2194722</v>
      </c>
      <c r="E57" s="121"/>
      <c r="F57" s="114">
        <f>+SUM(F47:F56)</f>
        <v>546049</v>
      </c>
      <c r="G57" s="31">
        <f>+SUM(G47:G56)</f>
        <v>1454</v>
      </c>
      <c r="H57" s="35"/>
      <c r="I57" s="126">
        <f>+SUM(I47:I56)</f>
        <v>56.579000000000001</v>
      </c>
      <c r="J57" s="40">
        <f>+SUM(J47:J56)</f>
        <v>16.240000000000002</v>
      </c>
      <c r="K57" s="114"/>
      <c r="L57" s="114"/>
      <c r="M57" s="130"/>
    </row>
    <row r="58" spans="1:37" x14ac:dyDescent="0.3">
      <c r="A58" s="92"/>
      <c r="B58" s="104"/>
      <c r="C58" s="115" t="s">
        <v>304</v>
      </c>
      <c r="D58" s="115"/>
      <c r="E58" s="122" t="e">
        <f>C57/#REF!*100</f>
        <v>#REF!</v>
      </c>
      <c r="F58" s="115"/>
      <c r="G58" s="32"/>
      <c r="H58" s="36"/>
      <c r="I58" s="127" t="s">
        <v>305</v>
      </c>
      <c r="J58" s="41"/>
      <c r="K58" s="115"/>
      <c r="L58" s="115" t="s">
        <v>305</v>
      </c>
      <c r="M58" s="131"/>
    </row>
    <row r="59" spans="1:37" x14ac:dyDescent="0.3">
      <c r="A59" s="93"/>
      <c r="B59" s="105"/>
      <c r="C59" s="116" t="s">
        <v>306</v>
      </c>
      <c r="D59" s="116"/>
      <c r="E59" s="123">
        <f>STDEV(E47:E56)</f>
        <v>12.88050768405874</v>
      </c>
      <c r="F59" s="116"/>
      <c r="G59" s="48">
        <f>F57/G57</f>
        <v>375.54951856946354</v>
      </c>
      <c r="H59" s="37"/>
      <c r="I59" s="128" t="s">
        <v>308</v>
      </c>
      <c r="J59" s="42">
        <f>F57/I57</f>
        <v>9651.0896268933702</v>
      </c>
      <c r="K59" s="116"/>
      <c r="L59" s="116" t="s">
        <v>309</v>
      </c>
      <c r="M59" s="132">
        <f>F57/I57/43560</f>
        <v>0.22155853137955395</v>
      </c>
    </row>
    <row r="60" spans="1:37" x14ac:dyDescent="0.3">
      <c r="A60" s="92"/>
      <c r="B60" s="104"/>
      <c r="C60" s="115"/>
      <c r="D60" s="115"/>
      <c r="E60" s="122"/>
      <c r="F60" s="115"/>
      <c r="G60" s="182"/>
      <c r="H60" s="36"/>
      <c r="I60" s="183" t="s">
        <v>347</v>
      </c>
      <c r="J60" s="184">
        <v>9000</v>
      </c>
      <c r="K60" s="115"/>
      <c r="L60" s="115"/>
      <c r="M60" s="131"/>
    </row>
    <row r="61" spans="1:37" x14ac:dyDescent="0.3">
      <c r="A61" s="89" t="s">
        <v>351</v>
      </c>
    </row>
    <row r="62" spans="1:37" s="57" customFormat="1" x14ac:dyDescent="0.3">
      <c r="A62" s="88" t="s">
        <v>0</v>
      </c>
      <c r="B62" s="55" t="s">
        <v>2</v>
      </c>
      <c r="C62" s="56" t="s">
        <v>7</v>
      </c>
      <c r="D62" s="56" t="s">
        <v>3</v>
      </c>
      <c r="E62" s="58" t="s">
        <v>318</v>
      </c>
      <c r="F62" s="56" t="s">
        <v>319</v>
      </c>
      <c r="G62" s="59" t="s">
        <v>12</v>
      </c>
      <c r="H62" s="60" t="s">
        <v>13</v>
      </c>
      <c r="I62" s="61" t="s">
        <v>14</v>
      </c>
      <c r="J62" s="61" t="s">
        <v>15</v>
      </c>
      <c r="K62" s="56" t="s">
        <v>16</v>
      </c>
      <c r="L62" s="56" t="s">
        <v>17</v>
      </c>
      <c r="M62" s="62" t="s">
        <v>18</v>
      </c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</row>
    <row r="63" spans="1:37" x14ac:dyDescent="0.3">
      <c r="A63" s="72" t="s">
        <v>315</v>
      </c>
      <c r="B63" s="136">
        <v>44844</v>
      </c>
      <c r="C63" s="108">
        <v>49000</v>
      </c>
      <c r="D63" s="108">
        <v>185000</v>
      </c>
      <c r="E63" s="120">
        <f>C63/D63</f>
        <v>0.26486486486486488</v>
      </c>
      <c r="F63" s="145">
        <v>18417</v>
      </c>
      <c r="I63" s="154">
        <v>7.34</v>
      </c>
      <c r="J63" s="85">
        <v>8.39</v>
      </c>
      <c r="K63" s="113" t="e">
        <f>F63/G63</f>
        <v>#DIV/0!</v>
      </c>
      <c r="L63" s="113">
        <f t="shared" ref="L63:L72" si="12">F63/I63</f>
        <v>2509.1280653950953</v>
      </c>
      <c r="M63" s="129">
        <f t="shared" ref="M63:M72" si="13">F63/I63/43560</f>
        <v>5.76016543938268E-2</v>
      </c>
    </row>
    <row r="64" spans="1:37" x14ac:dyDescent="0.3">
      <c r="A64" s="72" t="s">
        <v>315</v>
      </c>
      <c r="B64" s="136">
        <v>44844</v>
      </c>
      <c r="C64" s="108">
        <v>49000</v>
      </c>
      <c r="D64" s="108">
        <v>185000</v>
      </c>
      <c r="E64" s="141">
        <v>26.49</v>
      </c>
      <c r="F64" s="144">
        <v>18417</v>
      </c>
      <c r="I64" s="154">
        <v>7.34</v>
      </c>
      <c r="J64" s="85"/>
      <c r="L64" s="113">
        <f t="shared" si="12"/>
        <v>2509.1280653950953</v>
      </c>
      <c r="M64" s="129">
        <f t="shared" si="13"/>
        <v>5.76016543938268E-2</v>
      </c>
    </row>
    <row r="65" spans="1:37" x14ac:dyDescent="0.3">
      <c r="A65" s="89" t="s">
        <v>157</v>
      </c>
      <c r="B65" s="102">
        <v>44322</v>
      </c>
      <c r="C65" s="113">
        <v>348500</v>
      </c>
      <c r="D65" s="113">
        <v>700000</v>
      </c>
      <c r="E65" s="120">
        <f>C65/D65</f>
        <v>0.49785714285714283</v>
      </c>
      <c r="F65" s="113">
        <v>161227</v>
      </c>
      <c r="G65" s="30">
        <v>710</v>
      </c>
      <c r="H65" s="34">
        <v>453</v>
      </c>
      <c r="I65" s="147">
        <v>7.3840000000000003</v>
      </c>
      <c r="J65" s="39">
        <v>7.3840000000000003</v>
      </c>
      <c r="K65" s="113">
        <f>F65/G65</f>
        <v>227.08028169014085</v>
      </c>
      <c r="L65" s="113">
        <f t="shared" si="12"/>
        <v>21834.64247020585</v>
      </c>
      <c r="M65" s="129">
        <f t="shared" si="13"/>
        <v>0.50125441850793961</v>
      </c>
    </row>
    <row r="66" spans="1:37" x14ac:dyDescent="0.3">
      <c r="A66" s="73" t="s">
        <v>334</v>
      </c>
      <c r="B66" s="95">
        <v>44470</v>
      </c>
      <c r="C66" s="109"/>
      <c r="D66" s="109">
        <v>45000</v>
      </c>
      <c r="E66" s="117"/>
      <c r="F66" s="109">
        <v>45000</v>
      </c>
      <c r="G66" s="70"/>
      <c r="I66" s="155">
        <v>9</v>
      </c>
      <c r="J66" s="69"/>
      <c r="K66" s="113" t="e">
        <f>F66/G66</f>
        <v>#DIV/0!</v>
      </c>
      <c r="L66" s="113">
        <f t="shared" si="12"/>
        <v>5000</v>
      </c>
      <c r="M66" s="129">
        <f t="shared" si="13"/>
        <v>0.1147842056932966</v>
      </c>
    </row>
    <row r="67" spans="1:37" x14ac:dyDescent="0.3">
      <c r="A67" s="72" t="s">
        <v>317</v>
      </c>
      <c r="B67" s="136">
        <v>44484</v>
      </c>
      <c r="C67" s="108">
        <v>63000</v>
      </c>
      <c r="D67" s="108">
        <v>235000</v>
      </c>
      <c r="E67" s="141">
        <v>26.81</v>
      </c>
      <c r="F67" s="144">
        <v>44494</v>
      </c>
      <c r="I67" s="154">
        <v>12.832000000000001</v>
      </c>
      <c r="J67" s="85"/>
      <c r="L67" s="113">
        <f t="shared" si="12"/>
        <v>3467.4251870324188</v>
      </c>
      <c r="M67" s="129">
        <f t="shared" si="13"/>
        <v>7.9601129178889313E-2</v>
      </c>
    </row>
    <row r="68" spans="1:37" s="166" customFormat="1" x14ac:dyDescent="0.3">
      <c r="A68" s="174" t="s">
        <v>337</v>
      </c>
      <c r="B68" s="178">
        <v>44593</v>
      </c>
      <c r="C68" s="170"/>
      <c r="D68" s="170"/>
      <c r="E68" s="177">
        <v>75000</v>
      </c>
      <c r="F68" s="179">
        <v>75000</v>
      </c>
      <c r="G68" s="175"/>
      <c r="H68" s="162"/>
      <c r="I68" s="155">
        <v>18.5</v>
      </c>
      <c r="J68" s="163"/>
      <c r="K68" s="164" t="e">
        <f>F68/G68</f>
        <v>#DIV/0!</v>
      </c>
      <c r="L68" s="164">
        <f t="shared" si="12"/>
        <v>4054.0540540540542</v>
      </c>
      <c r="M68" s="165">
        <f t="shared" si="13"/>
        <v>9.3068274886456706E-2</v>
      </c>
    </row>
    <row r="69" spans="1:37" x14ac:dyDescent="0.3">
      <c r="A69" s="89" t="s">
        <v>336</v>
      </c>
      <c r="B69" s="97">
        <v>44795</v>
      </c>
      <c r="C69" s="110">
        <v>28300</v>
      </c>
      <c r="D69" s="110">
        <v>80000</v>
      </c>
      <c r="E69" s="117">
        <f>C69/D69</f>
        <v>0.35375000000000001</v>
      </c>
      <c r="F69" s="125">
        <v>80000</v>
      </c>
      <c r="G69" s="70"/>
      <c r="I69" s="155">
        <v>9.0619999999999994</v>
      </c>
      <c r="J69" s="69"/>
      <c r="K69" s="113" t="e">
        <f>F69/G69</f>
        <v>#DIV/0!</v>
      </c>
      <c r="L69" s="113">
        <f t="shared" si="12"/>
        <v>8828.0732730081672</v>
      </c>
      <c r="M69" s="129">
        <f t="shared" si="13"/>
        <v>0.20266467568889274</v>
      </c>
    </row>
    <row r="70" spans="1:37" x14ac:dyDescent="0.3">
      <c r="A70" s="72" t="s">
        <v>316</v>
      </c>
      <c r="B70" s="136">
        <v>44774</v>
      </c>
      <c r="C70" s="108">
        <v>113200</v>
      </c>
      <c r="D70" s="108">
        <v>320000</v>
      </c>
      <c r="E70" s="120">
        <f>C70/D70</f>
        <v>0.35375000000000001</v>
      </c>
      <c r="F70" s="145">
        <v>56351</v>
      </c>
      <c r="I70" s="154">
        <v>9.3409999999999993</v>
      </c>
      <c r="J70" s="85">
        <v>9.3409999999999993</v>
      </c>
      <c r="K70" s="113" t="e">
        <f>F70/G70</f>
        <v>#DIV/0!</v>
      </c>
      <c r="L70" s="113">
        <f t="shared" si="12"/>
        <v>6032.651750347929</v>
      </c>
      <c r="M70" s="129">
        <f t="shared" si="13"/>
        <v>0.1384906278775925</v>
      </c>
    </row>
    <row r="71" spans="1:37" x14ac:dyDescent="0.3">
      <c r="A71" s="72" t="s">
        <v>316</v>
      </c>
      <c r="B71" s="136">
        <v>44774</v>
      </c>
      <c r="C71" s="108">
        <v>113200</v>
      </c>
      <c r="D71" s="108">
        <v>320000</v>
      </c>
      <c r="E71" s="141">
        <v>35.380000000000003</v>
      </c>
      <c r="F71" s="144">
        <v>56351</v>
      </c>
      <c r="I71" s="154">
        <v>9.3409999999999993</v>
      </c>
      <c r="J71" s="85"/>
      <c r="L71" s="113">
        <f t="shared" si="12"/>
        <v>6032.651750347929</v>
      </c>
      <c r="M71" s="129">
        <f t="shared" si="13"/>
        <v>0.1384906278775925</v>
      </c>
    </row>
    <row r="72" spans="1:37" ht="15" thickBot="1" x14ac:dyDescent="0.35">
      <c r="A72" s="73" t="s">
        <v>335</v>
      </c>
      <c r="B72" s="95">
        <v>44440</v>
      </c>
      <c r="C72" s="109">
        <v>34000</v>
      </c>
      <c r="D72" s="109">
        <v>100000</v>
      </c>
      <c r="E72" s="117">
        <f>C72/D72</f>
        <v>0.34</v>
      </c>
      <c r="F72" s="109">
        <v>80449</v>
      </c>
      <c r="G72" s="70"/>
      <c r="I72" s="155">
        <v>9.7100000000000009</v>
      </c>
      <c r="J72" s="69"/>
      <c r="K72" s="113" t="e">
        <f>F72/G72</f>
        <v>#DIV/0!</v>
      </c>
      <c r="L72" s="113">
        <f t="shared" si="12"/>
        <v>8285.1699279093718</v>
      </c>
      <c r="M72" s="129">
        <f t="shared" si="13"/>
        <v>0.19020132984181295</v>
      </c>
    </row>
    <row r="73" spans="1:37" ht="15" thickTop="1" x14ac:dyDescent="0.3">
      <c r="A73" s="91"/>
      <c r="B73" s="103" t="s">
        <v>303</v>
      </c>
      <c r="C73" s="114">
        <f>+SUM(C63:C72)</f>
        <v>798200</v>
      </c>
      <c r="D73" s="114">
        <f>+SUM(D63:D72)</f>
        <v>2170000</v>
      </c>
      <c r="E73" s="121"/>
      <c r="F73" s="114">
        <f>+SUM(F63:F72)</f>
        <v>635706</v>
      </c>
      <c r="G73" s="31">
        <f>+SUM(G63:G72)</f>
        <v>710</v>
      </c>
      <c r="H73" s="35"/>
      <c r="I73" s="126">
        <f>+SUM(I63:I72)</f>
        <v>99.85</v>
      </c>
      <c r="J73" s="40">
        <f>+SUM(J63:J72)</f>
        <v>25.115000000000002</v>
      </c>
      <c r="K73" s="114"/>
      <c r="L73" s="114"/>
      <c r="M73" s="130"/>
    </row>
    <row r="74" spans="1:37" x14ac:dyDescent="0.3">
      <c r="A74" s="92"/>
      <c r="B74" s="104"/>
      <c r="C74" s="115" t="s">
        <v>304</v>
      </c>
      <c r="D74" s="115"/>
      <c r="E74" s="122" t="e">
        <f>C73/#REF!*100</f>
        <v>#REF!</v>
      </c>
      <c r="F74" s="115"/>
      <c r="G74" s="32"/>
      <c r="H74" s="36"/>
      <c r="I74" s="127" t="s">
        <v>305</v>
      </c>
      <c r="J74" s="41"/>
      <c r="K74" s="115"/>
      <c r="L74" s="115" t="s">
        <v>305</v>
      </c>
      <c r="M74" s="131"/>
    </row>
    <row r="75" spans="1:37" x14ac:dyDescent="0.3">
      <c r="A75" s="93"/>
      <c r="B75" s="105"/>
      <c r="C75" s="116" t="s">
        <v>306</v>
      </c>
      <c r="D75" s="116"/>
      <c r="E75" s="123">
        <f>STDEV(E63:E72)</f>
        <v>24996.233698115793</v>
      </c>
      <c r="F75" s="116"/>
      <c r="G75" s="48">
        <f>F73/G73</f>
        <v>895.36056338028175</v>
      </c>
      <c r="H75" s="37"/>
      <c r="I75" s="128" t="s">
        <v>308</v>
      </c>
      <c r="J75" s="42">
        <f>F73/I73</f>
        <v>6366.6099148723088</v>
      </c>
      <c r="K75" s="116"/>
      <c r="L75" s="116" t="s">
        <v>309</v>
      </c>
      <c r="M75" s="132">
        <f>F73/I73/43560</f>
        <v>0.14615725240753694</v>
      </c>
    </row>
    <row r="76" spans="1:37" x14ac:dyDescent="0.3">
      <c r="I76" s="185" t="s">
        <v>347</v>
      </c>
      <c r="J76" s="53">
        <v>6000</v>
      </c>
    </row>
    <row r="78" spans="1:37" s="57" customFormat="1" x14ac:dyDescent="0.3">
      <c r="A78" s="88" t="s">
        <v>0</v>
      </c>
      <c r="B78" s="55" t="s">
        <v>2</v>
      </c>
      <c r="C78" s="56" t="s">
        <v>7</v>
      </c>
      <c r="D78" s="56" t="s">
        <v>3</v>
      </c>
      <c r="E78" s="58" t="s">
        <v>318</v>
      </c>
      <c r="F78" s="56" t="s">
        <v>319</v>
      </c>
      <c r="G78" s="59" t="s">
        <v>12</v>
      </c>
      <c r="H78" s="60" t="s">
        <v>13</v>
      </c>
      <c r="I78" s="61" t="s">
        <v>14</v>
      </c>
      <c r="J78" s="61" t="s">
        <v>15</v>
      </c>
      <c r="K78" s="56" t="s">
        <v>16</v>
      </c>
      <c r="L78" s="56" t="s">
        <v>17</v>
      </c>
      <c r="M78" s="62" t="s">
        <v>18</v>
      </c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</row>
    <row r="79" spans="1:37" s="166" customFormat="1" x14ac:dyDescent="0.3">
      <c r="A79" s="174" t="s">
        <v>338</v>
      </c>
      <c r="B79" s="176">
        <v>44621</v>
      </c>
      <c r="C79" s="170"/>
      <c r="D79" s="170"/>
      <c r="E79" s="177">
        <v>60000</v>
      </c>
      <c r="F79" s="179">
        <v>60000</v>
      </c>
      <c r="G79" s="175"/>
      <c r="H79" s="162"/>
      <c r="I79" s="155">
        <v>21</v>
      </c>
      <c r="J79" s="163"/>
      <c r="K79" s="164" t="e">
        <f>F79/G79</f>
        <v>#DIV/0!</v>
      </c>
      <c r="L79" s="164">
        <f>F79/I79</f>
        <v>2857.1428571428573</v>
      </c>
      <c r="M79" s="165">
        <f>F79/I79/43560</f>
        <v>6.5590974681883782E-2</v>
      </c>
    </row>
    <row r="80" spans="1:37" ht="15" thickBot="1" x14ac:dyDescent="0.35">
      <c r="A80" s="89" t="s">
        <v>153</v>
      </c>
      <c r="B80" s="102">
        <v>44365</v>
      </c>
      <c r="C80" s="113">
        <v>21500</v>
      </c>
      <c r="D80" s="113">
        <v>70000</v>
      </c>
      <c r="E80" s="120">
        <f>C80/D80</f>
        <v>0.30714285714285716</v>
      </c>
      <c r="F80" s="113">
        <v>70000</v>
      </c>
      <c r="G80" s="30">
        <v>0</v>
      </c>
      <c r="H80" s="34">
        <v>0</v>
      </c>
      <c r="I80" s="147">
        <v>24.44</v>
      </c>
      <c r="J80" s="39">
        <v>24.44</v>
      </c>
      <c r="K80" s="113" t="e">
        <f>F80/G80</f>
        <v>#DIV/0!</v>
      </c>
      <c r="L80" s="113">
        <f>F80/I80</f>
        <v>2864.1571194762682</v>
      </c>
      <c r="M80" s="129">
        <f>F80/I80/43560</f>
        <v>6.5751999987976775E-2</v>
      </c>
    </row>
    <row r="81" spans="1:37" ht="15" thickTop="1" x14ac:dyDescent="0.3">
      <c r="A81" s="91"/>
      <c r="B81" s="103" t="s">
        <v>303</v>
      </c>
      <c r="C81" s="114">
        <f>+SUM(C79:C80)</f>
        <v>21500</v>
      </c>
      <c r="D81" s="114">
        <f>+SUM(D79:D80)</f>
        <v>70000</v>
      </c>
      <c r="E81" s="121"/>
      <c r="F81" s="114">
        <f>+SUM(F79:F80)</f>
        <v>130000</v>
      </c>
      <c r="G81" s="31">
        <f>+SUM(G79:G80)</f>
        <v>0</v>
      </c>
      <c r="H81" s="35"/>
      <c r="I81" s="126">
        <f>+SUM(I79:I80)</f>
        <v>45.44</v>
      </c>
      <c r="J81" s="40">
        <f>+SUM(J79:J80)</f>
        <v>24.44</v>
      </c>
      <c r="K81" s="114"/>
      <c r="L81" s="114"/>
      <c r="M81" s="130"/>
    </row>
    <row r="82" spans="1:37" x14ac:dyDescent="0.3">
      <c r="A82" s="92"/>
      <c r="B82" s="104"/>
      <c r="C82" s="115" t="s">
        <v>304</v>
      </c>
      <c r="D82" s="115"/>
      <c r="E82" s="122" t="e">
        <f>C81/#REF!*100</f>
        <v>#REF!</v>
      </c>
      <c r="F82" s="115"/>
      <c r="G82" s="32"/>
      <c r="H82" s="36"/>
      <c r="I82" s="127" t="s">
        <v>305</v>
      </c>
      <c r="J82" s="41"/>
      <c r="K82" s="115"/>
      <c r="L82" s="115" t="s">
        <v>305</v>
      </c>
      <c r="M82" s="131"/>
    </row>
    <row r="83" spans="1:37" x14ac:dyDescent="0.3">
      <c r="A83" s="93"/>
      <c r="B83" s="105"/>
      <c r="C83" s="116" t="s">
        <v>306</v>
      </c>
      <c r="D83" s="116"/>
      <c r="E83" s="123">
        <f>STDEV(E79:E80)</f>
        <v>42426.189688395774</v>
      </c>
      <c r="F83" s="116"/>
      <c r="G83" s="48" t="e">
        <f>F81/G81</f>
        <v>#DIV/0!</v>
      </c>
      <c r="H83" s="37"/>
      <c r="I83" s="128" t="s">
        <v>308</v>
      </c>
      <c r="J83" s="42">
        <f>F81/I81</f>
        <v>2860.9154929577467</v>
      </c>
      <c r="K83" s="116"/>
      <c r="L83" s="116" t="s">
        <v>309</v>
      </c>
      <c r="M83" s="132">
        <f>F81/I81/43560</f>
        <v>6.5677582482960212E-2</v>
      </c>
    </row>
    <row r="84" spans="1:37" x14ac:dyDescent="0.3">
      <c r="J84" s="39">
        <v>2800</v>
      </c>
    </row>
    <row r="89" spans="1:37" s="57" customFormat="1" x14ac:dyDescent="0.3">
      <c r="A89" s="88" t="s">
        <v>0</v>
      </c>
      <c r="B89" s="55" t="s">
        <v>2</v>
      </c>
      <c r="C89" s="56" t="s">
        <v>7</v>
      </c>
      <c r="D89" s="56" t="s">
        <v>3</v>
      </c>
      <c r="E89" s="58" t="s">
        <v>318</v>
      </c>
      <c r="F89" s="56" t="s">
        <v>319</v>
      </c>
      <c r="G89" s="59" t="s">
        <v>12</v>
      </c>
      <c r="H89" s="60" t="s">
        <v>13</v>
      </c>
      <c r="I89" s="61" t="s">
        <v>14</v>
      </c>
      <c r="J89" s="61" t="s">
        <v>15</v>
      </c>
      <c r="K89" s="56" t="s">
        <v>16</v>
      </c>
      <c r="L89" s="56" t="s">
        <v>17</v>
      </c>
      <c r="M89" s="62" t="s">
        <v>18</v>
      </c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</row>
    <row r="90" spans="1:37" s="166" customFormat="1" x14ac:dyDescent="0.3">
      <c r="A90" s="180" t="s">
        <v>341</v>
      </c>
      <c r="B90" s="181">
        <v>44621</v>
      </c>
      <c r="C90" s="179"/>
      <c r="D90" s="179">
        <v>88000</v>
      </c>
      <c r="E90" s="172">
        <f>C90/D90</f>
        <v>0</v>
      </c>
      <c r="F90" s="179">
        <v>85800</v>
      </c>
      <c r="G90" s="66"/>
      <c r="H90" s="162"/>
      <c r="I90" s="156">
        <v>39</v>
      </c>
      <c r="J90" s="163"/>
      <c r="K90" s="164" t="e">
        <f>F90/G90</f>
        <v>#DIV/0!</v>
      </c>
      <c r="L90" s="164">
        <f>F90/I90</f>
        <v>2200</v>
      </c>
      <c r="M90" s="165">
        <f>F90/I90/43560</f>
        <v>5.0505050505050504E-2</v>
      </c>
    </row>
    <row r="91" spans="1:37" s="166" customFormat="1" x14ac:dyDescent="0.3">
      <c r="A91" s="180" t="s">
        <v>342</v>
      </c>
      <c r="B91" s="181">
        <v>44562</v>
      </c>
      <c r="C91" s="179"/>
      <c r="D91" s="179">
        <v>88000</v>
      </c>
      <c r="E91" s="172">
        <f>C91/D91</f>
        <v>0</v>
      </c>
      <c r="F91" s="179">
        <v>85800</v>
      </c>
      <c r="G91" s="66"/>
      <c r="H91" s="162"/>
      <c r="I91" s="156">
        <v>39</v>
      </c>
      <c r="J91" s="163"/>
      <c r="K91" s="164" t="e">
        <f>F91/G91</f>
        <v>#DIV/0!</v>
      </c>
      <c r="L91" s="164">
        <f>F91/I91</f>
        <v>2200</v>
      </c>
      <c r="M91" s="165">
        <f>F91/I91/43560</f>
        <v>5.0505050505050504E-2</v>
      </c>
    </row>
    <row r="92" spans="1:37" s="166" customFormat="1" x14ac:dyDescent="0.3">
      <c r="A92" s="180" t="s">
        <v>339</v>
      </c>
      <c r="B92" s="181">
        <v>44378</v>
      </c>
      <c r="C92" s="179">
        <v>36600</v>
      </c>
      <c r="D92" s="179">
        <v>120000</v>
      </c>
      <c r="E92" s="172">
        <f>C92/D92</f>
        <v>0.30499999999999999</v>
      </c>
      <c r="F92" s="179">
        <v>119145</v>
      </c>
      <c r="G92" s="173"/>
      <c r="H92" s="162"/>
      <c r="I92" s="156">
        <v>39.049999999999997</v>
      </c>
      <c r="J92" s="163"/>
      <c r="K92" s="164" t="e">
        <f>F92/G92</f>
        <v>#DIV/0!</v>
      </c>
      <c r="L92" s="164">
        <f>F92/I92</f>
        <v>3051.0883482714471</v>
      </c>
      <c r="M92" s="165">
        <f>F92/I92/43560</f>
        <v>7.0043350511282076E-2</v>
      </c>
    </row>
    <row r="93" spans="1:37" s="166" customFormat="1" ht="15" thickBot="1" x14ac:dyDescent="0.35">
      <c r="A93" s="180" t="s">
        <v>340</v>
      </c>
      <c r="B93" s="181">
        <v>44531</v>
      </c>
      <c r="C93" s="179">
        <v>61800</v>
      </c>
      <c r="D93" s="179">
        <v>166000</v>
      </c>
      <c r="E93" s="172">
        <f>C93/D93</f>
        <v>0.37228915662650602</v>
      </c>
      <c r="F93" s="179">
        <v>166000</v>
      </c>
      <c r="G93" s="66"/>
      <c r="H93" s="162"/>
      <c r="I93" s="156">
        <v>39.5</v>
      </c>
      <c r="J93" s="163"/>
      <c r="K93" s="164" t="e">
        <f>F93/G93</f>
        <v>#DIV/0!</v>
      </c>
      <c r="L93" s="164">
        <f>F93/I93</f>
        <v>4202.5316455696202</v>
      </c>
      <c r="M93" s="165">
        <f>F93/I93/43560</f>
        <v>9.6476851367530314E-2</v>
      </c>
    </row>
    <row r="94" spans="1:37" ht="15" thickTop="1" x14ac:dyDescent="0.3">
      <c r="A94" s="91"/>
      <c r="B94" s="103" t="s">
        <v>303</v>
      </c>
      <c r="C94" s="114">
        <f>+SUM(C90:C93)</f>
        <v>98400</v>
      </c>
      <c r="D94" s="114">
        <f>+SUM(D90:D93)</f>
        <v>462000</v>
      </c>
      <c r="E94" s="121"/>
      <c r="F94" s="114">
        <f>+SUM(F90:F93)</f>
        <v>456745</v>
      </c>
      <c r="G94" s="31">
        <f>+SUM(G90:G93)</f>
        <v>0</v>
      </c>
      <c r="H94" s="35"/>
      <c r="I94" s="126">
        <f>+SUM(I90:I93)</f>
        <v>156.55000000000001</v>
      </c>
      <c r="J94" s="40">
        <f>+SUM(J90:J93)</f>
        <v>0</v>
      </c>
      <c r="K94" s="114"/>
      <c r="L94" s="114"/>
      <c r="M94" s="130"/>
    </row>
    <row r="95" spans="1:37" x14ac:dyDescent="0.3">
      <c r="A95" s="92"/>
      <c r="B95" s="104"/>
      <c r="C95" s="115" t="s">
        <v>304</v>
      </c>
      <c r="D95" s="115"/>
      <c r="E95" s="122" t="e">
        <f>C94/#REF!*100</f>
        <v>#REF!</v>
      </c>
      <c r="F95" s="115"/>
      <c r="G95" s="32"/>
      <c r="H95" s="36"/>
      <c r="I95" s="127" t="s">
        <v>305</v>
      </c>
      <c r="J95" s="41"/>
      <c r="K95" s="115"/>
      <c r="L95" s="115" t="s">
        <v>305</v>
      </c>
      <c r="M95" s="131"/>
    </row>
    <row r="96" spans="1:37" x14ac:dyDescent="0.3">
      <c r="A96" s="93"/>
      <c r="B96" s="105"/>
      <c r="C96" s="116" t="s">
        <v>306</v>
      </c>
      <c r="D96" s="116"/>
      <c r="E96" s="123">
        <f>STDEV(E90:E93)</f>
        <v>0.19743696523254722</v>
      </c>
      <c r="F96" s="116"/>
      <c r="G96" s="48" t="e">
        <f>F94/G94</f>
        <v>#DIV/0!</v>
      </c>
      <c r="H96" s="37"/>
      <c r="I96" s="128" t="s">
        <v>308</v>
      </c>
      <c r="J96" s="42">
        <f>F94/I94</f>
        <v>2917.5662727563076</v>
      </c>
      <c r="K96" s="116"/>
      <c r="L96" s="116" t="s">
        <v>309</v>
      </c>
      <c r="M96" s="132">
        <f>F94/I94/43560</f>
        <v>6.6978105435176946E-2</v>
      </c>
    </row>
    <row r="97" spans="1:37" x14ac:dyDescent="0.3">
      <c r="I97" s="147">
        <v>30</v>
      </c>
      <c r="J97" s="39">
        <v>2900</v>
      </c>
    </row>
    <row r="98" spans="1:37" x14ac:dyDescent="0.3">
      <c r="I98" s="147">
        <v>40</v>
      </c>
      <c r="J98" s="39">
        <v>2900</v>
      </c>
    </row>
    <row r="99" spans="1:37" s="57" customFormat="1" x14ac:dyDescent="0.3">
      <c r="A99" s="88" t="s">
        <v>0</v>
      </c>
      <c r="B99" s="55" t="s">
        <v>2</v>
      </c>
      <c r="C99" s="56" t="s">
        <v>7</v>
      </c>
      <c r="D99" s="56" t="s">
        <v>3</v>
      </c>
      <c r="E99" s="58" t="s">
        <v>318</v>
      </c>
      <c r="F99" s="56" t="s">
        <v>319</v>
      </c>
      <c r="G99" s="59" t="s">
        <v>12</v>
      </c>
      <c r="H99" s="60" t="s">
        <v>13</v>
      </c>
      <c r="I99" s="61" t="s">
        <v>14</v>
      </c>
      <c r="J99" s="61" t="s">
        <v>15</v>
      </c>
      <c r="K99" s="56" t="s">
        <v>16</v>
      </c>
      <c r="L99" s="56" t="s">
        <v>17</v>
      </c>
      <c r="M99" s="62" t="s">
        <v>18</v>
      </c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</row>
    <row r="100" spans="1:37" x14ac:dyDescent="0.3">
      <c r="A100" s="65" t="s">
        <v>343</v>
      </c>
      <c r="B100" s="96">
        <v>44593</v>
      </c>
      <c r="C100" s="108">
        <v>115600</v>
      </c>
      <c r="D100" s="108">
        <v>283500</v>
      </c>
      <c r="E100" s="117">
        <f>C100/D100</f>
        <v>0.40776014109347442</v>
      </c>
      <c r="F100" s="108">
        <v>236211</v>
      </c>
      <c r="G100" s="70"/>
      <c r="I100" s="156">
        <v>57.999699999999997</v>
      </c>
      <c r="J100" s="69"/>
      <c r="K100" s="113" t="e">
        <f>F100/G100</f>
        <v>#DIV/0!</v>
      </c>
      <c r="L100" s="113">
        <f>F100/I100</f>
        <v>4072.6245135750705</v>
      </c>
      <c r="M100" s="129">
        <f>F100/I100/43560</f>
        <v>9.3494593975552584E-2</v>
      </c>
    </row>
    <row r="101" spans="1:37" x14ac:dyDescent="0.3">
      <c r="A101" s="65" t="s">
        <v>345</v>
      </c>
      <c r="B101" s="96">
        <v>44805</v>
      </c>
      <c r="C101" s="108">
        <v>124900</v>
      </c>
      <c r="D101" s="108">
        <v>200000</v>
      </c>
      <c r="E101" s="117">
        <f>C101/D101</f>
        <v>0.62450000000000006</v>
      </c>
      <c r="F101" s="108">
        <v>196200</v>
      </c>
      <c r="G101" s="70"/>
      <c r="I101" s="156">
        <v>77</v>
      </c>
      <c r="J101" s="69"/>
      <c r="K101" s="113" t="e">
        <f>F101/G101</f>
        <v>#DIV/0!</v>
      </c>
      <c r="L101" s="113">
        <f>F101/I101</f>
        <v>2548.0519480519479</v>
      </c>
      <c r="M101" s="129">
        <f>F101/I101/43560</f>
        <v>5.849522378447998E-2</v>
      </c>
    </row>
    <row r="102" spans="1:37" ht="58.2" thickBot="1" x14ac:dyDescent="0.35">
      <c r="A102" s="73" t="s">
        <v>344</v>
      </c>
      <c r="B102" s="98">
        <v>44652</v>
      </c>
      <c r="C102" s="109">
        <v>889300</v>
      </c>
      <c r="D102" s="109">
        <v>1610500</v>
      </c>
      <c r="E102" s="117">
        <f>C102/D102</f>
        <v>0.55218876125426886</v>
      </c>
      <c r="F102" s="109">
        <v>511520</v>
      </c>
      <c r="G102" s="70"/>
      <c r="I102" s="155">
        <v>206.12889999999999</v>
      </c>
      <c r="J102" s="69"/>
      <c r="K102" s="113" t="e">
        <f>F102/G102</f>
        <v>#DIV/0!</v>
      </c>
      <c r="L102" s="113">
        <f>F102/I102</f>
        <v>2481.5540178985093</v>
      </c>
      <c r="M102" s="129">
        <f>F102/I102/43560</f>
        <v>5.6968641365897826E-2</v>
      </c>
    </row>
    <row r="103" spans="1:37" ht="15" thickTop="1" x14ac:dyDescent="0.3">
      <c r="A103" s="91"/>
      <c r="B103" s="103" t="s">
        <v>303</v>
      </c>
      <c r="C103" s="114">
        <f>+SUM(C100:C102)</f>
        <v>1129800</v>
      </c>
      <c r="D103" s="114">
        <f>+SUM(D100:D102)</f>
        <v>2094000</v>
      </c>
      <c r="E103" s="121"/>
      <c r="F103" s="114">
        <f>+SUM(F100:F102)</f>
        <v>943931</v>
      </c>
      <c r="G103" s="31">
        <f>+SUM(G100:G102)</f>
        <v>0</v>
      </c>
      <c r="H103" s="35"/>
      <c r="I103" s="126">
        <f>+SUM(I100:I102)</f>
        <v>341.12860000000001</v>
      </c>
      <c r="J103" s="40">
        <f>+SUM(J100:J102)</f>
        <v>0</v>
      </c>
      <c r="K103" s="114"/>
      <c r="L103" s="114"/>
      <c r="M103" s="130"/>
    </row>
    <row r="104" spans="1:37" x14ac:dyDescent="0.3">
      <c r="A104" s="92"/>
      <c r="B104" s="104"/>
      <c r="C104" s="115" t="s">
        <v>304</v>
      </c>
      <c r="D104" s="115"/>
      <c r="E104" s="122" t="e">
        <f>C103/#REF!*100</f>
        <v>#REF!</v>
      </c>
      <c r="F104" s="115"/>
      <c r="G104" s="32"/>
      <c r="H104" s="36"/>
      <c r="I104" s="127" t="s">
        <v>305</v>
      </c>
      <c r="J104" s="41"/>
      <c r="K104" s="115"/>
      <c r="L104" s="115" t="s">
        <v>305</v>
      </c>
      <c r="M104" s="131"/>
    </row>
    <row r="105" spans="1:37" x14ac:dyDescent="0.3">
      <c r="A105" s="93"/>
      <c r="B105" s="105"/>
      <c r="C105" s="116" t="s">
        <v>306</v>
      </c>
      <c r="D105" s="116"/>
      <c r="E105" s="123">
        <f>STDEV(E100:E102)</f>
        <v>0.11035148995317499</v>
      </c>
      <c r="F105" s="116"/>
      <c r="G105" s="48" t="e">
        <f>F103/G103</f>
        <v>#DIV/0!</v>
      </c>
      <c r="H105" s="37"/>
      <c r="I105" s="128" t="s">
        <v>308</v>
      </c>
      <c r="J105" s="42">
        <f>F103/I103</f>
        <v>2767.0825606530793</v>
      </c>
      <c r="K105" s="116"/>
      <c r="L105" s="116" t="s">
        <v>309</v>
      </c>
      <c r="M105" s="132">
        <f>F103/I103/43560</f>
        <v>6.3523474762467391E-2</v>
      </c>
    </row>
    <row r="106" spans="1:37" x14ac:dyDescent="0.3">
      <c r="I106" s="147">
        <v>50</v>
      </c>
      <c r="J106" s="39">
        <v>2800</v>
      </c>
    </row>
    <row r="107" spans="1:37" x14ac:dyDescent="0.3">
      <c r="I107" s="147">
        <v>100</v>
      </c>
      <c r="J107" s="39">
        <v>2800</v>
      </c>
    </row>
    <row r="109" spans="1:37" s="57" customFormat="1" x14ac:dyDescent="0.3">
      <c r="A109" s="88" t="s">
        <v>0</v>
      </c>
      <c r="B109" s="55" t="s">
        <v>2</v>
      </c>
      <c r="C109" s="56" t="s">
        <v>7</v>
      </c>
      <c r="D109" s="56" t="s">
        <v>3</v>
      </c>
      <c r="E109" s="58" t="s">
        <v>318</v>
      </c>
      <c r="F109" s="56" t="s">
        <v>319</v>
      </c>
      <c r="G109" s="59" t="s">
        <v>12</v>
      </c>
      <c r="H109" s="60" t="s">
        <v>13</v>
      </c>
      <c r="I109" s="61" t="s">
        <v>14</v>
      </c>
      <c r="J109" s="61" t="s">
        <v>15</v>
      </c>
      <c r="K109" s="56" t="s">
        <v>16</v>
      </c>
      <c r="L109" s="56" t="s">
        <v>17</v>
      </c>
      <c r="M109" s="62" t="s">
        <v>18</v>
      </c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</row>
    <row r="110" spans="1:37" s="166" customFormat="1" x14ac:dyDescent="0.3">
      <c r="A110" s="174" t="s">
        <v>338</v>
      </c>
      <c r="B110" s="176">
        <v>44621</v>
      </c>
      <c r="C110" s="170"/>
      <c r="D110" s="170"/>
      <c r="E110" s="177">
        <v>60000</v>
      </c>
      <c r="F110" s="179">
        <v>60000</v>
      </c>
      <c r="G110" s="175"/>
      <c r="H110" s="162"/>
      <c r="I110" s="155">
        <v>21</v>
      </c>
      <c r="J110" s="163"/>
      <c r="K110" s="164" t="e">
        <f t="shared" ref="K110:K118" si="14">F110/G110</f>
        <v>#DIV/0!</v>
      </c>
      <c r="L110" s="164">
        <f t="shared" ref="L110:L118" si="15">F110/I110</f>
        <v>2857.1428571428573</v>
      </c>
      <c r="M110" s="165">
        <f t="shared" ref="M110:M118" si="16">F110/I110/43560</f>
        <v>6.5590974681883782E-2</v>
      </c>
    </row>
    <row r="111" spans="1:37" x14ac:dyDescent="0.3">
      <c r="A111" s="89" t="s">
        <v>153</v>
      </c>
      <c r="B111" s="102">
        <v>44365</v>
      </c>
      <c r="C111" s="113">
        <v>21500</v>
      </c>
      <c r="D111" s="113">
        <v>70000</v>
      </c>
      <c r="E111" s="120">
        <f t="shared" ref="E111:E118" si="17">C111/D111</f>
        <v>0.30714285714285716</v>
      </c>
      <c r="F111" s="113">
        <v>70000</v>
      </c>
      <c r="G111" s="30">
        <v>0</v>
      </c>
      <c r="H111" s="34">
        <v>0</v>
      </c>
      <c r="I111" s="147">
        <v>24.44</v>
      </c>
      <c r="J111" s="39">
        <v>24.44</v>
      </c>
      <c r="K111" s="113" t="e">
        <f t="shared" si="14"/>
        <v>#DIV/0!</v>
      </c>
      <c r="L111" s="113">
        <f t="shared" si="15"/>
        <v>2864.1571194762682</v>
      </c>
      <c r="M111" s="129">
        <f t="shared" si="16"/>
        <v>6.5751999987976775E-2</v>
      </c>
    </row>
    <row r="112" spans="1:37" s="166" customFormat="1" x14ac:dyDescent="0.3">
      <c r="A112" s="180" t="s">
        <v>341</v>
      </c>
      <c r="B112" s="181">
        <v>44621</v>
      </c>
      <c r="C112" s="179"/>
      <c r="D112" s="179">
        <v>88000</v>
      </c>
      <c r="E112" s="172">
        <f t="shared" si="17"/>
        <v>0</v>
      </c>
      <c r="F112" s="179">
        <v>85800</v>
      </c>
      <c r="G112" s="66"/>
      <c r="H112" s="162"/>
      <c r="I112" s="156">
        <v>39</v>
      </c>
      <c r="J112" s="163"/>
      <c r="K112" s="164" t="e">
        <f t="shared" si="14"/>
        <v>#DIV/0!</v>
      </c>
      <c r="L112" s="164">
        <f t="shared" si="15"/>
        <v>2200</v>
      </c>
      <c r="M112" s="165">
        <f t="shared" si="16"/>
        <v>5.0505050505050504E-2</v>
      </c>
    </row>
    <row r="113" spans="1:37" s="166" customFormat="1" x14ac:dyDescent="0.3">
      <c r="A113" s="180" t="s">
        <v>342</v>
      </c>
      <c r="B113" s="181">
        <v>44562</v>
      </c>
      <c r="C113" s="179"/>
      <c r="D113" s="179">
        <v>88000</v>
      </c>
      <c r="E113" s="172">
        <f t="shared" si="17"/>
        <v>0</v>
      </c>
      <c r="F113" s="179">
        <v>85800</v>
      </c>
      <c r="G113" s="66"/>
      <c r="H113" s="162"/>
      <c r="I113" s="156">
        <v>39</v>
      </c>
      <c r="J113" s="163"/>
      <c r="K113" s="164" t="e">
        <f t="shared" si="14"/>
        <v>#DIV/0!</v>
      </c>
      <c r="L113" s="164">
        <f t="shared" si="15"/>
        <v>2200</v>
      </c>
      <c r="M113" s="165">
        <f t="shared" si="16"/>
        <v>5.0505050505050504E-2</v>
      </c>
    </row>
    <row r="114" spans="1:37" s="166" customFormat="1" x14ac:dyDescent="0.3">
      <c r="A114" s="180" t="s">
        <v>339</v>
      </c>
      <c r="B114" s="181">
        <v>44378</v>
      </c>
      <c r="C114" s="179">
        <v>36600</v>
      </c>
      <c r="D114" s="179">
        <v>120000</v>
      </c>
      <c r="E114" s="172">
        <f t="shared" si="17"/>
        <v>0.30499999999999999</v>
      </c>
      <c r="F114" s="179">
        <v>119145</v>
      </c>
      <c r="G114" s="173"/>
      <c r="H114" s="162"/>
      <c r="I114" s="156">
        <v>39.049999999999997</v>
      </c>
      <c r="J114" s="163"/>
      <c r="K114" s="164" t="e">
        <f t="shared" si="14"/>
        <v>#DIV/0!</v>
      </c>
      <c r="L114" s="164">
        <f t="shared" si="15"/>
        <v>3051.0883482714471</v>
      </c>
      <c r="M114" s="165">
        <f t="shared" si="16"/>
        <v>7.0043350511282076E-2</v>
      </c>
    </row>
    <row r="115" spans="1:37" s="166" customFormat="1" x14ac:dyDescent="0.3">
      <c r="A115" s="180" t="s">
        <v>340</v>
      </c>
      <c r="B115" s="181">
        <v>44531</v>
      </c>
      <c r="C115" s="179">
        <v>61800</v>
      </c>
      <c r="D115" s="179">
        <v>166000</v>
      </c>
      <c r="E115" s="172">
        <f t="shared" si="17"/>
        <v>0.37228915662650602</v>
      </c>
      <c r="F115" s="179">
        <v>166000</v>
      </c>
      <c r="G115" s="66"/>
      <c r="H115" s="162"/>
      <c r="I115" s="156">
        <v>39.5</v>
      </c>
      <c r="J115" s="163"/>
      <c r="K115" s="164" t="e">
        <f t="shared" si="14"/>
        <v>#DIV/0!</v>
      </c>
      <c r="L115" s="164">
        <f t="shared" si="15"/>
        <v>4202.5316455696202</v>
      </c>
      <c r="M115" s="165">
        <f t="shared" si="16"/>
        <v>9.6476851367530314E-2</v>
      </c>
    </row>
    <row r="116" spans="1:37" x14ac:dyDescent="0.3">
      <c r="A116" s="65" t="s">
        <v>343</v>
      </c>
      <c r="B116" s="96">
        <v>44593</v>
      </c>
      <c r="C116" s="108">
        <v>115600</v>
      </c>
      <c r="D116" s="108">
        <v>283500</v>
      </c>
      <c r="E116" s="117">
        <f t="shared" si="17"/>
        <v>0.40776014109347442</v>
      </c>
      <c r="F116" s="108">
        <v>236211</v>
      </c>
      <c r="G116" s="70"/>
      <c r="I116" s="156">
        <v>57.999699999999997</v>
      </c>
      <c r="J116" s="69"/>
      <c r="K116" s="113" t="e">
        <f t="shared" si="14"/>
        <v>#DIV/0!</v>
      </c>
      <c r="L116" s="113">
        <f t="shared" si="15"/>
        <v>4072.6245135750705</v>
      </c>
      <c r="M116" s="129">
        <f t="shared" si="16"/>
        <v>9.3494593975552584E-2</v>
      </c>
    </row>
    <row r="117" spans="1:37" x14ac:dyDescent="0.3">
      <c r="A117" s="65" t="s">
        <v>345</v>
      </c>
      <c r="B117" s="96">
        <v>44805</v>
      </c>
      <c r="C117" s="108">
        <v>124900</v>
      </c>
      <c r="D117" s="108">
        <v>200000</v>
      </c>
      <c r="E117" s="117">
        <f t="shared" si="17"/>
        <v>0.62450000000000006</v>
      </c>
      <c r="F117" s="108">
        <v>196200</v>
      </c>
      <c r="G117" s="70"/>
      <c r="I117" s="156">
        <v>77</v>
      </c>
      <c r="J117" s="69"/>
      <c r="K117" s="113" t="e">
        <f t="shared" si="14"/>
        <v>#DIV/0!</v>
      </c>
      <c r="L117" s="113">
        <f t="shared" si="15"/>
        <v>2548.0519480519479</v>
      </c>
      <c r="M117" s="129">
        <f t="shared" si="16"/>
        <v>5.849522378447998E-2</v>
      </c>
    </row>
    <row r="118" spans="1:37" ht="58.2" thickBot="1" x14ac:dyDescent="0.35">
      <c r="A118" s="73" t="s">
        <v>344</v>
      </c>
      <c r="B118" s="98">
        <v>44652</v>
      </c>
      <c r="C118" s="109">
        <v>889300</v>
      </c>
      <c r="D118" s="109">
        <v>1610500</v>
      </c>
      <c r="E118" s="117">
        <f t="shared" si="17"/>
        <v>0.55218876125426886</v>
      </c>
      <c r="F118" s="109">
        <v>511520</v>
      </c>
      <c r="G118" s="70"/>
      <c r="I118" s="155">
        <v>206.12889999999999</v>
      </c>
      <c r="J118" s="69"/>
      <c r="K118" s="113" t="e">
        <f t="shared" si="14"/>
        <v>#DIV/0!</v>
      </c>
      <c r="L118" s="113">
        <f t="shared" si="15"/>
        <v>2481.5540178985093</v>
      </c>
      <c r="M118" s="129">
        <f t="shared" si="16"/>
        <v>5.6968641365897826E-2</v>
      </c>
    </row>
    <row r="119" spans="1:37" ht="15" thickTop="1" x14ac:dyDescent="0.3">
      <c r="A119" s="91"/>
      <c r="B119" s="103" t="s">
        <v>303</v>
      </c>
      <c r="C119" s="114">
        <f>+SUM(C110:C118)</f>
        <v>1249700</v>
      </c>
      <c r="D119" s="114">
        <f>+SUM(D110:D118)</f>
        <v>2626000</v>
      </c>
      <c r="E119" s="121"/>
      <c r="F119" s="114">
        <f>+SUM(F110:F118)</f>
        <v>1530676</v>
      </c>
      <c r="G119" s="31">
        <f>+SUM(G116:G118)</f>
        <v>0</v>
      </c>
      <c r="H119" s="35"/>
      <c r="I119" s="126">
        <f>+SUM(I110:I118)</f>
        <v>543.11860000000001</v>
      </c>
      <c r="J119" s="40">
        <f>+SUM(J116:J118)</f>
        <v>0</v>
      </c>
      <c r="K119" s="114"/>
      <c r="L119" s="114"/>
      <c r="M119" s="130"/>
    </row>
    <row r="120" spans="1:37" x14ac:dyDescent="0.3">
      <c r="A120" s="92"/>
      <c r="B120" s="104"/>
      <c r="C120" s="115" t="s">
        <v>304</v>
      </c>
      <c r="D120" s="115"/>
      <c r="E120" s="122" t="e">
        <f>C119/#REF!*100</f>
        <v>#REF!</v>
      </c>
      <c r="F120" s="115"/>
      <c r="G120" s="32"/>
      <c r="H120" s="36"/>
      <c r="I120" s="127" t="s">
        <v>305</v>
      </c>
      <c r="J120" s="41"/>
      <c r="K120" s="115"/>
      <c r="L120" s="115" t="s">
        <v>305</v>
      </c>
      <c r="M120" s="131"/>
    </row>
    <row r="121" spans="1:37" x14ac:dyDescent="0.3">
      <c r="A121" s="93"/>
      <c r="B121" s="105"/>
      <c r="C121" s="116" t="s">
        <v>306</v>
      </c>
      <c r="D121" s="116"/>
      <c r="E121" s="123">
        <f>STDEV(E116:E118)</f>
        <v>0.11035148995317499</v>
      </c>
      <c r="F121" s="116"/>
      <c r="G121" s="48" t="e">
        <f>F119/G119</f>
        <v>#DIV/0!</v>
      </c>
      <c r="H121" s="37"/>
      <c r="I121" s="128" t="s">
        <v>308</v>
      </c>
      <c r="J121" s="42">
        <f>F119/I119</f>
        <v>2818.3089292099367</v>
      </c>
      <c r="K121" s="116"/>
      <c r="L121" s="116" t="s">
        <v>309</v>
      </c>
      <c r="M121" s="132">
        <f>F119/I119/43560</f>
        <v>6.4699470367537579E-2</v>
      </c>
    </row>
    <row r="122" spans="1:37" x14ac:dyDescent="0.3">
      <c r="J122" s="185" t="s">
        <v>348</v>
      </c>
    </row>
    <row r="124" spans="1:37" s="57" customFormat="1" x14ac:dyDescent="0.3">
      <c r="A124" s="88" t="s">
        <v>0</v>
      </c>
      <c r="B124" s="55" t="s">
        <v>2</v>
      </c>
      <c r="C124" s="56" t="s">
        <v>7</v>
      </c>
      <c r="D124" s="56" t="s">
        <v>3</v>
      </c>
      <c r="E124" s="58" t="s">
        <v>318</v>
      </c>
      <c r="F124" s="56" t="s">
        <v>319</v>
      </c>
      <c r="G124" s="59" t="s">
        <v>12</v>
      </c>
      <c r="H124" s="60" t="s">
        <v>13</v>
      </c>
      <c r="I124" s="61" t="s">
        <v>14</v>
      </c>
      <c r="J124" s="61" t="s">
        <v>15</v>
      </c>
      <c r="K124" s="56" t="s">
        <v>16</v>
      </c>
      <c r="L124" s="56" t="s">
        <v>17</v>
      </c>
      <c r="M124" s="62" t="s">
        <v>18</v>
      </c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</row>
    <row r="125" spans="1:37" x14ac:dyDescent="0.3">
      <c r="A125" s="89" t="s">
        <v>278</v>
      </c>
      <c r="B125" s="102">
        <v>44560</v>
      </c>
      <c r="C125" s="113">
        <v>133000</v>
      </c>
      <c r="D125" s="113">
        <v>400000</v>
      </c>
      <c r="E125" s="120">
        <f>C125/D125</f>
        <v>0.33250000000000002</v>
      </c>
      <c r="F125" s="113">
        <v>113692</v>
      </c>
      <c r="G125" s="30">
        <v>297</v>
      </c>
      <c r="H125" s="34">
        <v>200</v>
      </c>
      <c r="I125" s="147">
        <v>0.68200000000000005</v>
      </c>
      <c r="J125" s="39">
        <v>0.45900000000000002</v>
      </c>
      <c r="K125" s="113">
        <f>F125/G125</f>
        <v>382.80134680134682</v>
      </c>
      <c r="L125" s="113">
        <f>F125/I125</f>
        <v>166703.81231671554</v>
      </c>
      <c r="M125" s="129">
        <f>F125/I125/43560</f>
        <v>3.8269929365637179</v>
      </c>
    </row>
    <row r="126" spans="1:37" ht="15" thickBot="1" x14ac:dyDescent="0.35">
      <c r="A126" s="89" t="s">
        <v>167</v>
      </c>
      <c r="B126" s="102">
        <v>44760</v>
      </c>
      <c r="C126" s="113">
        <v>26300</v>
      </c>
      <c r="D126" s="113">
        <v>90000</v>
      </c>
      <c r="E126" s="120">
        <f>C126/D126</f>
        <v>0.29222222222222222</v>
      </c>
      <c r="F126" s="113">
        <v>16693</v>
      </c>
      <c r="G126" s="30">
        <v>100</v>
      </c>
      <c r="H126" s="34">
        <v>300</v>
      </c>
      <c r="I126" s="147">
        <v>0.746</v>
      </c>
      <c r="J126" s="39">
        <v>0.68799999999999994</v>
      </c>
      <c r="K126" s="113">
        <f>F126/G126</f>
        <v>166.93</v>
      </c>
      <c r="L126" s="113">
        <f>F126/I126</f>
        <v>22376.675603217158</v>
      </c>
      <c r="M126" s="129">
        <f>F126/I126/43560</f>
        <v>0.51369778703436997</v>
      </c>
    </row>
    <row r="127" spans="1:37" ht="15" thickTop="1" x14ac:dyDescent="0.3">
      <c r="A127" s="91"/>
      <c r="B127" s="103" t="s">
        <v>303</v>
      </c>
      <c r="C127" s="114">
        <f>+SUM(C125:C126)</f>
        <v>159300</v>
      </c>
      <c r="D127" s="114">
        <f>+SUM(D125:D126)</f>
        <v>490000</v>
      </c>
      <c r="E127" s="121"/>
      <c r="F127" s="114">
        <f>+SUM(F125:F126)</f>
        <v>130385</v>
      </c>
      <c r="G127" s="31">
        <f>+SUM(G125:G126)</f>
        <v>397</v>
      </c>
      <c r="H127" s="35"/>
      <c r="I127" s="126">
        <f>+SUM(I125:I126)</f>
        <v>1.4279999999999999</v>
      </c>
      <c r="J127" s="40">
        <f>+SUM(J125:J126)</f>
        <v>1.147</v>
      </c>
      <c r="K127" s="114"/>
      <c r="L127" s="114"/>
      <c r="M127" s="130"/>
    </row>
    <row r="128" spans="1:37" x14ac:dyDescent="0.3">
      <c r="A128" s="92"/>
      <c r="B128" s="104"/>
      <c r="C128" s="115" t="s">
        <v>304</v>
      </c>
      <c r="D128" s="115"/>
      <c r="E128" s="122" t="e">
        <f>C127/#REF!*100</f>
        <v>#REF!</v>
      </c>
      <c r="F128" s="115"/>
      <c r="G128" s="32"/>
      <c r="H128" s="36"/>
      <c r="I128" s="127" t="s">
        <v>305</v>
      </c>
      <c r="J128" s="41"/>
      <c r="K128" s="115"/>
      <c r="L128" s="115" t="s">
        <v>305</v>
      </c>
      <c r="M128" s="131"/>
    </row>
    <row r="129" spans="1:13" x14ac:dyDescent="0.3">
      <c r="A129" s="93"/>
      <c r="B129" s="105"/>
      <c r="C129" s="116" t="s">
        <v>306</v>
      </c>
      <c r="D129" s="116"/>
      <c r="E129" s="123" t="e">
        <f>STDEV(E125:E134)</f>
        <v>#REF!</v>
      </c>
      <c r="F129" s="116"/>
      <c r="G129" s="48">
        <f>F127/G127</f>
        <v>328.42569269521408</v>
      </c>
      <c r="H129" s="37"/>
      <c r="I129" s="128" t="s">
        <v>308</v>
      </c>
      <c r="J129" s="42">
        <f>F127/I127</f>
        <v>91306.022408963589</v>
      </c>
      <c r="K129" s="116"/>
      <c r="L129" s="116" t="s">
        <v>309</v>
      </c>
      <c r="M129" s="132">
        <f>F127/I127/43560</f>
        <v>2.0960978514454451</v>
      </c>
    </row>
  </sheetData>
  <conditionalFormatting sqref="A23 A13:A15">
    <cfRule type="duplicateValues" dxfId="13" priority="116"/>
  </conditionalFormatting>
  <conditionalFormatting sqref="A24:A35 A22">
    <cfRule type="duplicateValues" dxfId="12" priority="428"/>
  </conditionalFormatting>
  <conditionalFormatting sqref="A38:A39">
    <cfRule type="duplicateValues" dxfId="11" priority="49"/>
  </conditionalFormatting>
  <conditionalFormatting sqref="A47">
    <cfRule type="duplicateValues" dxfId="10" priority="42"/>
  </conditionalFormatting>
  <conditionalFormatting sqref="A5:M10 G11:H13 D11:E15 K11:M15 G14:G15 I14:I15 D22:E35 I22:I35 G22:G39 K22:M39 G47 K47:M47 A48:M56 A79:M80 A90:M93 A100:M102 A125:M126">
    <cfRule type="expression" dxfId="9" priority="64" stopIfTrue="1">
      <formula>MOD(ROW(),4)&gt;1</formula>
    </cfRule>
    <cfRule type="expression" dxfId="8" priority="65" stopIfTrue="1">
      <formula>MOD(ROW(),4)&lt;2</formula>
    </cfRule>
  </conditionalFormatting>
  <conditionalFormatting sqref="A63:M72">
    <cfRule type="expression" dxfId="7" priority="8" stopIfTrue="1">
      <formula>MOD(ROW(),4)&gt;1</formula>
    </cfRule>
    <cfRule type="expression" dxfId="6" priority="9" stopIfTrue="1">
      <formula>MOD(ROW(),4)&lt;2</formula>
    </cfRule>
  </conditionalFormatting>
  <conditionalFormatting sqref="A110:M118">
    <cfRule type="expression" dxfId="5" priority="4" stopIfTrue="1">
      <formula>MOD(ROW(),4)&gt;1</formula>
    </cfRule>
    <cfRule type="expression" dxfId="4" priority="5" stopIfTrue="1">
      <formula>MOD(ROW(),4)&lt;2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FEC82-792C-4796-82D9-1622CE380ED8}">
  <dimension ref="A1:BK44"/>
  <sheetViews>
    <sheetView topLeftCell="A14" workbookViewId="0">
      <selection activeCell="A35" sqref="A35:XFD35"/>
    </sheetView>
  </sheetViews>
  <sheetFormatPr defaultRowHeight="14.4" x14ac:dyDescent="0.3"/>
  <cols>
    <col min="1" max="1" width="15.33203125" bestFit="1" customWidth="1"/>
    <col min="2" max="2" width="21" bestFit="1" customWidth="1"/>
    <col min="3" max="3" width="9.33203125" style="25" bestFit="1" customWidth="1"/>
    <col min="4" max="4" width="11.88671875" style="15" bestFit="1" customWidth="1"/>
    <col min="5" max="5" width="5.5546875" bestFit="1" customWidth="1"/>
    <col min="6" max="6" width="30.109375" bestFit="1" customWidth="1"/>
    <col min="7" max="7" width="11.88671875" style="15" bestFit="1" customWidth="1"/>
    <col min="8" max="8" width="14.6640625" style="15" bestFit="1" customWidth="1"/>
    <col min="9" max="9" width="12.88671875" style="20" bestFit="1" customWidth="1"/>
    <col min="10" max="10" width="13.44140625" style="15" bestFit="1" customWidth="1"/>
    <col min="11" max="11" width="13.33203125" style="15" bestFit="1" customWidth="1"/>
    <col min="12" max="12" width="14.44140625" style="15" bestFit="1" customWidth="1"/>
    <col min="13" max="13" width="11.109375" style="30" bestFit="1" customWidth="1"/>
    <col min="14" max="14" width="7.33203125" style="34" bestFit="1" customWidth="1"/>
    <col min="15" max="15" width="14.33203125" style="39" bestFit="1" customWidth="1"/>
    <col min="16" max="16" width="10.6640625" style="39" bestFit="1" customWidth="1"/>
    <col min="17" max="17" width="10" style="15" bestFit="1" customWidth="1"/>
    <col min="18" max="18" width="12" style="15" bestFit="1" customWidth="1"/>
    <col min="19" max="19" width="11.88671875" style="44" bestFit="1" customWidth="1"/>
    <col min="20" max="20" width="11.6640625" style="39" bestFit="1" customWidth="1"/>
    <col min="21" max="21" width="8.6640625" style="4" bestFit="1" customWidth="1"/>
    <col min="22" max="22" width="10.5546875" bestFit="1" customWidth="1"/>
    <col min="23" max="23" width="35.109375" bestFit="1" customWidth="1"/>
    <col min="24" max="24" width="36.5546875" bestFit="1" customWidth="1"/>
    <col min="25" max="25" width="6.88671875" bestFit="1" customWidth="1"/>
    <col min="26" max="26" width="6.44140625" bestFit="1" customWidth="1"/>
    <col min="27" max="27" width="15" bestFit="1" customWidth="1"/>
    <col min="28" max="28" width="5.44140625" bestFit="1" customWidth="1"/>
    <col min="29" max="29" width="13.33203125" bestFit="1" customWidth="1"/>
    <col min="30" max="31" width="12.44140625" bestFit="1" customWidth="1"/>
  </cols>
  <sheetData>
    <row r="1" spans="1:63" x14ac:dyDescent="0.3">
      <c r="A1" t="s">
        <v>350</v>
      </c>
    </row>
    <row r="2" spans="1:63" x14ac:dyDescent="0.3">
      <c r="A2" s="1" t="s">
        <v>0</v>
      </c>
      <c r="B2" s="1" t="s">
        <v>1</v>
      </c>
      <c r="C2" s="24" t="s">
        <v>2</v>
      </c>
      <c r="D2" s="14" t="s">
        <v>3</v>
      </c>
      <c r="E2" s="1" t="s">
        <v>4</v>
      </c>
      <c r="F2" s="1" t="s">
        <v>5</v>
      </c>
      <c r="G2" s="14" t="s">
        <v>6</v>
      </c>
      <c r="H2" s="14" t="s">
        <v>7</v>
      </c>
      <c r="I2" s="19" t="s">
        <v>8</v>
      </c>
      <c r="J2" s="14" t="s">
        <v>9</v>
      </c>
      <c r="K2" s="14" t="s">
        <v>10</v>
      </c>
      <c r="L2" s="14" t="s">
        <v>11</v>
      </c>
      <c r="M2" s="29" t="s">
        <v>12</v>
      </c>
      <c r="N2" s="33" t="s">
        <v>13</v>
      </c>
      <c r="O2" s="38" t="s">
        <v>14</v>
      </c>
      <c r="P2" s="38" t="s">
        <v>15</v>
      </c>
      <c r="Q2" s="14" t="s">
        <v>16</v>
      </c>
      <c r="R2" s="14" t="s">
        <v>17</v>
      </c>
      <c r="S2" s="43" t="s">
        <v>18</v>
      </c>
      <c r="T2" s="38" t="s">
        <v>19</v>
      </c>
      <c r="U2" s="3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28</v>
      </c>
      <c r="AC2" s="1" t="s">
        <v>29</v>
      </c>
      <c r="AD2" s="1" t="s">
        <v>30</v>
      </c>
      <c r="AE2" s="1" t="s">
        <v>31</v>
      </c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1:63" x14ac:dyDescent="0.3">
      <c r="A3" t="s">
        <v>126</v>
      </c>
      <c r="B3" t="s">
        <v>127</v>
      </c>
      <c r="C3" s="25">
        <v>44477</v>
      </c>
      <c r="D3" s="15">
        <v>800001</v>
      </c>
      <c r="E3" t="s">
        <v>55</v>
      </c>
      <c r="F3" t="s">
        <v>35</v>
      </c>
      <c r="G3" s="15">
        <v>800001</v>
      </c>
      <c r="H3" s="15">
        <v>212300</v>
      </c>
      <c r="I3" s="20">
        <f t="shared" ref="I3:I7" si="0">H3/G3*100</f>
        <v>26.537466828166465</v>
      </c>
      <c r="J3" s="15">
        <v>586150</v>
      </c>
      <c r="K3" s="15">
        <f>G3-465042</f>
        <v>334959</v>
      </c>
      <c r="L3" s="15">
        <v>121108</v>
      </c>
      <c r="M3" s="30">
        <v>294.66666700000002</v>
      </c>
      <c r="N3" s="34">
        <v>420</v>
      </c>
      <c r="O3" s="39">
        <v>1.732</v>
      </c>
      <c r="P3" s="39">
        <v>1.181</v>
      </c>
      <c r="Q3" s="15">
        <f t="shared" ref="Q3:Q7" si="1">K3/M3</f>
        <v>1136.7386864969019</v>
      </c>
      <c r="R3" s="15">
        <f t="shared" ref="R3:R7" si="2">K3/O3</f>
        <v>193394.34180138569</v>
      </c>
      <c r="S3" s="44">
        <f t="shared" ref="S3:S7" si="3">K3/O3/43560</f>
        <v>4.4397231818499927</v>
      </c>
      <c r="T3" s="39">
        <v>120</v>
      </c>
      <c r="U3" s="5" t="s">
        <v>56</v>
      </c>
      <c r="V3" t="s">
        <v>128</v>
      </c>
      <c r="W3" t="s">
        <v>129</v>
      </c>
      <c r="X3" t="s">
        <v>130</v>
      </c>
      <c r="Y3">
        <v>0</v>
      </c>
      <c r="Z3">
        <v>0</v>
      </c>
      <c r="AA3" t="s">
        <v>40</v>
      </c>
      <c r="AB3" s="6" t="s">
        <v>41</v>
      </c>
      <c r="AC3" t="s">
        <v>131</v>
      </c>
    </row>
    <row r="4" spans="1:63" x14ac:dyDescent="0.3">
      <c r="A4" t="s">
        <v>132</v>
      </c>
      <c r="C4" s="25">
        <v>44540</v>
      </c>
      <c r="D4" s="15">
        <v>550000</v>
      </c>
      <c r="E4" t="s">
        <v>133</v>
      </c>
      <c r="F4" t="s">
        <v>35</v>
      </c>
      <c r="G4" s="15">
        <v>550000</v>
      </c>
      <c r="H4" s="15">
        <v>131300</v>
      </c>
      <c r="I4" s="20">
        <f t="shared" si="0"/>
        <v>23.872727272727275</v>
      </c>
      <c r="J4" s="15">
        <v>322031</v>
      </c>
      <c r="K4" s="15">
        <f>G4-0</f>
        <v>550000</v>
      </c>
      <c r="L4" s="15">
        <v>322031</v>
      </c>
      <c r="M4" s="30">
        <v>1070</v>
      </c>
      <c r="N4" s="34">
        <v>860.06201199999998</v>
      </c>
      <c r="O4" s="39">
        <v>6.0270000000000001</v>
      </c>
      <c r="P4" s="39">
        <v>2.96</v>
      </c>
      <c r="Q4" s="15">
        <f t="shared" si="1"/>
        <v>514.01869158878503</v>
      </c>
      <c r="R4" s="15">
        <f t="shared" si="2"/>
        <v>91256.014600962328</v>
      </c>
      <c r="S4" s="44">
        <f t="shared" si="3"/>
        <v>2.0949498301414677</v>
      </c>
      <c r="T4" s="39">
        <v>1070</v>
      </c>
      <c r="U4" s="5" t="s">
        <v>56</v>
      </c>
      <c r="V4" t="s">
        <v>134</v>
      </c>
      <c r="W4" t="s">
        <v>135</v>
      </c>
      <c r="X4" t="s">
        <v>130</v>
      </c>
      <c r="Y4">
        <v>0</v>
      </c>
      <c r="Z4">
        <v>1</v>
      </c>
      <c r="AA4" s="7">
        <v>41900</v>
      </c>
      <c r="AB4" s="6" t="s">
        <v>122</v>
      </c>
      <c r="AC4" t="s">
        <v>131</v>
      </c>
    </row>
    <row r="5" spans="1:63" x14ac:dyDescent="0.3">
      <c r="A5" t="s">
        <v>140</v>
      </c>
      <c r="C5" s="25">
        <v>44621</v>
      </c>
      <c r="D5" s="15">
        <v>40000</v>
      </c>
      <c r="E5" t="s">
        <v>45</v>
      </c>
      <c r="F5" t="s">
        <v>141</v>
      </c>
      <c r="G5" s="15">
        <v>40000</v>
      </c>
      <c r="H5" s="15">
        <v>0</v>
      </c>
      <c r="I5" s="20">
        <f t="shared" si="0"/>
        <v>0</v>
      </c>
      <c r="J5" s="15">
        <v>0</v>
      </c>
      <c r="K5" s="15">
        <f>G5-0</f>
        <v>40000</v>
      </c>
      <c r="L5" s="15">
        <v>0</v>
      </c>
      <c r="M5" s="30">
        <v>512</v>
      </c>
      <c r="N5" s="34">
        <v>1781</v>
      </c>
      <c r="O5" s="39">
        <v>20.9</v>
      </c>
      <c r="P5" s="39">
        <v>20.9</v>
      </c>
      <c r="Q5" s="15">
        <f t="shared" si="1"/>
        <v>78.125</v>
      </c>
      <c r="R5" s="15">
        <f t="shared" si="2"/>
        <v>1913.8755980861245</v>
      </c>
      <c r="S5" s="44">
        <f t="shared" si="3"/>
        <v>4.3936538064419751E-2</v>
      </c>
      <c r="T5" s="39">
        <v>0</v>
      </c>
      <c r="U5" s="5" t="s">
        <v>142</v>
      </c>
      <c r="V5" t="s">
        <v>143</v>
      </c>
      <c r="Y5">
        <v>0</v>
      </c>
      <c r="Z5">
        <v>0</v>
      </c>
      <c r="AA5" t="s">
        <v>40</v>
      </c>
      <c r="AB5" s="6" t="s">
        <v>41</v>
      </c>
    </row>
    <row r="6" spans="1:63" x14ac:dyDescent="0.3">
      <c r="A6" t="s">
        <v>153</v>
      </c>
      <c r="B6" t="s">
        <v>154</v>
      </c>
      <c r="C6" s="25">
        <v>44365</v>
      </c>
      <c r="D6" s="15">
        <v>70000</v>
      </c>
      <c r="E6" t="s">
        <v>45</v>
      </c>
      <c r="F6" t="s">
        <v>46</v>
      </c>
      <c r="G6" s="15">
        <v>70000</v>
      </c>
      <c r="H6" s="15">
        <v>21500</v>
      </c>
      <c r="I6" s="20">
        <f t="shared" si="0"/>
        <v>30.714285714285715</v>
      </c>
      <c r="J6" s="15">
        <v>59275</v>
      </c>
      <c r="K6" s="15">
        <f>G6-0</f>
        <v>70000</v>
      </c>
      <c r="L6" s="15">
        <v>59275</v>
      </c>
      <c r="M6" s="30">
        <v>0</v>
      </c>
      <c r="N6" s="34">
        <v>0</v>
      </c>
      <c r="O6" s="39">
        <v>24.44</v>
      </c>
      <c r="P6" s="39">
        <v>24.44</v>
      </c>
      <c r="Q6" s="15" t="e">
        <f t="shared" si="1"/>
        <v>#DIV/0!</v>
      </c>
      <c r="R6" s="15">
        <f t="shared" si="2"/>
        <v>2864.1571194762682</v>
      </c>
      <c r="S6" s="44">
        <f t="shared" si="3"/>
        <v>6.5751999987976775E-2</v>
      </c>
      <c r="T6" s="39">
        <v>0</v>
      </c>
      <c r="U6" s="5" t="s">
        <v>142</v>
      </c>
      <c r="V6" t="s">
        <v>155</v>
      </c>
      <c r="Y6">
        <v>0</v>
      </c>
      <c r="Z6">
        <v>1</v>
      </c>
      <c r="AA6" t="s">
        <v>40</v>
      </c>
      <c r="AB6" s="6" t="s">
        <v>156</v>
      </c>
    </row>
    <row r="7" spans="1:63" ht="15" thickBot="1" x14ac:dyDescent="0.35">
      <c r="A7" t="s">
        <v>157</v>
      </c>
      <c r="B7" t="s">
        <v>158</v>
      </c>
      <c r="C7" s="25">
        <v>44322</v>
      </c>
      <c r="D7" s="15">
        <v>700000</v>
      </c>
      <c r="E7" t="s">
        <v>45</v>
      </c>
      <c r="F7" t="s">
        <v>46</v>
      </c>
      <c r="G7" s="15">
        <v>700000</v>
      </c>
      <c r="H7" s="15">
        <v>348500</v>
      </c>
      <c r="I7" s="20">
        <f t="shared" si="0"/>
        <v>49.785714285714285</v>
      </c>
      <c r="J7" s="15">
        <v>772221</v>
      </c>
      <c r="K7" s="15">
        <f>G7-538773</f>
        <v>161227</v>
      </c>
      <c r="L7" s="15">
        <v>233448</v>
      </c>
      <c r="M7" s="30">
        <v>710</v>
      </c>
      <c r="N7" s="34">
        <v>453</v>
      </c>
      <c r="O7" s="39">
        <v>7.3840000000000003</v>
      </c>
      <c r="P7" s="39">
        <v>7.3840000000000003</v>
      </c>
      <c r="Q7" s="15">
        <f t="shared" si="1"/>
        <v>227.08028169014085</v>
      </c>
      <c r="R7" s="15">
        <f t="shared" si="2"/>
        <v>21834.64247020585</v>
      </c>
      <c r="S7" s="44">
        <f t="shared" si="3"/>
        <v>0.50125441850793961</v>
      </c>
      <c r="T7" s="39">
        <v>710</v>
      </c>
      <c r="U7" s="5" t="s">
        <v>56</v>
      </c>
      <c r="V7" t="s">
        <v>159</v>
      </c>
      <c r="X7" t="s">
        <v>130</v>
      </c>
      <c r="Y7">
        <v>0</v>
      </c>
      <c r="Z7">
        <v>1</v>
      </c>
      <c r="AA7" s="7">
        <v>41990</v>
      </c>
      <c r="AB7" s="6" t="s">
        <v>41</v>
      </c>
      <c r="AC7" t="s">
        <v>131</v>
      </c>
    </row>
    <row r="8" spans="1:63" ht="15" thickTop="1" x14ac:dyDescent="0.3">
      <c r="A8" s="8"/>
      <c r="B8" s="8"/>
      <c r="C8" s="26" t="s">
        <v>303</v>
      </c>
      <c r="D8" s="16">
        <f>+SUM(D3:D7)</f>
        <v>2160001</v>
      </c>
      <c r="E8" s="8"/>
      <c r="F8" s="8"/>
      <c r="G8" s="16">
        <f>+SUM(G3:G7)</f>
        <v>2160001</v>
      </c>
      <c r="H8" s="16">
        <f>+SUM(H3:H7)</f>
        <v>713600</v>
      </c>
      <c r="I8" s="21"/>
      <c r="J8" s="16">
        <f>+SUM(J3:J7)</f>
        <v>1739677</v>
      </c>
      <c r="K8" s="16">
        <f>+SUM(K3:K7)</f>
        <v>1156186</v>
      </c>
      <c r="L8" s="16">
        <f>+SUM(L3:L7)</f>
        <v>735862</v>
      </c>
      <c r="M8" s="31">
        <f>+SUM(M3:M7)</f>
        <v>2586.666667</v>
      </c>
      <c r="N8" s="35"/>
      <c r="O8" s="40">
        <f>+SUM(O3:O7)</f>
        <v>60.483000000000004</v>
      </c>
      <c r="P8" s="40">
        <f>+SUM(P3:P7)</f>
        <v>56.864999999999995</v>
      </c>
      <c r="Q8" s="16"/>
      <c r="R8" s="16"/>
      <c r="S8" s="45"/>
      <c r="T8" s="40"/>
      <c r="U8" s="9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63" x14ac:dyDescent="0.3">
      <c r="A9" s="10"/>
      <c r="B9" s="10"/>
      <c r="C9" s="27"/>
      <c r="D9" s="17"/>
      <c r="E9" s="10"/>
      <c r="F9" s="10"/>
      <c r="G9" s="17"/>
      <c r="H9" s="17" t="s">
        <v>304</v>
      </c>
      <c r="I9" s="22">
        <f>H8/G8*100</f>
        <v>33.037021742119563</v>
      </c>
      <c r="J9" s="17"/>
      <c r="K9" s="17"/>
      <c r="L9" s="17" t="s">
        <v>305</v>
      </c>
      <c r="M9" s="32"/>
      <c r="N9" s="36"/>
      <c r="O9" s="41" t="s">
        <v>305</v>
      </c>
      <c r="P9" s="41"/>
      <c r="Q9" s="17"/>
      <c r="R9" s="17" t="s">
        <v>305</v>
      </c>
      <c r="S9" s="46"/>
      <c r="T9" s="41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63" x14ac:dyDescent="0.3">
      <c r="A10" s="12"/>
      <c r="B10" s="12"/>
      <c r="C10" s="28"/>
      <c r="D10" s="18"/>
      <c r="E10" s="12"/>
      <c r="F10" s="12"/>
      <c r="G10" s="18"/>
      <c r="H10" s="18" t="s">
        <v>306</v>
      </c>
      <c r="I10" s="23">
        <f>STDEV(I3:I7)</f>
        <v>17.808938507564598</v>
      </c>
      <c r="J10" s="18"/>
      <c r="K10" s="18"/>
      <c r="L10" s="18" t="s">
        <v>307</v>
      </c>
      <c r="M10" s="48">
        <f>K8/M8</f>
        <v>446.9791236537398</v>
      </c>
      <c r="N10" s="37"/>
      <c r="O10" s="42" t="s">
        <v>308</v>
      </c>
      <c r="P10" s="42">
        <f>K8/O8</f>
        <v>19115.883802060082</v>
      </c>
      <c r="Q10" s="18"/>
      <c r="R10" s="18" t="s">
        <v>309</v>
      </c>
      <c r="S10" s="47">
        <f>K8/O8/43560</f>
        <v>0.4388403076689642</v>
      </c>
      <c r="T10" s="42"/>
      <c r="U10" s="13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63" x14ac:dyDescent="0.3">
      <c r="L11" s="15" t="s">
        <v>310</v>
      </c>
      <c r="M11" s="30">
        <v>450</v>
      </c>
    </row>
    <row r="13" spans="1:63" x14ac:dyDescent="0.3">
      <c r="A13" t="s">
        <v>349</v>
      </c>
    </row>
    <row r="14" spans="1:63" x14ac:dyDescent="0.3">
      <c r="A14" s="1" t="s">
        <v>0</v>
      </c>
      <c r="B14" s="1" t="s">
        <v>1</v>
      </c>
      <c r="C14" s="24" t="s">
        <v>2</v>
      </c>
      <c r="D14" s="14" t="s">
        <v>3</v>
      </c>
      <c r="E14" s="1" t="s">
        <v>4</v>
      </c>
      <c r="F14" s="1" t="s">
        <v>5</v>
      </c>
      <c r="G14" s="14" t="s">
        <v>6</v>
      </c>
      <c r="H14" s="14" t="s">
        <v>7</v>
      </c>
      <c r="I14" s="19" t="s">
        <v>8</v>
      </c>
      <c r="J14" s="14" t="s">
        <v>9</v>
      </c>
      <c r="K14" s="14" t="s">
        <v>10</v>
      </c>
      <c r="L14" s="14" t="s">
        <v>11</v>
      </c>
      <c r="M14" s="29" t="s">
        <v>12</v>
      </c>
      <c r="N14" s="33" t="s">
        <v>13</v>
      </c>
      <c r="O14" s="38" t="s">
        <v>14</v>
      </c>
      <c r="P14" s="38" t="s">
        <v>15</v>
      </c>
      <c r="Q14" s="14" t="s">
        <v>16</v>
      </c>
      <c r="R14" s="14" t="s">
        <v>17</v>
      </c>
      <c r="S14" s="43" t="s">
        <v>18</v>
      </c>
      <c r="T14" s="38" t="s">
        <v>19</v>
      </c>
      <c r="U14" s="3" t="s">
        <v>20</v>
      </c>
      <c r="V14" s="1" t="s">
        <v>21</v>
      </c>
      <c r="W14" s="1" t="s">
        <v>22</v>
      </c>
      <c r="X14" s="1" t="s">
        <v>23</v>
      </c>
      <c r="Y14" s="1" t="s">
        <v>24</v>
      </c>
      <c r="Z14" s="1" t="s">
        <v>25</v>
      </c>
      <c r="AA14" s="1" t="s">
        <v>26</v>
      </c>
      <c r="AB14" s="1" t="s">
        <v>28</v>
      </c>
      <c r="AC14" s="1" t="s">
        <v>29</v>
      </c>
      <c r="AD14" s="1" t="s">
        <v>30</v>
      </c>
      <c r="AE14" s="1" t="s">
        <v>31</v>
      </c>
    </row>
    <row r="15" spans="1:63" x14ac:dyDescent="0.3">
      <c r="A15" t="s">
        <v>132</v>
      </c>
      <c r="C15" s="25">
        <v>44540</v>
      </c>
      <c r="D15" s="15">
        <v>550000</v>
      </c>
      <c r="E15" t="s">
        <v>133</v>
      </c>
      <c r="F15" t="s">
        <v>35</v>
      </c>
      <c r="G15" s="15">
        <v>550000</v>
      </c>
      <c r="H15" s="15">
        <v>131300</v>
      </c>
      <c r="I15" s="20">
        <f t="shared" ref="I15:I18" si="4">H15/G15*100</f>
        <v>23.872727272727275</v>
      </c>
      <c r="J15" s="15">
        <v>322031</v>
      </c>
      <c r="K15" s="15">
        <f>G15-0</f>
        <v>550000</v>
      </c>
      <c r="L15" s="15">
        <v>322031</v>
      </c>
      <c r="M15" s="30">
        <v>1070</v>
      </c>
      <c r="N15" s="34">
        <v>860.06201199999998</v>
      </c>
      <c r="O15" s="39">
        <v>6.0270000000000001</v>
      </c>
      <c r="P15" s="39">
        <v>6.03</v>
      </c>
      <c r="Q15" s="15">
        <f t="shared" ref="Q15:Q18" si="5">K15/M15</f>
        <v>514.01869158878503</v>
      </c>
      <c r="R15" s="15">
        <f t="shared" ref="R15:R18" si="6">K15/O15</f>
        <v>91256.014600962328</v>
      </c>
      <c r="S15" s="44">
        <f t="shared" ref="S15:S18" si="7">K15/O15/43560</f>
        <v>2.0949498301414677</v>
      </c>
      <c r="T15" s="39">
        <v>1070</v>
      </c>
      <c r="U15" s="5" t="s">
        <v>56</v>
      </c>
      <c r="V15" t="s">
        <v>134</v>
      </c>
      <c r="W15" t="s">
        <v>135</v>
      </c>
      <c r="X15" t="s">
        <v>130</v>
      </c>
      <c r="Y15">
        <v>0</v>
      </c>
      <c r="Z15">
        <v>1</v>
      </c>
      <c r="AA15" s="7">
        <v>41900</v>
      </c>
      <c r="AB15" s="6" t="s">
        <v>122</v>
      </c>
      <c r="AC15" t="s">
        <v>131</v>
      </c>
    </row>
    <row r="16" spans="1:63" x14ac:dyDescent="0.3">
      <c r="A16" t="s">
        <v>140</v>
      </c>
      <c r="C16" s="25">
        <v>44621</v>
      </c>
      <c r="D16" s="15">
        <v>40000</v>
      </c>
      <c r="E16" t="s">
        <v>45</v>
      </c>
      <c r="F16" t="s">
        <v>141</v>
      </c>
      <c r="G16" s="15">
        <v>40000</v>
      </c>
      <c r="H16" s="15">
        <v>0</v>
      </c>
      <c r="I16" s="20">
        <f t="shared" si="4"/>
        <v>0</v>
      </c>
      <c r="J16" s="15">
        <v>0</v>
      </c>
      <c r="K16" s="15">
        <f>G16-0</f>
        <v>40000</v>
      </c>
      <c r="L16" s="15">
        <v>0</v>
      </c>
      <c r="M16" s="30">
        <v>512</v>
      </c>
      <c r="N16" s="34">
        <v>1781</v>
      </c>
      <c r="O16" s="39">
        <v>20.9</v>
      </c>
      <c r="P16" s="39">
        <v>20.9</v>
      </c>
      <c r="Q16" s="15">
        <f t="shared" si="5"/>
        <v>78.125</v>
      </c>
      <c r="R16" s="15">
        <f t="shared" si="6"/>
        <v>1913.8755980861245</v>
      </c>
      <c r="S16" s="44">
        <f t="shared" si="7"/>
        <v>4.3936538064419751E-2</v>
      </c>
      <c r="T16" s="39">
        <v>0</v>
      </c>
      <c r="U16" s="5" t="s">
        <v>142</v>
      </c>
      <c r="V16" t="s">
        <v>143</v>
      </c>
      <c r="Y16">
        <v>0</v>
      </c>
      <c r="Z16">
        <v>0</v>
      </c>
      <c r="AA16" t="s">
        <v>40</v>
      </c>
      <c r="AB16" s="6" t="s">
        <v>41</v>
      </c>
    </row>
    <row r="17" spans="1:31" x14ac:dyDescent="0.3">
      <c r="A17" t="s">
        <v>157</v>
      </c>
      <c r="B17" t="s">
        <v>158</v>
      </c>
      <c r="C17" s="25">
        <v>44322</v>
      </c>
      <c r="D17" s="15">
        <v>700000</v>
      </c>
      <c r="E17" t="s">
        <v>45</v>
      </c>
      <c r="F17" t="s">
        <v>46</v>
      </c>
      <c r="G17" s="15">
        <v>700000</v>
      </c>
      <c r="H17" s="15">
        <v>348500</v>
      </c>
      <c r="I17" s="20">
        <f t="shared" si="4"/>
        <v>49.785714285714285</v>
      </c>
      <c r="J17" s="15">
        <v>772221</v>
      </c>
      <c r="K17" s="15">
        <f>G17-538773</f>
        <v>161227</v>
      </c>
      <c r="L17" s="15">
        <v>233448</v>
      </c>
      <c r="M17" s="30">
        <v>710</v>
      </c>
      <c r="N17" s="34">
        <v>453</v>
      </c>
      <c r="O17" s="39">
        <v>7.3840000000000003</v>
      </c>
      <c r="P17" s="39">
        <v>7.3840000000000003</v>
      </c>
      <c r="Q17" s="15">
        <f t="shared" si="5"/>
        <v>227.08028169014085</v>
      </c>
      <c r="R17" s="15">
        <f t="shared" si="6"/>
        <v>21834.64247020585</v>
      </c>
      <c r="S17" s="44">
        <f t="shared" si="7"/>
        <v>0.50125441850793961</v>
      </c>
      <c r="T17" s="39">
        <v>710</v>
      </c>
      <c r="U17" s="5" t="s">
        <v>56</v>
      </c>
      <c r="V17" t="s">
        <v>159</v>
      </c>
      <c r="X17" t="s">
        <v>130</v>
      </c>
      <c r="Y17">
        <v>0</v>
      </c>
      <c r="Z17">
        <v>1</v>
      </c>
      <c r="AA17" s="7">
        <v>41990</v>
      </c>
      <c r="AB17" s="6" t="s">
        <v>41</v>
      </c>
      <c r="AC17" t="s">
        <v>131</v>
      </c>
    </row>
    <row r="18" spans="1:31" ht="15" thickBot="1" x14ac:dyDescent="0.35">
      <c r="A18" t="s">
        <v>178</v>
      </c>
      <c r="B18" t="s">
        <v>179</v>
      </c>
      <c r="C18" s="25">
        <v>44494</v>
      </c>
      <c r="D18" s="15">
        <v>77000</v>
      </c>
      <c r="E18" t="s">
        <v>45</v>
      </c>
      <c r="F18" t="s">
        <v>46</v>
      </c>
      <c r="G18" s="15">
        <v>77000</v>
      </c>
      <c r="H18" s="15">
        <v>36300</v>
      </c>
      <c r="I18" s="20">
        <f t="shared" si="4"/>
        <v>47.142857142857139</v>
      </c>
      <c r="J18" s="15">
        <v>78354</v>
      </c>
      <c r="K18" s="15">
        <f>G18-73854</f>
        <v>3146</v>
      </c>
      <c r="L18" s="15">
        <v>4500</v>
      </c>
      <c r="M18" s="30">
        <v>100</v>
      </c>
      <c r="N18" s="34">
        <v>267</v>
      </c>
      <c r="O18" s="39">
        <v>0.82499999999999996</v>
      </c>
      <c r="P18" s="39">
        <v>0.82499999999999996</v>
      </c>
      <c r="Q18" s="15">
        <f t="shared" si="5"/>
        <v>31.46</v>
      </c>
      <c r="R18" s="15">
        <f t="shared" si="6"/>
        <v>3813.3333333333335</v>
      </c>
      <c r="S18" s="44">
        <f t="shared" si="7"/>
        <v>8.7542087542087546E-2</v>
      </c>
      <c r="T18" s="39">
        <v>100</v>
      </c>
      <c r="U18" s="5" t="s">
        <v>56</v>
      </c>
      <c r="V18" t="s">
        <v>180</v>
      </c>
      <c r="X18" t="s">
        <v>181</v>
      </c>
      <c r="Y18">
        <v>0</v>
      </c>
      <c r="Z18">
        <v>0</v>
      </c>
      <c r="AA18" s="7">
        <v>42640</v>
      </c>
      <c r="AB18" s="6" t="s">
        <v>41</v>
      </c>
    </row>
    <row r="19" spans="1:31" ht="15" thickTop="1" x14ac:dyDescent="0.3">
      <c r="A19" s="8"/>
      <c r="B19" s="8"/>
      <c r="C19" s="26" t="s">
        <v>303</v>
      </c>
      <c r="D19" s="16">
        <f>+SUM(D15:D18)</f>
        <v>1367000</v>
      </c>
      <c r="E19" s="8"/>
      <c r="F19" s="8"/>
      <c r="G19" s="16">
        <f>+SUM(G15:G18)</f>
        <v>1367000</v>
      </c>
      <c r="H19" s="16">
        <f>+SUM(H15:H18)</f>
        <v>516100</v>
      </c>
      <c r="I19" s="21"/>
      <c r="J19" s="16">
        <f>+SUM(J15:J18)</f>
        <v>1172606</v>
      </c>
      <c r="K19" s="16">
        <f>+SUM(K15:K18)</f>
        <v>754373</v>
      </c>
      <c r="L19" s="16">
        <f>+SUM(L15:L18)</f>
        <v>559979</v>
      </c>
      <c r="M19" s="31">
        <f>+SUM(M15:M18)</f>
        <v>2392</v>
      </c>
      <c r="N19" s="35"/>
      <c r="O19" s="40">
        <f>+SUM(O15:O18)</f>
        <v>35.136000000000003</v>
      </c>
      <c r="P19" s="40">
        <f>+SUM(P15:P18)</f>
        <v>35.139000000000003</v>
      </c>
      <c r="Q19" s="16"/>
      <c r="R19" s="16"/>
      <c r="S19" s="45"/>
      <c r="T19" s="40"/>
      <c r="U19" s="9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x14ac:dyDescent="0.3">
      <c r="A20" s="10"/>
      <c r="B20" s="10"/>
      <c r="C20" s="27"/>
      <c r="D20" s="17"/>
      <c r="E20" s="10"/>
      <c r="F20" s="10"/>
      <c r="G20" s="17"/>
      <c r="H20" s="17" t="s">
        <v>304</v>
      </c>
      <c r="I20" s="22">
        <f>H19/G19*100</f>
        <v>37.754206291148499</v>
      </c>
      <c r="J20" s="17"/>
      <c r="K20" s="17"/>
      <c r="L20" s="17" t="s">
        <v>305</v>
      </c>
      <c r="M20" s="32"/>
      <c r="N20" s="36"/>
      <c r="O20" s="41" t="s">
        <v>305</v>
      </c>
      <c r="P20" s="41"/>
      <c r="Q20" s="17"/>
      <c r="R20" s="17" t="s">
        <v>305</v>
      </c>
      <c r="S20" s="46"/>
      <c r="T20" s="41"/>
      <c r="U20" s="11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3">
      <c r="A21" s="12"/>
      <c r="B21" s="12"/>
      <c r="C21" s="28"/>
      <c r="D21" s="18"/>
      <c r="E21" s="12"/>
      <c r="F21" s="12"/>
      <c r="G21" s="18"/>
      <c r="H21" s="18" t="s">
        <v>306</v>
      </c>
      <c r="I21" s="23">
        <f>STDEV(I15:I18)</f>
        <v>23.257507690983939</v>
      </c>
      <c r="J21" s="18"/>
      <c r="K21" s="18"/>
      <c r="L21" s="18" t="s">
        <v>307</v>
      </c>
      <c r="M21" s="48">
        <f>K19/M19</f>
        <v>315.37332775919731</v>
      </c>
      <c r="N21" s="37"/>
      <c r="O21" s="42" t="s">
        <v>308</v>
      </c>
      <c r="P21" s="42">
        <f>K19/O19</f>
        <v>21470.08765938069</v>
      </c>
      <c r="Q21" s="18"/>
      <c r="R21" s="18" t="s">
        <v>309</v>
      </c>
      <c r="S21" s="47">
        <f>K19/O19/43560</f>
        <v>0.49288539162949241</v>
      </c>
      <c r="T21" s="42"/>
      <c r="U21" s="13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3" spans="1:31" x14ac:dyDescent="0.3">
      <c r="L23" s="49" t="s">
        <v>310</v>
      </c>
      <c r="M23" s="50">
        <v>315</v>
      </c>
      <c r="N23" s="51"/>
    </row>
    <row r="26" spans="1:31" x14ac:dyDescent="0.3">
      <c r="A26" t="s">
        <v>311</v>
      </c>
    </row>
    <row r="27" spans="1:31" x14ac:dyDescent="0.3">
      <c r="A27" s="1" t="s">
        <v>0</v>
      </c>
      <c r="B27" s="1" t="s">
        <v>1</v>
      </c>
      <c r="C27" s="24" t="s">
        <v>2</v>
      </c>
      <c r="D27" s="14" t="s">
        <v>3</v>
      </c>
      <c r="E27" s="1" t="s">
        <v>4</v>
      </c>
      <c r="F27" s="1" t="s">
        <v>5</v>
      </c>
      <c r="G27" s="14" t="s">
        <v>6</v>
      </c>
      <c r="H27" s="14" t="s">
        <v>7</v>
      </c>
      <c r="I27" s="19" t="s">
        <v>8</v>
      </c>
      <c r="J27" s="14" t="s">
        <v>9</v>
      </c>
      <c r="K27" s="14" t="s">
        <v>10</v>
      </c>
      <c r="L27" s="14" t="s">
        <v>11</v>
      </c>
      <c r="M27" s="29" t="s">
        <v>12</v>
      </c>
      <c r="N27" s="33" t="s">
        <v>13</v>
      </c>
      <c r="O27" s="38" t="s">
        <v>14</v>
      </c>
      <c r="P27" s="38" t="s">
        <v>15</v>
      </c>
      <c r="Q27" s="14" t="s">
        <v>16</v>
      </c>
      <c r="R27" s="14" t="s">
        <v>17</v>
      </c>
      <c r="S27" s="43" t="s">
        <v>18</v>
      </c>
      <c r="T27" s="38" t="s">
        <v>19</v>
      </c>
      <c r="U27" s="3" t="s">
        <v>20</v>
      </c>
      <c r="V27" s="1" t="s">
        <v>21</v>
      </c>
      <c r="W27" s="1" t="s">
        <v>22</v>
      </c>
      <c r="X27" s="1" t="s">
        <v>23</v>
      </c>
      <c r="Y27" s="1" t="s">
        <v>24</v>
      </c>
      <c r="Z27" s="1" t="s">
        <v>25</v>
      </c>
      <c r="AA27" s="1" t="s">
        <v>26</v>
      </c>
      <c r="AB27" s="1" t="s">
        <v>28</v>
      </c>
      <c r="AC27" s="1" t="s">
        <v>29</v>
      </c>
      <c r="AD27" s="1" t="s">
        <v>30</v>
      </c>
      <c r="AE27" s="1" t="s">
        <v>31</v>
      </c>
    </row>
    <row r="28" spans="1:31" x14ac:dyDescent="0.3">
      <c r="A28" t="s">
        <v>147</v>
      </c>
      <c r="B28" t="s">
        <v>148</v>
      </c>
      <c r="C28" s="25">
        <v>44663</v>
      </c>
      <c r="D28" s="15">
        <v>2000000</v>
      </c>
      <c r="E28" t="s">
        <v>45</v>
      </c>
      <c r="F28" t="s">
        <v>46</v>
      </c>
      <c r="G28" s="15">
        <v>2000000</v>
      </c>
      <c r="H28" s="15">
        <v>550200</v>
      </c>
      <c r="I28" s="20">
        <f t="shared" ref="I28:I39" si="8">H28/G28*100</f>
        <v>27.51</v>
      </c>
      <c r="J28" s="15">
        <v>1759117</v>
      </c>
      <c r="K28" s="15">
        <f>G28-1101109</f>
        <v>898891</v>
      </c>
      <c r="L28" s="15">
        <v>658008</v>
      </c>
      <c r="M28" s="30">
        <v>370</v>
      </c>
      <c r="N28" s="34">
        <v>1235</v>
      </c>
      <c r="O28" s="39">
        <v>11.12</v>
      </c>
      <c r="P28" s="39">
        <v>11.12</v>
      </c>
      <c r="Q28" s="15">
        <f t="shared" ref="Q28:Q39" si="9">K28/M28</f>
        <v>2429.4351351351352</v>
      </c>
      <c r="R28" s="15">
        <f t="shared" ref="R28:R39" si="10">K28/O28</f>
        <v>80835.521582733825</v>
      </c>
      <c r="S28" s="44">
        <f t="shared" ref="S28:S39" si="11">K28/O28/43560</f>
        <v>1.8557282273354874</v>
      </c>
      <c r="T28" s="39">
        <v>370</v>
      </c>
      <c r="U28" s="5" t="s">
        <v>56</v>
      </c>
      <c r="V28" t="s">
        <v>149</v>
      </c>
      <c r="X28" t="s">
        <v>130</v>
      </c>
      <c r="Y28">
        <v>0</v>
      </c>
      <c r="Z28">
        <v>1</v>
      </c>
      <c r="AA28" s="7">
        <v>43311</v>
      </c>
      <c r="AB28" s="6" t="s">
        <v>41</v>
      </c>
      <c r="AC28" t="s">
        <v>131</v>
      </c>
    </row>
    <row r="29" spans="1:31" x14ac:dyDescent="0.3">
      <c r="A29" t="s">
        <v>182</v>
      </c>
      <c r="B29" t="s">
        <v>183</v>
      </c>
      <c r="C29" s="25">
        <v>44354</v>
      </c>
      <c r="D29" s="15">
        <v>235000</v>
      </c>
      <c r="E29" t="s">
        <v>45</v>
      </c>
      <c r="F29" t="s">
        <v>46</v>
      </c>
      <c r="G29" s="15">
        <v>235000</v>
      </c>
      <c r="H29" s="15">
        <v>97500</v>
      </c>
      <c r="I29" s="20">
        <f t="shared" si="8"/>
        <v>41.48936170212766</v>
      </c>
      <c r="J29" s="15">
        <v>238451</v>
      </c>
      <c r="K29" s="15">
        <f>G29-134724</f>
        <v>100276</v>
      </c>
      <c r="L29" s="15">
        <v>103727</v>
      </c>
      <c r="M29" s="30">
        <v>164</v>
      </c>
      <c r="N29" s="34">
        <v>299</v>
      </c>
      <c r="O29" s="39">
        <v>1.129</v>
      </c>
      <c r="P29" s="39">
        <v>1.129</v>
      </c>
      <c r="Q29" s="15">
        <f t="shared" si="9"/>
        <v>611.43902439024396</v>
      </c>
      <c r="R29" s="15">
        <f t="shared" si="10"/>
        <v>88818.423383525238</v>
      </c>
      <c r="S29" s="44">
        <f t="shared" si="11"/>
        <v>2.038990435801773</v>
      </c>
      <c r="T29" s="39">
        <v>164</v>
      </c>
      <c r="U29" s="5" t="s">
        <v>56</v>
      </c>
      <c r="V29" t="s">
        <v>184</v>
      </c>
      <c r="X29" t="s">
        <v>185</v>
      </c>
      <c r="Y29">
        <v>1</v>
      </c>
      <c r="Z29">
        <v>0</v>
      </c>
      <c r="AA29" s="7">
        <v>44033</v>
      </c>
      <c r="AB29" s="6" t="s">
        <v>41</v>
      </c>
    </row>
    <row r="30" spans="1:31" x14ac:dyDescent="0.3">
      <c r="A30" t="s">
        <v>186</v>
      </c>
      <c r="B30" t="s">
        <v>187</v>
      </c>
      <c r="C30" s="25">
        <v>44372</v>
      </c>
      <c r="D30" s="15">
        <v>25900</v>
      </c>
      <c r="E30" t="s">
        <v>45</v>
      </c>
      <c r="F30" t="s">
        <v>46</v>
      </c>
      <c r="G30" s="15">
        <v>25900</v>
      </c>
      <c r="H30" s="15">
        <v>15200</v>
      </c>
      <c r="I30" s="20">
        <f t="shared" si="8"/>
        <v>58.687258687258691</v>
      </c>
      <c r="J30" s="15">
        <v>19406</v>
      </c>
      <c r="K30" s="15">
        <f>G30-0</f>
        <v>25900</v>
      </c>
      <c r="L30" s="15">
        <v>19406</v>
      </c>
      <c r="M30" s="30">
        <v>246.9</v>
      </c>
      <c r="N30" s="34">
        <v>131</v>
      </c>
      <c r="O30" s="39">
        <v>0.93200000000000005</v>
      </c>
      <c r="P30" s="39">
        <v>0.93200000000000005</v>
      </c>
      <c r="Q30" s="15">
        <f t="shared" si="9"/>
        <v>104.90076954232482</v>
      </c>
      <c r="R30" s="15">
        <f t="shared" si="10"/>
        <v>27789.69957081545</v>
      </c>
      <c r="S30" s="44">
        <f t="shared" si="11"/>
        <v>0.63796371833827936</v>
      </c>
      <c r="T30" s="39">
        <v>246.9</v>
      </c>
      <c r="U30" s="5" t="s">
        <v>56</v>
      </c>
      <c r="V30" t="s">
        <v>188</v>
      </c>
      <c r="X30" t="s">
        <v>130</v>
      </c>
      <c r="Y30">
        <v>0</v>
      </c>
      <c r="Z30">
        <v>1</v>
      </c>
      <c r="AA30" s="7">
        <v>43283</v>
      </c>
      <c r="AB30" s="6" t="s">
        <v>122</v>
      </c>
    </row>
    <row r="31" spans="1:31" x14ac:dyDescent="0.3">
      <c r="A31" t="s">
        <v>189</v>
      </c>
      <c r="B31" t="s">
        <v>190</v>
      </c>
      <c r="C31" s="25">
        <v>44853</v>
      </c>
      <c r="D31" s="15">
        <v>350000</v>
      </c>
      <c r="E31" t="s">
        <v>45</v>
      </c>
      <c r="F31" t="s">
        <v>46</v>
      </c>
      <c r="G31" s="15">
        <v>350000</v>
      </c>
      <c r="H31" s="15">
        <v>82900</v>
      </c>
      <c r="I31" s="20">
        <f t="shared" si="8"/>
        <v>23.685714285714283</v>
      </c>
      <c r="J31" s="15">
        <v>199275</v>
      </c>
      <c r="K31" s="15">
        <f>G31-180718</f>
        <v>169282</v>
      </c>
      <c r="L31" s="15">
        <v>18557</v>
      </c>
      <c r="M31" s="30">
        <v>98</v>
      </c>
      <c r="N31" s="34">
        <v>350</v>
      </c>
      <c r="O31" s="39">
        <v>1.18</v>
      </c>
      <c r="P31" s="39">
        <v>0.78</v>
      </c>
      <c r="Q31" s="15">
        <f t="shared" si="9"/>
        <v>1727.3673469387754</v>
      </c>
      <c r="R31" s="15">
        <f t="shared" si="10"/>
        <v>143459.32203389832</v>
      </c>
      <c r="S31" s="44">
        <f t="shared" si="11"/>
        <v>3.2933728657919725</v>
      </c>
      <c r="T31" s="39">
        <v>98</v>
      </c>
      <c r="U31" s="5" t="s">
        <v>56</v>
      </c>
      <c r="V31" t="s">
        <v>191</v>
      </c>
      <c r="X31" t="s">
        <v>130</v>
      </c>
      <c r="Y31">
        <v>0</v>
      </c>
      <c r="Z31">
        <v>1</v>
      </c>
      <c r="AA31" s="7">
        <v>40001</v>
      </c>
      <c r="AB31" s="6" t="s">
        <v>41</v>
      </c>
    </row>
    <row r="32" spans="1:31" x14ac:dyDescent="0.3">
      <c r="A32" t="s">
        <v>192</v>
      </c>
      <c r="B32" t="s">
        <v>193</v>
      </c>
      <c r="C32" s="25">
        <v>44727</v>
      </c>
      <c r="D32" s="15">
        <v>110000</v>
      </c>
      <c r="E32" t="s">
        <v>45</v>
      </c>
      <c r="F32" t="s">
        <v>46</v>
      </c>
      <c r="G32" s="15">
        <v>110000</v>
      </c>
      <c r="H32" s="15">
        <v>35400</v>
      </c>
      <c r="I32" s="20">
        <f t="shared" si="8"/>
        <v>32.181818181818187</v>
      </c>
      <c r="J32" s="15">
        <v>129112</v>
      </c>
      <c r="K32" s="15">
        <f>G32-0</f>
        <v>110000</v>
      </c>
      <c r="L32" s="15">
        <v>129112</v>
      </c>
      <c r="M32" s="30">
        <v>243.33333300000001</v>
      </c>
      <c r="N32" s="34">
        <v>804</v>
      </c>
      <c r="O32" s="39">
        <v>4.9400000000000004</v>
      </c>
      <c r="P32" s="39">
        <v>5.09</v>
      </c>
      <c r="Q32" s="15">
        <f t="shared" si="9"/>
        <v>452.05479513980106</v>
      </c>
      <c r="R32" s="15">
        <f t="shared" si="10"/>
        <v>22267.206477732791</v>
      </c>
      <c r="S32" s="44">
        <f t="shared" si="11"/>
        <v>0.51118472171103746</v>
      </c>
      <c r="T32" s="39">
        <v>0</v>
      </c>
      <c r="U32" s="5" t="s">
        <v>56</v>
      </c>
      <c r="V32" t="s">
        <v>194</v>
      </c>
      <c r="X32" t="s">
        <v>185</v>
      </c>
      <c r="Y32">
        <v>0</v>
      </c>
      <c r="Z32">
        <v>1</v>
      </c>
      <c r="AA32" s="7">
        <v>44056</v>
      </c>
      <c r="AB32" s="6" t="s">
        <v>122</v>
      </c>
    </row>
    <row r="33" spans="1:31" x14ac:dyDescent="0.3">
      <c r="A33" t="s">
        <v>210</v>
      </c>
      <c r="C33" s="25">
        <v>44529</v>
      </c>
      <c r="D33" s="15">
        <v>73200</v>
      </c>
      <c r="E33" t="s">
        <v>45</v>
      </c>
      <c r="F33" t="s">
        <v>46</v>
      </c>
      <c r="G33" s="15">
        <v>73200</v>
      </c>
      <c r="H33" s="15">
        <v>36600</v>
      </c>
      <c r="I33" s="20">
        <f t="shared" si="8"/>
        <v>50</v>
      </c>
      <c r="J33" s="15">
        <v>74763</v>
      </c>
      <c r="K33" s="15">
        <f>G33-0</f>
        <v>73200</v>
      </c>
      <c r="L33" s="15">
        <v>74763</v>
      </c>
      <c r="M33" s="30">
        <v>20</v>
      </c>
      <c r="N33" s="34">
        <v>2437</v>
      </c>
      <c r="O33" s="39">
        <v>1.119</v>
      </c>
      <c r="P33" s="39">
        <v>1.119</v>
      </c>
      <c r="Q33" s="15">
        <f t="shared" si="9"/>
        <v>3660</v>
      </c>
      <c r="R33" s="15">
        <f t="shared" si="10"/>
        <v>65415.549597855228</v>
      </c>
      <c r="S33" s="44">
        <f t="shared" si="11"/>
        <v>1.5017343801160521</v>
      </c>
      <c r="T33" s="39">
        <v>20</v>
      </c>
      <c r="U33" s="5" t="s">
        <v>56</v>
      </c>
      <c r="V33" t="s">
        <v>211</v>
      </c>
      <c r="X33" t="s">
        <v>185</v>
      </c>
      <c r="Y33">
        <v>0</v>
      </c>
      <c r="Z33">
        <v>1</v>
      </c>
      <c r="AA33" s="7">
        <v>43719</v>
      </c>
      <c r="AB33" s="6" t="s">
        <v>122</v>
      </c>
    </row>
    <row r="34" spans="1:31" x14ac:dyDescent="0.3">
      <c r="A34" t="s">
        <v>212</v>
      </c>
      <c r="B34" t="s">
        <v>213</v>
      </c>
      <c r="C34" s="25">
        <v>44827</v>
      </c>
      <c r="D34" s="15">
        <v>516000</v>
      </c>
      <c r="E34" t="s">
        <v>45</v>
      </c>
      <c r="F34" t="s">
        <v>46</v>
      </c>
      <c r="G34" s="15">
        <v>516000</v>
      </c>
      <c r="H34" s="15">
        <v>203600</v>
      </c>
      <c r="I34" s="20">
        <f t="shared" si="8"/>
        <v>39.457364341085274</v>
      </c>
      <c r="J34" s="15">
        <v>436950</v>
      </c>
      <c r="K34" s="15">
        <f>G34-348088</f>
        <v>167912</v>
      </c>
      <c r="L34" s="15">
        <v>88862</v>
      </c>
      <c r="M34" s="30">
        <v>437.51</v>
      </c>
      <c r="N34" s="34">
        <v>367.38000499999998</v>
      </c>
      <c r="O34" s="39">
        <v>3.69</v>
      </c>
      <c r="P34" s="39">
        <v>3.69</v>
      </c>
      <c r="Q34" s="15">
        <f t="shared" si="9"/>
        <v>383.79008479806174</v>
      </c>
      <c r="R34" s="15">
        <f t="shared" si="10"/>
        <v>45504.607046070458</v>
      </c>
      <c r="S34" s="44">
        <f t="shared" si="11"/>
        <v>1.0446420350337571</v>
      </c>
      <c r="T34" s="39">
        <v>437.51</v>
      </c>
      <c r="U34" s="5" t="s">
        <v>56</v>
      </c>
      <c r="V34" t="s">
        <v>214</v>
      </c>
      <c r="X34" t="s">
        <v>185</v>
      </c>
      <c r="Y34">
        <v>0</v>
      </c>
      <c r="Z34">
        <v>1</v>
      </c>
      <c r="AA34" s="7">
        <v>41179</v>
      </c>
      <c r="AB34" s="6" t="s">
        <v>41</v>
      </c>
    </row>
    <row r="35" spans="1:31" x14ac:dyDescent="0.3">
      <c r="A35" t="s">
        <v>227</v>
      </c>
      <c r="B35" t="s">
        <v>228</v>
      </c>
      <c r="C35" s="25">
        <v>44438</v>
      </c>
      <c r="D35" s="15">
        <v>125000</v>
      </c>
      <c r="E35" t="s">
        <v>45</v>
      </c>
      <c r="F35" t="s">
        <v>46</v>
      </c>
      <c r="G35" s="15">
        <v>125000</v>
      </c>
      <c r="H35" s="15">
        <v>47300</v>
      </c>
      <c r="I35" s="20">
        <f t="shared" si="8"/>
        <v>37.840000000000003</v>
      </c>
      <c r="J35" s="15">
        <v>163568</v>
      </c>
      <c r="K35" s="15">
        <f>G35-54200</f>
        <v>70800</v>
      </c>
      <c r="L35" s="15">
        <v>30226</v>
      </c>
      <c r="M35" s="30">
        <v>220</v>
      </c>
      <c r="N35" s="34">
        <v>467</v>
      </c>
      <c r="O35" s="39">
        <v>2.75</v>
      </c>
      <c r="P35" s="39">
        <v>2.75</v>
      </c>
      <c r="Q35" s="15">
        <f t="shared" si="9"/>
        <v>321.81818181818181</v>
      </c>
      <c r="R35" s="15">
        <f t="shared" si="10"/>
        <v>25745.454545454544</v>
      </c>
      <c r="S35" s="44">
        <f t="shared" si="11"/>
        <v>0.59103431004257445</v>
      </c>
      <c r="T35" s="39">
        <v>220</v>
      </c>
      <c r="U35" s="5" t="s">
        <v>56</v>
      </c>
      <c r="V35" t="s">
        <v>229</v>
      </c>
      <c r="X35" t="s">
        <v>185</v>
      </c>
      <c r="Y35">
        <v>0</v>
      </c>
      <c r="Z35">
        <v>1</v>
      </c>
      <c r="AA35" s="7">
        <v>43721</v>
      </c>
      <c r="AB35" s="6" t="s">
        <v>41</v>
      </c>
    </row>
    <row r="36" spans="1:31" x14ac:dyDescent="0.3">
      <c r="A36" t="s">
        <v>230</v>
      </c>
      <c r="B36" t="s">
        <v>231</v>
      </c>
      <c r="C36" s="25">
        <v>44672</v>
      </c>
      <c r="D36" s="15">
        <v>300000</v>
      </c>
      <c r="E36" t="s">
        <v>45</v>
      </c>
      <c r="F36" t="s">
        <v>46</v>
      </c>
      <c r="G36" s="15">
        <v>300000</v>
      </c>
      <c r="H36" s="15">
        <v>161600</v>
      </c>
      <c r="I36" s="20">
        <f t="shared" si="8"/>
        <v>53.86666666666666</v>
      </c>
      <c r="J36" s="15">
        <v>357839</v>
      </c>
      <c r="K36" s="15">
        <f>G36-266894</f>
        <v>33106</v>
      </c>
      <c r="L36" s="15">
        <v>23940</v>
      </c>
      <c r="M36" s="30">
        <v>150</v>
      </c>
      <c r="N36" s="34">
        <v>300</v>
      </c>
      <c r="O36" s="39">
        <v>2.0630000000000002</v>
      </c>
      <c r="P36" s="39">
        <v>2.06</v>
      </c>
      <c r="Q36" s="15">
        <f t="shared" si="9"/>
        <v>220.70666666666668</v>
      </c>
      <c r="R36" s="15">
        <f t="shared" si="10"/>
        <v>16047.503635482306</v>
      </c>
      <c r="S36" s="44">
        <f t="shared" si="11"/>
        <v>0.36839999163182519</v>
      </c>
      <c r="T36" s="39">
        <v>150</v>
      </c>
      <c r="U36" s="5" t="s">
        <v>56</v>
      </c>
      <c r="V36" t="s">
        <v>232</v>
      </c>
      <c r="X36" t="s">
        <v>185</v>
      </c>
      <c r="Y36">
        <v>0</v>
      </c>
      <c r="Z36">
        <v>1</v>
      </c>
      <c r="AA36" t="s">
        <v>40</v>
      </c>
      <c r="AB36" s="6" t="s">
        <v>41</v>
      </c>
    </row>
    <row r="37" spans="1:31" x14ac:dyDescent="0.3">
      <c r="A37" t="s">
        <v>237</v>
      </c>
      <c r="B37" t="s">
        <v>238</v>
      </c>
      <c r="C37" s="25">
        <v>44497</v>
      </c>
      <c r="D37" s="15">
        <v>54500</v>
      </c>
      <c r="E37" t="s">
        <v>45</v>
      </c>
      <c r="F37" t="s">
        <v>46</v>
      </c>
      <c r="G37" s="15">
        <v>54500</v>
      </c>
      <c r="H37" s="15">
        <v>42700</v>
      </c>
      <c r="I37" s="20">
        <f t="shared" si="8"/>
        <v>78.348623853211009</v>
      </c>
      <c r="J37" s="15">
        <v>55344</v>
      </c>
      <c r="K37" s="15">
        <f>G37-48287</f>
        <v>6213</v>
      </c>
      <c r="L37" s="15">
        <v>7057</v>
      </c>
      <c r="M37" s="30">
        <v>0</v>
      </c>
      <c r="N37" s="34">
        <v>0</v>
      </c>
      <c r="O37" s="39">
        <v>0.27</v>
      </c>
      <c r="P37" s="39">
        <v>0.27</v>
      </c>
      <c r="Q37" s="15" t="e">
        <f t="shared" si="9"/>
        <v>#DIV/0!</v>
      </c>
      <c r="R37" s="15">
        <f t="shared" si="10"/>
        <v>23011.111111111109</v>
      </c>
      <c r="S37" s="44">
        <f t="shared" si="11"/>
        <v>0.52826242220181607</v>
      </c>
      <c r="T37" s="39">
        <v>0</v>
      </c>
      <c r="U37" s="5" t="s">
        <v>56</v>
      </c>
      <c r="V37" t="s">
        <v>239</v>
      </c>
      <c r="X37" t="s">
        <v>185</v>
      </c>
      <c r="Y37">
        <v>0</v>
      </c>
      <c r="Z37">
        <v>0</v>
      </c>
      <c r="AA37" t="s">
        <v>40</v>
      </c>
      <c r="AB37" s="6" t="s">
        <v>41</v>
      </c>
    </row>
    <row r="38" spans="1:31" x14ac:dyDescent="0.3">
      <c r="A38" t="s">
        <v>240</v>
      </c>
      <c r="B38" t="s">
        <v>241</v>
      </c>
      <c r="C38" s="25">
        <v>44673</v>
      </c>
      <c r="D38" s="15">
        <v>250000</v>
      </c>
      <c r="E38" t="s">
        <v>45</v>
      </c>
      <c r="F38" t="s">
        <v>46</v>
      </c>
      <c r="G38" s="15">
        <v>250000</v>
      </c>
      <c r="H38" s="15">
        <v>99200</v>
      </c>
      <c r="I38" s="20">
        <f t="shared" si="8"/>
        <v>39.68</v>
      </c>
      <c r="J38" s="15">
        <v>236392</v>
      </c>
      <c r="K38" s="15">
        <f>G38-150244</f>
        <v>99756</v>
      </c>
      <c r="L38" s="15">
        <v>86148</v>
      </c>
      <c r="M38" s="30">
        <v>0</v>
      </c>
      <c r="N38" s="34">
        <v>0</v>
      </c>
      <c r="O38" s="39">
        <v>0.83799999999999997</v>
      </c>
      <c r="P38" s="39">
        <v>0.83799999999999997</v>
      </c>
      <c r="Q38" s="15" t="e">
        <f t="shared" si="9"/>
        <v>#DIV/0!</v>
      </c>
      <c r="R38" s="15">
        <f t="shared" si="10"/>
        <v>119040.57279236277</v>
      </c>
      <c r="S38" s="44">
        <f t="shared" si="11"/>
        <v>2.7327955186492829</v>
      </c>
      <c r="T38" s="39">
        <v>0</v>
      </c>
      <c r="U38" s="5" t="s">
        <v>56</v>
      </c>
      <c r="V38" t="s">
        <v>242</v>
      </c>
      <c r="X38" t="s">
        <v>185</v>
      </c>
      <c r="Y38">
        <v>0</v>
      </c>
      <c r="Z38">
        <v>1</v>
      </c>
      <c r="AA38" t="s">
        <v>40</v>
      </c>
      <c r="AB38" s="6" t="s">
        <v>41</v>
      </c>
    </row>
    <row r="39" spans="1:31" ht="15" thickBot="1" x14ac:dyDescent="0.35">
      <c r="A39" t="s">
        <v>243</v>
      </c>
      <c r="B39" t="s">
        <v>244</v>
      </c>
      <c r="C39" s="25">
        <v>44670</v>
      </c>
      <c r="D39" s="15">
        <v>100000</v>
      </c>
      <c r="E39" t="s">
        <v>45</v>
      </c>
      <c r="F39" t="s">
        <v>46</v>
      </c>
      <c r="G39" s="15">
        <v>100000</v>
      </c>
      <c r="H39" s="15">
        <v>19200</v>
      </c>
      <c r="I39" s="20">
        <f t="shared" si="8"/>
        <v>19.2</v>
      </c>
      <c r="J39" s="15">
        <v>47750</v>
      </c>
      <c r="K39" s="15">
        <f>G39-37927</f>
        <v>62073</v>
      </c>
      <c r="L39" s="15">
        <v>9823</v>
      </c>
      <c r="M39" s="30">
        <v>100</v>
      </c>
      <c r="N39" s="34">
        <v>164</v>
      </c>
      <c r="O39" s="39">
        <v>0.752</v>
      </c>
      <c r="P39" s="39">
        <v>0.376</v>
      </c>
      <c r="Q39" s="15">
        <f t="shared" si="9"/>
        <v>620.73</v>
      </c>
      <c r="R39" s="15">
        <f t="shared" si="10"/>
        <v>82543.882978723399</v>
      </c>
      <c r="S39" s="44">
        <f t="shared" si="11"/>
        <v>1.8949468085106382</v>
      </c>
      <c r="T39" s="39">
        <v>100</v>
      </c>
      <c r="U39" s="5" t="s">
        <v>56</v>
      </c>
      <c r="V39" t="s">
        <v>245</v>
      </c>
      <c r="X39" t="s">
        <v>185</v>
      </c>
      <c r="Y39">
        <v>0</v>
      </c>
      <c r="Z39">
        <v>1</v>
      </c>
      <c r="AA39" s="7">
        <v>40023</v>
      </c>
      <c r="AB39" s="6" t="s">
        <v>41</v>
      </c>
    </row>
    <row r="40" spans="1:31" ht="15" thickTop="1" x14ac:dyDescent="0.3">
      <c r="A40" s="8"/>
      <c r="B40" s="8"/>
      <c r="C40" s="26" t="s">
        <v>303</v>
      </c>
      <c r="D40" s="16">
        <f>+SUM(D28:D39)</f>
        <v>4139600</v>
      </c>
      <c r="E40" s="8"/>
      <c r="F40" s="8"/>
      <c r="G40" s="16">
        <f>+SUM(G28:G39)</f>
        <v>4139600</v>
      </c>
      <c r="H40" s="16">
        <f>+SUM(H28:H39)</f>
        <v>1391400</v>
      </c>
      <c r="I40" s="21"/>
      <c r="J40" s="16">
        <f>+SUM(J28:J39)</f>
        <v>3717967</v>
      </c>
      <c r="K40" s="16">
        <f>+SUM(K28:K39)</f>
        <v>1817409</v>
      </c>
      <c r="L40" s="16">
        <f>+SUM(L28:L39)</f>
        <v>1249629</v>
      </c>
      <c r="M40" s="31">
        <f>+SUM(M28:M39)</f>
        <v>2049.7433329999999</v>
      </c>
      <c r="N40" s="35"/>
      <c r="O40" s="40">
        <f>+SUM(O28:O39)</f>
        <v>30.782999999999998</v>
      </c>
      <c r="P40" s="40">
        <f>+SUM(P28:P39)</f>
        <v>30.154</v>
      </c>
      <c r="Q40" s="16"/>
      <c r="R40" s="16"/>
      <c r="S40" s="45"/>
      <c r="T40" s="40"/>
      <c r="U40" s="9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3">
      <c r="A41" s="10"/>
      <c r="B41" s="10"/>
      <c r="C41" s="27"/>
      <c r="D41" s="17"/>
      <c r="E41" s="10"/>
      <c r="F41" s="10"/>
      <c r="G41" s="17"/>
      <c r="H41" s="17" t="s">
        <v>304</v>
      </c>
      <c r="I41" s="22">
        <f>H40/G40*100</f>
        <v>33.611943182916228</v>
      </c>
      <c r="J41" s="17"/>
      <c r="K41" s="17"/>
      <c r="L41" s="17" t="s">
        <v>305</v>
      </c>
      <c r="M41" s="32"/>
      <c r="N41" s="36"/>
      <c r="O41" s="41" t="s">
        <v>305</v>
      </c>
      <c r="P41" s="41"/>
      <c r="Q41" s="17"/>
      <c r="R41" s="17" t="s">
        <v>305</v>
      </c>
      <c r="S41" s="46"/>
      <c r="T41" s="41"/>
      <c r="U41" s="11"/>
      <c r="V41" s="10"/>
      <c r="W41" s="10"/>
      <c r="X41" s="10"/>
      <c r="Y41" s="10"/>
      <c r="Z41" s="10"/>
      <c r="AA41" s="10"/>
      <c r="AB41" s="10"/>
      <c r="AC41" s="10"/>
      <c r="AD41" s="10"/>
      <c r="AE41" s="10"/>
    </row>
    <row r="42" spans="1:31" x14ac:dyDescent="0.3">
      <c r="A42" s="12"/>
      <c r="B42" s="12"/>
      <c r="C42" s="28"/>
      <c r="D42" s="18"/>
      <c r="E42" s="12"/>
      <c r="F42" s="12"/>
      <c r="G42" s="18"/>
      <c r="H42" s="18" t="s">
        <v>306</v>
      </c>
      <c r="I42" s="23">
        <f>STDEV(I28:I39)</f>
        <v>16.501176650665489</v>
      </c>
      <c r="J42" s="18"/>
      <c r="K42" s="18"/>
      <c r="L42" s="18" t="s">
        <v>307</v>
      </c>
      <c r="M42" s="48">
        <f>K40/M40</f>
        <v>886.65198746617909</v>
      </c>
      <c r="N42" s="37"/>
      <c r="O42" s="42" t="s">
        <v>308</v>
      </c>
      <c r="P42" s="42">
        <f>K40/O40</f>
        <v>59039.372380859568</v>
      </c>
      <c r="Q42" s="18"/>
      <c r="R42" s="18" t="s">
        <v>309</v>
      </c>
      <c r="S42" s="47">
        <f>K40/O40/43560</f>
        <v>1.3553574926735439</v>
      </c>
      <c r="T42" s="42"/>
      <c r="U42" s="13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4" spans="1:31" x14ac:dyDescent="0.3">
      <c r="R44" s="49" t="s">
        <v>310</v>
      </c>
      <c r="S44" s="52">
        <v>1.41</v>
      </c>
      <c r="T44" s="53" t="s">
        <v>312</v>
      </c>
    </row>
  </sheetData>
  <conditionalFormatting sqref="A3:AE7 A15:AE18 A28:AE39">
    <cfRule type="expression" dxfId="3" priority="5" stopIfTrue="1">
      <formula>MOD(ROW(),4)&gt;1</formula>
    </cfRule>
    <cfRule type="expression" dxfId="2" priority="6" stopIfTrue="1">
      <formula>MOD(ROW(),4)&lt;2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5989D-0D89-43F6-8AEF-7D912D2F528D}">
  <sheetPr>
    <pageSetUpPr fitToPage="1"/>
  </sheetPr>
  <dimension ref="A1:AD15"/>
  <sheetViews>
    <sheetView tabSelected="1" workbookViewId="0">
      <selection activeCell="Q15" sqref="Q15"/>
    </sheetView>
  </sheetViews>
  <sheetFormatPr defaultRowHeight="14.4" x14ac:dyDescent="0.3"/>
  <cols>
    <col min="1" max="1" width="23" customWidth="1"/>
    <col min="2" max="2" width="21.5546875" bestFit="1" customWidth="1"/>
    <col min="3" max="3" width="9.33203125" style="25" bestFit="1" customWidth="1"/>
    <col min="4" max="4" width="10.88671875" style="15" bestFit="1" customWidth="1"/>
    <col min="5" max="5" width="5.5546875" bestFit="1" customWidth="1"/>
    <col min="6" max="6" width="8.88671875" customWidth="1"/>
    <col min="7" max="7" width="10.88671875" style="15" bestFit="1" customWidth="1"/>
    <col min="8" max="8" width="14.6640625" style="15" hidden="1" customWidth="1"/>
    <col min="9" max="9" width="12.88671875" style="20" hidden="1" customWidth="1"/>
    <col min="10" max="10" width="13.44140625" style="15" hidden="1" customWidth="1"/>
    <col min="11" max="11" width="13.88671875" style="15" customWidth="1"/>
    <col min="12" max="12" width="14.44140625" style="15" hidden="1" customWidth="1"/>
    <col min="13" max="13" width="8.6640625" style="30" customWidth="1"/>
    <col min="14" max="14" width="7.44140625" style="34" customWidth="1"/>
    <col min="15" max="15" width="0.33203125" style="39" customWidth="1"/>
    <col min="16" max="16" width="9.88671875" style="39" customWidth="1"/>
    <col min="17" max="17" width="9" style="15" customWidth="1"/>
    <col min="18" max="18" width="12" style="15" bestFit="1" customWidth="1"/>
    <col min="19" max="19" width="11.88671875" style="44" bestFit="1" customWidth="1"/>
    <col min="20" max="20" width="8.6640625" style="4" hidden="1" customWidth="1"/>
    <col min="21" max="21" width="10.5546875" hidden="1" customWidth="1"/>
    <col min="22" max="22" width="66.6640625" hidden="1" customWidth="1"/>
    <col min="23" max="23" width="20.6640625" hidden="1" customWidth="1"/>
    <col min="24" max="24" width="6.88671875" hidden="1" customWidth="1"/>
    <col min="25" max="25" width="6.44140625" hidden="1" customWidth="1"/>
    <col min="26" max="26" width="15" hidden="1" customWidth="1"/>
    <col min="27" max="27" width="5.44140625" hidden="1" customWidth="1"/>
    <col min="28" max="30" width="12.44140625" hidden="1" customWidth="1"/>
  </cols>
  <sheetData>
    <row r="1" spans="1:30" s="186" customFormat="1" ht="21" x14ac:dyDescent="0.4">
      <c r="A1" s="186" t="s">
        <v>354</v>
      </c>
      <c r="C1" s="187"/>
      <c r="D1" s="188"/>
      <c r="G1" s="188"/>
      <c r="H1" s="188"/>
      <c r="I1" s="189"/>
      <c r="J1" s="188"/>
      <c r="K1" s="188"/>
      <c r="L1" s="188"/>
      <c r="M1" s="190"/>
      <c r="N1" s="191"/>
      <c r="O1" s="192"/>
      <c r="P1" s="192"/>
      <c r="Q1" s="188"/>
      <c r="R1" s="188"/>
      <c r="S1" s="193"/>
      <c r="T1" s="194"/>
    </row>
    <row r="2" spans="1:30" s="57" customFormat="1" x14ac:dyDescent="0.3">
      <c r="A2" s="54" t="s">
        <v>0</v>
      </c>
      <c r="B2" s="54" t="s">
        <v>1</v>
      </c>
      <c r="C2" s="55" t="s">
        <v>2</v>
      </c>
      <c r="D2" s="56" t="s">
        <v>3</v>
      </c>
      <c r="E2" s="54" t="s">
        <v>4</v>
      </c>
      <c r="F2" s="54" t="s">
        <v>5</v>
      </c>
      <c r="G2" s="56" t="s">
        <v>6</v>
      </c>
      <c r="H2" s="56" t="s">
        <v>7</v>
      </c>
      <c r="I2" s="58" t="s">
        <v>8</v>
      </c>
      <c r="J2" s="56" t="s">
        <v>9</v>
      </c>
      <c r="K2" s="56" t="s">
        <v>10</v>
      </c>
      <c r="L2" s="56" t="s">
        <v>11</v>
      </c>
      <c r="M2" s="59" t="s">
        <v>12</v>
      </c>
      <c r="N2" s="60" t="s">
        <v>13</v>
      </c>
      <c r="O2" s="61" t="s">
        <v>14</v>
      </c>
      <c r="P2" s="61" t="s">
        <v>15</v>
      </c>
      <c r="Q2" s="56" t="s">
        <v>16</v>
      </c>
      <c r="R2" s="56" t="s">
        <v>17</v>
      </c>
      <c r="S2" s="62" t="s">
        <v>18</v>
      </c>
      <c r="T2" s="63" t="s">
        <v>20</v>
      </c>
      <c r="U2" s="54" t="s">
        <v>21</v>
      </c>
      <c r="V2" s="54" t="s">
        <v>22</v>
      </c>
      <c r="W2" s="54" t="s">
        <v>23</v>
      </c>
      <c r="X2" s="54" t="s">
        <v>24</v>
      </c>
      <c r="Y2" s="54" t="s">
        <v>25</v>
      </c>
      <c r="Z2" s="54" t="s">
        <v>26</v>
      </c>
      <c r="AA2" s="54" t="s">
        <v>28</v>
      </c>
      <c r="AB2" s="54" t="s">
        <v>29</v>
      </c>
      <c r="AC2" s="54" t="s">
        <v>30</v>
      </c>
      <c r="AD2" s="54" t="s">
        <v>31</v>
      </c>
    </row>
    <row r="3" spans="1:30" x14ac:dyDescent="0.3">
      <c r="A3" t="s">
        <v>272</v>
      </c>
      <c r="B3" t="s">
        <v>273</v>
      </c>
      <c r="C3" s="25">
        <v>44292</v>
      </c>
      <c r="D3" s="15">
        <v>425000</v>
      </c>
      <c r="E3" t="s">
        <v>45</v>
      </c>
      <c r="F3" t="s">
        <v>46</v>
      </c>
      <c r="G3" s="15">
        <v>425000</v>
      </c>
      <c r="H3" s="15">
        <v>84300</v>
      </c>
      <c r="I3" s="20">
        <f t="shared" ref="I3:I7" si="0">H3/G3*100</f>
        <v>19.835294117647059</v>
      </c>
      <c r="J3" s="15">
        <v>249681</v>
      </c>
      <c r="K3" s="15">
        <f>G3-192785</f>
        <v>232215</v>
      </c>
      <c r="L3" s="15">
        <v>56896</v>
      </c>
      <c r="M3" s="30">
        <v>250.01</v>
      </c>
      <c r="N3" s="34">
        <v>800.94000200000005</v>
      </c>
      <c r="O3" s="39">
        <v>4.58</v>
      </c>
      <c r="P3" s="39">
        <v>4.58</v>
      </c>
      <c r="Q3" s="15">
        <f t="shared" ref="Q3:Q7" si="1">K3/M3</f>
        <v>928.82284708611655</v>
      </c>
      <c r="R3" s="15">
        <f t="shared" ref="R3:R7" si="2">K3/O3</f>
        <v>50701.965065502183</v>
      </c>
      <c r="S3" s="44">
        <f t="shared" ref="S3:S7" si="3">K3/O3/43560</f>
        <v>1.1639569574265882</v>
      </c>
      <c r="T3" s="5" t="s">
        <v>169</v>
      </c>
      <c r="U3" t="s">
        <v>274</v>
      </c>
      <c r="W3" t="s">
        <v>171</v>
      </c>
      <c r="X3">
        <v>0</v>
      </c>
      <c r="Y3">
        <v>1</v>
      </c>
      <c r="Z3" s="7">
        <v>42585</v>
      </c>
      <c r="AA3" s="6" t="s">
        <v>41</v>
      </c>
    </row>
    <row r="4" spans="1:30" x14ac:dyDescent="0.3">
      <c r="B4" t="s">
        <v>260</v>
      </c>
      <c r="C4" s="25">
        <v>44340</v>
      </c>
      <c r="D4" s="15">
        <v>100000</v>
      </c>
      <c r="E4" t="s">
        <v>45</v>
      </c>
      <c r="F4" t="s">
        <v>46</v>
      </c>
      <c r="G4" s="15">
        <v>80000</v>
      </c>
      <c r="K4" s="15">
        <v>29300</v>
      </c>
      <c r="M4" s="30">
        <v>94</v>
      </c>
      <c r="N4" s="34">
        <v>116</v>
      </c>
      <c r="P4" s="39">
        <v>0.22</v>
      </c>
      <c r="Q4" s="15">
        <v>191</v>
      </c>
      <c r="R4" s="15">
        <v>133182</v>
      </c>
      <c r="S4" s="44">
        <v>3.05</v>
      </c>
      <c r="T4" s="5"/>
      <c r="Z4" s="7"/>
      <c r="AA4" s="6"/>
    </row>
    <row r="5" spans="1:30" x14ac:dyDescent="0.3">
      <c r="A5" t="s">
        <v>275</v>
      </c>
      <c r="B5" t="s">
        <v>276</v>
      </c>
      <c r="C5" s="25">
        <v>44440</v>
      </c>
      <c r="D5" s="15">
        <v>260000</v>
      </c>
      <c r="E5" t="s">
        <v>45</v>
      </c>
      <c r="F5" t="s">
        <v>46</v>
      </c>
      <c r="G5" s="15">
        <v>260000</v>
      </c>
      <c r="H5" s="15">
        <v>65100</v>
      </c>
      <c r="I5" s="20">
        <f t="shared" si="0"/>
        <v>25.038461538461537</v>
      </c>
      <c r="J5" s="15">
        <v>144173</v>
      </c>
      <c r="K5" s="15">
        <f>G5-106175</f>
        <v>153825</v>
      </c>
      <c r="L5" s="15">
        <v>37998</v>
      </c>
      <c r="M5" s="30">
        <v>210</v>
      </c>
      <c r="N5" s="34">
        <v>385</v>
      </c>
      <c r="O5" s="39">
        <v>2</v>
      </c>
      <c r="P5" s="39">
        <v>2</v>
      </c>
      <c r="Q5" s="15">
        <f t="shared" si="1"/>
        <v>732.5</v>
      </c>
      <c r="R5" s="15">
        <f t="shared" si="2"/>
        <v>76912.5</v>
      </c>
      <c r="S5" s="44">
        <f t="shared" si="3"/>
        <v>1.7656680440771351</v>
      </c>
      <c r="T5" s="5" t="s">
        <v>169</v>
      </c>
      <c r="U5" t="s">
        <v>277</v>
      </c>
      <c r="W5" t="s">
        <v>171</v>
      </c>
      <c r="X5">
        <v>0</v>
      </c>
      <c r="Y5">
        <v>1</v>
      </c>
      <c r="Z5" s="7">
        <v>42969</v>
      </c>
      <c r="AA5" s="6" t="s">
        <v>41</v>
      </c>
    </row>
    <row r="6" spans="1:30" x14ac:dyDescent="0.3">
      <c r="A6" t="s">
        <v>278</v>
      </c>
      <c r="B6" t="s">
        <v>279</v>
      </c>
      <c r="C6" s="25">
        <v>44560</v>
      </c>
      <c r="D6" s="15">
        <v>400000</v>
      </c>
      <c r="E6" t="s">
        <v>45</v>
      </c>
      <c r="F6" t="s">
        <v>35</v>
      </c>
      <c r="G6" s="15">
        <v>400000</v>
      </c>
      <c r="H6" s="15">
        <v>133000</v>
      </c>
      <c r="I6" s="20">
        <f t="shared" si="0"/>
        <v>33.25</v>
      </c>
      <c r="J6" s="15">
        <v>333246</v>
      </c>
      <c r="K6" s="15">
        <f>G6-286308</f>
        <v>113692</v>
      </c>
      <c r="L6" s="15">
        <v>46938</v>
      </c>
      <c r="M6" s="30">
        <v>297</v>
      </c>
      <c r="N6" s="34">
        <v>200</v>
      </c>
      <c r="O6" s="39">
        <v>0.68200000000000005</v>
      </c>
      <c r="P6" s="39">
        <v>0.45900000000000002</v>
      </c>
      <c r="Q6" s="15">
        <f t="shared" si="1"/>
        <v>382.80134680134682</v>
      </c>
      <c r="R6" s="15">
        <f t="shared" si="2"/>
        <v>166703.81231671554</v>
      </c>
      <c r="S6" s="44">
        <f t="shared" si="3"/>
        <v>3.8269929365637179</v>
      </c>
      <c r="T6" s="5" t="s">
        <v>169</v>
      </c>
      <c r="U6" t="s">
        <v>280</v>
      </c>
      <c r="V6" t="s">
        <v>281</v>
      </c>
      <c r="W6" t="s">
        <v>171</v>
      </c>
      <c r="X6">
        <v>0</v>
      </c>
      <c r="Y6">
        <v>1</v>
      </c>
      <c r="Z6" s="7">
        <v>42585</v>
      </c>
      <c r="AA6" s="6" t="s">
        <v>41</v>
      </c>
    </row>
    <row r="7" spans="1:30" x14ac:dyDescent="0.3">
      <c r="A7" t="s">
        <v>282</v>
      </c>
      <c r="B7" t="s">
        <v>283</v>
      </c>
      <c r="C7" s="25">
        <v>44337</v>
      </c>
      <c r="D7" s="15">
        <v>300000</v>
      </c>
      <c r="E7" t="s">
        <v>45</v>
      </c>
      <c r="F7" t="s">
        <v>35</v>
      </c>
      <c r="G7" s="15">
        <v>280000</v>
      </c>
      <c r="H7" s="15">
        <v>123700</v>
      </c>
      <c r="I7" s="20">
        <f t="shared" si="0"/>
        <v>44.178571428571431</v>
      </c>
      <c r="J7" s="15">
        <v>341976</v>
      </c>
      <c r="K7" s="15">
        <f>G7-253017</f>
        <v>26983</v>
      </c>
      <c r="L7" s="15">
        <v>33792</v>
      </c>
      <c r="M7" s="30">
        <v>185</v>
      </c>
      <c r="N7" s="34">
        <v>322</v>
      </c>
      <c r="O7" s="39">
        <v>0.49099999999999999</v>
      </c>
      <c r="P7" s="39">
        <v>0.49</v>
      </c>
      <c r="Q7" s="15">
        <f t="shared" si="1"/>
        <v>145.85405405405405</v>
      </c>
      <c r="R7" s="15">
        <f t="shared" si="2"/>
        <v>54955.193482688395</v>
      </c>
      <c r="S7" s="44">
        <f t="shared" si="3"/>
        <v>1.2615976465263636</v>
      </c>
      <c r="T7" s="5" t="s">
        <v>169</v>
      </c>
      <c r="U7" t="s">
        <v>284</v>
      </c>
      <c r="V7" t="s">
        <v>285</v>
      </c>
      <c r="W7" t="s">
        <v>171</v>
      </c>
      <c r="X7">
        <v>0</v>
      </c>
      <c r="Y7">
        <v>0</v>
      </c>
      <c r="Z7" t="s">
        <v>40</v>
      </c>
      <c r="AA7" s="6" t="s">
        <v>41</v>
      </c>
    </row>
    <row r="8" spans="1:30" x14ac:dyDescent="0.3">
      <c r="A8" t="s">
        <v>356</v>
      </c>
      <c r="B8" t="s">
        <v>357</v>
      </c>
      <c r="C8" s="25">
        <v>45114</v>
      </c>
      <c r="D8" s="15">
        <v>650000</v>
      </c>
      <c r="E8" t="s">
        <v>133</v>
      </c>
      <c r="F8" t="s">
        <v>35</v>
      </c>
      <c r="G8" s="15">
        <v>650000</v>
      </c>
      <c r="K8" s="15">
        <v>30000</v>
      </c>
      <c r="M8" s="30">
        <v>170</v>
      </c>
      <c r="N8" s="34">
        <v>350</v>
      </c>
      <c r="P8" s="39">
        <v>1.04</v>
      </c>
      <c r="Q8" s="15">
        <v>176</v>
      </c>
      <c r="R8" s="15">
        <v>28846</v>
      </c>
      <c r="S8" s="44">
        <v>0.66</v>
      </c>
      <c r="T8" s="5"/>
      <c r="AA8" s="6"/>
    </row>
    <row r="9" spans="1:30" ht="15" thickBot="1" x14ac:dyDescent="0.35">
      <c r="T9" s="5"/>
      <c r="AA9" s="6"/>
    </row>
    <row r="10" spans="1:30" ht="15" thickTop="1" x14ac:dyDescent="0.3">
      <c r="A10" s="8"/>
      <c r="B10" s="8"/>
      <c r="C10" s="26" t="s">
        <v>303</v>
      </c>
      <c r="D10" s="16">
        <f>SUM(D3:D8)</f>
        <v>2135000</v>
      </c>
      <c r="E10" s="8"/>
      <c r="F10" s="8"/>
      <c r="G10" s="16">
        <f>+SUM(G3:G7)</f>
        <v>1445000</v>
      </c>
      <c r="H10" s="16">
        <f>+SUM(H3:H7)</f>
        <v>406100</v>
      </c>
      <c r="I10" s="21"/>
      <c r="J10" s="16">
        <f>+SUM(J3:J7)</f>
        <v>1069076</v>
      </c>
      <c r="K10" s="16">
        <f>SUM(K3:K7)</f>
        <v>556015</v>
      </c>
      <c r="L10" s="16">
        <f>+SUM(L3:L7)</f>
        <v>175624</v>
      </c>
      <c r="M10" s="31">
        <v>1206</v>
      </c>
      <c r="N10" s="35"/>
      <c r="O10" s="40">
        <f>+SUM(O3:O7)</f>
        <v>7.7530000000000001</v>
      </c>
      <c r="P10" s="40">
        <v>8.7899999999999991</v>
      </c>
      <c r="Q10" s="16">
        <v>461</v>
      </c>
      <c r="R10" s="16">
        <v>63225</v>
      </c>
      <c r="S10" s="45">
        <v>1.45</v>
      </c>
      <c r="T10" s="9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3">
      <c r="A11" s="10"/>
      <c r="B11" s="10"/>
      <c r="C11" s="27"/>
      <c r="D11" s="17"/>
      <c r="E11" s="10"/>
      <c r="F11" s="10"/>
      <c r="G11" s="17"/>
      <c r="H11" s="17" t="s">
        <v>304</v>
      </c>
      <c r="I11" s="22">
        <f>H10/G10*100</f>
        <v>28.103806228373703</v>
      </c>
      <c r="J11" s="17"/>
      <c r="K11" s="17"/>
      <c r="L11" s="17" t="s">
        <v>305</v>
      </c>
      <c r="M11" s="32"/>
      <c r="N11" s="36"/>
      <c r="O11" s="41" t="s">
        <v>305</v>
      </c>
      <c r="P11" s="41"/>
      <c r="Q11" s="17"/>
      <c r="R11" s="17" t="s">
        <v>305</v>
      </c>
      <c r="S11" s="46"/>
      <c r="T11" s="11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x14ac:dyDescent="0.3">
      <c r="A12" s="12"/>
      <c r="B12" s="12"/>
      <c r="C12" s="28"/>
      <c r="D12" s="18"/>
      <c r="E12" s="12"/>
      <c r="F12" s="12"/>
      <c r="G12" s="18"/>
      <c r="H12" s="18" t="s">
        <v>306</v>
      </c>
      <c r="I12" s="23">
        <f>STDEV(I3:I7)</f>
        <v>10.61771035948829</v>
      </c>
      <c r="J12" s="18"/>
      <c r="K12" s="18"/>
      <c r="L12" s="18" t="s">
        <v>307</v>
      </c>
      <c r="M12" s="48"/>
      <c r="N12" s="37"/>
      <c r="O12" s="42" t="s">
        <v>308</v>
      </c>
      <c r="P12" s="42"/>
      <c r="Q12" s="18"/>
      <c r="R12" s="18" t="s">
        <v>309</v>
      </c>
      <c r="S12" s="47">
        <v>1.45</v>
      </c>
      <c r="T12" s="13"/>
      <c r="U12" s="12"/>
      <c r="V12" s="12"/>
      <c r="W12" s="12"/>
      <c r="X12" s="12"/>
      <c r="Y12" s="12"/>
      <c r="Z12" s="12"/>
      <c r="AA12" s="12"/>
      <c r="AB12" s="12"/>
      <c r="AC12" s="12"/>
      <c r="AD12" s="12"/>
    </row>
    <row r="14" spans="1:30" x14ac:dyDescent="0.3">
      <c r="B14" s="166" t="s">
        <v>353</v>
      </c>
      <c r="Q14" s="15" t="s">
        <v>359</v>
      </c>
      <c r="R14" s="196" t="s">
        <v>358</v>
      </c>
      <c r="S14" s="195" t="s">
        <v>352</v>
      </c>
    </row>
    <row r="15" spans="1:30" x14ac:dyDescent="0.3">
      <c r="B15" s="166" t="s">
        <v>355</v>
      </c>
    </row>
  </sheetData>
  <conditionalFormatting sqref="A3:AD9">
    <cfRule type="expression" dxfId="1" priority="5" stopIfTrue="1">
      <formula>MOD(ROW(),4)&gt;1</formula>
    </cfRule>
    <cfRule type="expression" dxfId="0" priority="6" stopIfTrue="1">
      <formula>MOD(ROW(),4)&lt;2</formula>
    </cfRule>
  </conditionalFormatting>
  <pageMargins left="0.7" right="0.7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Land Analysis</vt:lpstr>
      <vt:lpstr>four twp comm</vt:lpstr>
      <vt:lpstr>Big Four</vt:lpstr>
      <vt:lpstr>Out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Porterfield</dc:creator>
  <cp:lastModifiedBy>Joel</cp:lastModifiedBy>
  <cp:lastPrinted>2024-02-29T18:37:07Z</cp:lastPrinted>
  <dcterms:created xsi:type="dcterms:W3CDTF">2023-11-14T20:05:27Z</dcterms:created>
  <dcterms:modified xsi:type="dcterms:W3CDTF">2025-03-23T14:29:22Z</dcterms:modified>
</cp:coreProperties>
</file>