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docs.live.net/9eaf8fb4547fb9a9/Documents/Sa11y Docs/Operational Docs/Templates/"/>
    </mc:Choice>
  </mc:AlternateContent>
  <xr:revisionPtr revIDLastSave="289" documentId="8_{925BF9A3-7682-46DB-A55E-8A4ABCD84F04}" xr6:coauthVersionLast="47" xr6:coauthVersionMax="47" xr10:uidLastSave="{7D3364AB-C704-44D4-BD30-95BE54FFEF9E}"/>
  <bookViews>
    <workbookView xWindow="-28920" yWindow="-120" windowWidth="29040" windowHeight="15720" xr2:uid="{D4303323-B093-4EC5-87D1-6D3259FFE6BF}"/>
  </bookViews>
  <sheets>
    <sheet name="Use and Instructions" sheetId="17" r:id="rId1"/>
    <sheet name="Executive Summary" sheetId="8" r:id="rId2"/>
    <sheet name="Empirical Scores" sheetId="16" r:id="rId3"/>
    <sheet name="Findings Overview" sheetId="15" r:id="rId4"/>
    <sheet name="Report Entry" sheetId="1" r:id="rId5"/>
    <sheet name="Custom Test Script" sheetId="14" r:id="rId6"/>
    <sheet name="Examples" sheetId="3" r:id="rId7"/>
    <sheet name="Success Criteria Help" sheetId="4" r:id="rId8"/>
    <sheet name="Topic Code Help" sheetId="6" r:id="rId9"/>
    <sheet name="Findings Breakdown" sheetId="5" r:id="rId10"/>
    <sheet name="Validations List" sheetId="2" r:id="rId11"/>
  </sheets>
  <definedNames>
    <definedName name="_xlnm._FilterDatabase" localSheetId="9" hidden="1">'Findings Breakdown'!$A$1:$H$1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4" l="1"/>
  <c r="C4" i="4"/>
  <c r="D4" i="4"/>
  <c r="B5" i="4"/>
  <c r="C5" i="4"/>
  <c r="D5" i="4"/>
  <c r="B6" i="4"/>
  <c r="C6" i="4"/>
  <c r="D6" i="4"/>
  <c r="B7" i="4"/>
  <c r="C7" i="4"/>
  <c r="D7" i="4"/>
  <c r="B8" i="4"/>
  <c r="C8" i="4"/>
  <c r="D8" i="4"/>
  <c r="D3" i="4"/>
  <c r="B3" i="4"/>
  <c r="C3" i="4"/>
  <c r="C22" i="1"/>
  <c r="C21" i="1"/>
  <c r="C20" i="1"/>
  <c r="C19" i="1"/>
  <c r="C18" i="1"/>
  <c r="C17" i="1"/>
  <c r="C16" i="1"/>
  <c r="B110" i="14"/>
  <c r="K110" i="14" s="1"/>
  <c r="E383" i="2"/>
  <c r="F383" i="2"/>
  <c r="E379" i="2"/>
  <c r="F379" i="2"/>
  <c r="E378" i="2"/>
  <c r="F378" i="2"/>
  <c r="E367" i="2"/>
  <c r="F367" i="2"/>
  <c r="E361" i="2"/>
  <c r="F361" i="2"/>
  <c r="E360" i="2"/>
  <c r="F360" i="2"/>
  <c r="E359" i="2"/>
  <c r="F359" i="2"/>
  <c r="E358" i="2"/>
  <c r="F358" i="2"/>
  <c r="E353" i="2"/>
  <c r="F353" i="2"/>
  <c r="E352" i="2"/>
  <c r="F352" i="2"/>
  <c r="E327" i="2"/>
  <c r="F327" i="2"/>
  <c r="E345" i="2"/>
  <c r="F345" i="2"/>
  <c r="E344" i="2"/>
  <c r="F344" i="2"/>
  <c r="E324" i="2"/>
  <c r="F324" i="2"/>
  <c r="E323" i="2"/>
  <c r="F323" i="2"/>
  <c r="E320" i="2"/>
  <c r="F320" i="2"/>
  <c r="E319" i="2"/>
  <c r="F319" i="2"/>
  <c r="E318" i="2"/>
  <c r="F318" i="2"/>
  <c r="E317" i="2"/>
  <c r="F317" i="2"/>
  <c r="E283" i="2"/>
  <c r="F283" i="2"/>
  <c r="E256" i="2"/>
  <c r="F256" i="2"/>
  <c r="E255" i="2"/>
  <c r="F255" i="2"/>
  <c r="E254" i="2"/>
  <c r="F254" i="2"/>
  <c r="E253" i="2"/>
  <c r="F253" i="2"/>
  <c r="E302" i="2"/>
  <c r="F302" i="2"/>
  <c r="E273" i="2"/>
  <c r="F273" i="2"/>
  <c r="E252" i="2"/>
  <c r="F252" i="2"/>
  <c r="E233" i="2"/>
  <c r="F233" i="2"/>
  <c r="E232" i="2"/>
  <c r="F232" i="2"/>
  <c r="E375" i="2"/>
  <c r="F375" i="2"/>
  <c r="E364" i="2"/>
  <c r="F364" i="2"/>
  <c r="E363" i="2"/>
  <c r="F363" i="2"/>
  <c r="E350" i="2"/>
  <c r="F350" i="2"/>
  <c r="E341" i="2"/>
  <c r="F341" i="2"/>
  <c r="E288" i="2"/>
  <c r="F288" i="2"/>
  <c r="E284" i="2"/>
  <c r="F284" i="2"/>
  <c r="E289" i="2"/>
  <c r="F289" i="2"/>
  <c r="J26" i="1"/>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4" i="2"/>
  <c r="E231" i="2"/>
  <c r="E365" i="2"/>
  <c r="E227" i="2"/>
  <c r="E229" i="2"/>
  <c r="E228" i="2"/>
  <c r="E230" i="2"/>
  <c r="E236" i="2"/>
  <c r="E237" i="2"/>
  <c r="E234" i="2"/>
  <c r="E260" i="2"/>
  <c r="E261" i="2"/>
  <c r="E340" i="2"/>
  <c r="E372" i="2"/>
  <c r="E373" i="2"/>
  <c r="E263" i="2"/>
  <c r="E268" i="2"/>
  <c r="E374" i="2"/>
  <c r="E264" i="2"/>
  <c r="E348" i="2"/>
  <c r="E331" i="2"/>
  <c r="E332" i="2"/>
  <c r="E257" i="2"/>
  <c r="E258" i="2"/>
  <c r="E259" i="2"/>
  <c r="E262" i="2"/>
  <c r="E275" i="2"/>
  <c r="E384" i="2"/>
  <c r="E265" i="2"/>
  <c r="E266" i="2"/>
  <c r="E267" i="2"/>
  <c r="E276" i="2"/>
  <c r="E387" i="2"/>
  <c r="E388" i="2"/>
  <c r="E308" i="2"/>
  <c r="E389" i="2"/>
  <c r="E269" i="2"/>
  <c r="E338" i="2"/>
  <c r="E366" i="2"/>
  <c r="E270" i="2"/>
  <c r="E271" i="2"/>
  <c r="E272" i="2"/>
  <c r="E356" i="2"/>
  <c r="E357" i="2"/>
  <c r="E390" i="2"/>
  <c r="E312" i="2"/>
  <c r="E313" i="2"/>
  <c r="E314" i="2"/>
  <c r="E362" i="2"/>
  <c r="E326" i="2"/>
  <c r="E339" i="2"/>
  <c r="E369" i="2"/>
  <c r="E371" i="2"/>
  <c r="E376" i="2"/>
  <c r="E370" i="2"/>
  <c r="E377" i="2"/>
  <c r="E385" i="2"/>
  <c r="E386" i="2"/>
  <c r="E282" i="2"/>
  <c r="E346" i="2"/>
  <c r="E347" i="2"/>
  <c r="E354" i="2"/>
  <c r="E355" i="2"/>
  <c r="E368" i="2"/>
  <c r="E380" i="2"/>
  <c r="E381" i="2"/>
  <c r="E382" i="2"/>
  <c r="E295" i="2"/>
  <c r="E299" i="2"/>
  <c r="E296" i="2"/>
  <c r="E300" i="2"/>
  <c r="E301" i="2"/>
  <c r="E304" i="2"/>
  <c r="E285" i="2"/>
  <c r="E279" i="2"/>
  <c r="E297" i="2"/>
  <c r="E298" i="2"/>
  <c r="E286" i="2"/>
  <c r="E287" i="2"/>
  <c r="E290" i="2"/>
  <c r="E303" i="2"/>
  <c r="E281" i="2"/>
  <c r="E235" i="2"/>
  <c r="E280" i="2"/>
  <c r="E277" i="2"/>
  <c r="E278" i="2"/>
  <c r="E305" i="2"/>
  <c r="E306" i="2"/>
  <c r="E309" i="2"/>
  <c r="E307" i="2"/>
  <c r="E274" i="2"/>
  <c r="E310" i="2"/>
  <c r="E342" i="2"/>
  <c r="E343" i="2"/>
  <c r="E328" i="2"/>
  <c r="E329" i="2"/>
  <c r="E330" i="2"/>
  <c r="E333" i="2"/>
  <c r="E334" i="2"/>
  <c r="E325" i="2"/>
  <c r="E335" i="2"/>
  <c r="E336" i="2"/>
  <c r="E337" i="2"/>
  <c r="E291" i="2"/>
  <c r="E292" i="2"/>
  <c r="E293" i="2"/>
  <c r="E311" i="2"/>
  <c r="E349" i="2"/>
  <c r="E351" i="2"/>
  <c r="E238" i="2"/>
  <c r="E239" i="2"/>
  <c r="E240" i="2"/>
  <c r="E241" i="2"/>
  <c r="E242" i="2"/>
  <c r="E243" i="2"/>
  <c r="E244" i="2"/>
  <c r="E245" i="2"/>
  <c r="E246" i="2"/>
  <c r="E247" i="2"/>
  <c r="E251" i="2"/>
  <c r="E248" i="2"/>
  <c r="E249" i="2"/>
  <c r="E250" i="2"/>
  <c r="E294" i="2"/>
  <c r="E315" i="2"/>
  <c r="E316" i="2"/>
  <c r="E321" i="2"/>
  <c r="E322" i="2"/>
  <c r="F231" i="2"/>
  <c r="F365" i="2"/>
  <c r="F227" i="2"/>
  <c r="F229" i="2"/>
  <c r="F228" i="2"/>
  <c r="F230" i="2"/>
  <c r="F236" i="2"/>
  <c r="F237" i="2"/>
  <c r="F234" i="2"/>
  <c r="F260" i="2"/>
  <c r="F261" i="2"/>
  <c r="F340" i="2"/>
  <c r="F372" i="2"/>
  <c r="F373" i="2"/>
  <c r="F263" i="2"/>
  <c r="F268" i="2"/>
  <c r="F374" i="2"/>
  <c r="F264" i="2"/>
  <c r="F348" i="2"/>
  <c r="F331" i="2"/>
  <c r="F332" i="2"/>
  <c r="F257" i="2"/>
  <c r="F258" i="2"/>
  <c r="F259" i="2"/>
  <c r="F262" i="2"/>
  <c r="F275" i="2"/>
  <c r="F384" i="2"/>
  <c r="F265" i="2"/>
  <c r="F266" i="2"/>
  <c r="F267" i="2"/>
  <c r="F276" i="2"/>
  <c r="F387" i="2"/>
  <c r="F388" i="2"/>
  <c r="F308" i="2"/>
  <c r="F389" i="2"/>
  <c r="F269" i="2"/>
  <c r="F338" i="2"/>
  <c r="F366" i="2"/>
  <c r="F270" i="2"/>
  <c r="F271" i="2"/>
  <c r="F272" i="2"/>
  <c r="F356" i="2"/>
  <c r="F357" i="2"/>
  <c r="F390" i="2"/>
  <c r="F312" i="2"/>
  <c r="F313" i="2"/>
  <c r="F314" i="2"/>
  <c r="F362" i="2"/>
  <c r="F326" i="2"/>
  <c r="F339" i="2"/>
  <c r="F369" i="2"/>
  <c r="F371" i="2"/>
  <c r="F376" i="2"/>
  <c r="F370" i="2"/>
  <c r="F377" i="2"/>
  <c r="F385" i="2"/>
  <c r="F386" i="2"/>
  <c r="F282" i="2"/>
  <c r="F346" i="2"/>
  <c r="F347" i="2"/>
  <c r="F354" i="2"/>
  <c r="F355" i="2"/>
  <c r="F368" i="2"/>
  <c r="F380" i="2"/>
  <c r="F381" i="2"/>
  <c r="F382" i="2"/>
  <c r="F295" i="2"/>
  <c r="F299" i="2"/>
  <c r="F296" i="2"/>
  <c r="F300" i="2"/>
  <c r="F301" i="2"/>
  <c r="F304" i="2"/>
  <c r="F285" i="2"/>
  <c r="F279" i="2"/>
  <c r="F297" i="2"/>
  <c r="F298" i="2"/>
  <c r="F286" i="2"/>
  <c r="F290" i="2"/>
  <c r="F303" i="2"/>
  <c r="F281" i="2"/>
  <c r="F235" i="2"/>
  <c r="F280" i="2"/>
  <c r="F277" i="2"/>
  <c r="F278" i="2"/>
  <c r="F305" i="2"/>
  <c r="F306" i="2"/>
  <c r="F309" i="2"/>
  <c r="F307" i="2"/>
  <c r="F274" i="2"/>
  <c r="F310" i="2"/>
  <c r="F342" i="2"/>
  <c r="F343" i="2"/>
  <c r="F328" i="2"/>
  <c r="F329" i="2"/>
  <c r="F330" i="2"/>
  <c r="F333" i="2"/>
  <c r="F334" i="2"/>
  <c r="F325" i="2"/>
  <c r="F335" i="2"/>
  <c r="F336" i="2"/>
  <c r="F337" i="2"/>
  <c r="F291" i="2"/>
  <c r="F292" i="2"/>
  <c r="F293" i="2"/>
  <c r="F311" i="2"/>
  <c r="F349" i="2"/>
  <c r="F351" i="2"/>
  <c r="F238" i="2"/>
  <c r="F239" i="2"/>
  <c r="F240" i="2"/>
  <c r="F241" i="2"/>
  <c r="F242" i="2"/>
  <c r="F243" i="2"/>
  <c r="F244" i="2"/>
  <c r="F245" i="2"/>
  <c r="F246" i="2"/>
  <c r="F247" i="2"/>
  <c r="F251" i="2"/>
  <c r="F248" i="2"/>
  <c r="F249" i="2"/>
  <c r="F250" i="2"/>
  <c r="F294" i="2"/>
  <c r="F315" i="2"/>
  <c r="F316" i="2"/>
  <c r="F321" i="2"/>
  <c r="F322" i="2"/>
  <c r="F287" i="2"/>
  <c r="B2" i="5"/>
  <c r="I26" i="1"/>
  <c r="B69" i="5"/>
  <c r="B43" i="5"/>
  <c r="H94" i="5" a="1"/>
  <c r="H94" i="5" s="1"/>
  <c r="K94" i="5" s="1"/>
  <c r="H93" i="5" a="1"/>
  <c r="H93" i="5" s="1"/>
  <c r="K93" i="5" s="1"/>
  <c r="H92" i="5" a="1"/>
  <c r="H92" i="5" s="1"/>
  <c r="K92" i="5" s="1"/>
  <c r="H91" i="5" a="1"/>
  <c r="H91" i="5" s="1"/>
  <c r="K91" i="5" s="1"/>
  <c r="H90" i="5" a="1"/>
  <c r="H90" i="5" s="1"/>
  <c r="K90" i="5" s="1"/>
  <c r="H89" i="5" a="1"/>
  <c r="H89" i="5" s="1"/>
  <c r="K89" i="5" s="1"/>
  <c r="H88" i="5" a="1"/>
  <c r="H88" i="5" s="1"/>
  <c r="K88" i="5" s="1"/>
  <c r="H87" i="5" a="1"/>
  <c r="H87" i="5" s="1"/>
  <c r="K87" i="5" s="1"/>
  <c r="H86" i="5" a="1"/>
  <c r="H86" i="5" s="1"/>
  <c r="K86" i="5" s="1"/>
  <c r="H66" i="5" a="1"/>
  <c r="H66" i="5" s="1"/>
  <c r="K66" i="5" s="1"/>
  <c r="B94" i="5"/>
  <c r="B93" i="5"/>
  <c r="B92" i="5"/>
  <c r="B91" i="5"/>
  <c r="B90" i="5"/>
  <c r="B89" i="5"/>
  <c r="B88" i="5"/>
  <c r="B87" i="5"/>
  <c r="B86" i="5"/>
  <c r="I163" i="1"/>
  <c r="J163" i="1"/>
  <c r="I164" i="1"/>
  <c r="J164" i="1"/>
  <c r="I165" i="1"/>
  <c r="J165" i="1"/>
  <c r="B67" i="5"/>
  <c r="B68" i="5"/>
  <c r="B70" i="5"/>
  <c r="B71" i="5"/>
  <c r="B72" i="5"/>
  <c r="B73" i="5"/>
  <c r="B74" i="5"/>
  <c r="B75" i="5"/>
  <c r="B76" i="5"/>
  <c r="B77" i="5"/>
  <c r="B78" i="5"/>
  <c r="B79" i="5"/>
  <c r="B80" i="5"/>
  <c r="B81" i="5"/>
  <c r="B82" i="5"/>
  <c r="B66" i="5"/>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4" i="5"/>
  <c r="B45" i="5"/>
  <c r="B46" i="5"/>
  <c r="B47" i="5"/>
  <c r="B48" i="5"/>
  <c r="B49" i="5"/>
  <c r="B50" i="5"/>
  <c r="B51" i="5"/>
  <c r="B52" i="5"/>
  <c r="B53" i="5"/>
  <c r="B54" i="5"/>
  <c r="B55" i="5"/>
  <c r="B56" i="5"/>
  <c r="B57" i="5"/>
  <c r="B58" i="5"/>
  <c r="B59" i="5"/>
  <c r="B60" i="5"/>
  <c r="B61" i="5"/>
  <c r="B62" i="5"/>
  <c r="B3" i="14"/>
  <c r="J3" i="14" s="1"/>
  <c r="C3" i="14"/>
  <c r="B4" i="14"/>
  <c r="J4" i="14" s="1"/>
  <c r="C4" i="14"/>
  <c r="B5" i="14"/>
  <c r="K5" i="14" s="1"/>
  <c r="C5" i="14"/>
  <c r="B6" i="14"/>
  <c r="K6" i="14" s="1"/>
  <c r="C6" i="14"/>
  <c r="B7" i="14"/>
  <c r="K7" i="14" s="1"/>
  <c r="C7" i="14"/>
  <c r="B8" i="14"/>
  <c r="K8" i="14" s="1"/>
  <c r="C8" i="14"/>
  <c r="B9" i="14"/>
  <c r="K9" i="14" s="1"/>
  <c r="C9" i="14"/>
  <c r="B10" i="14"/>
  <c r="J10" i="14" s="1"/>
  <c r="C10" i="14"/>
  <c r="B11" i="14"/>
  <c r="K11" i="14" s="1"/>
  <c r="C11" i="14"/>
  <c r="B12" i="14"/>
  <c r="J12" i="14" s="1"/>
  <c r="C12" i="14"/>
  <c r="B13" i="14"/>
  <c r="J13" i="14" s="1"/>
  <c r="C13" i="14"/>
  <c r="B14" i="14"/>
  <c r="K14" i="14" s="1"/>
  <c r="C14" i="14"/>
  <c r="B15" i="14"/>
  <c r="J15" i="14" s="1"/>
  <c r="C15" i="14"/>
  <c r="B16" i="14"/>
  <c r="J16" i="14" s="1"/>
  <c r="C16" i="14"/>
  <c r="B17" i="14"/>
  <c r="K17" i="14" s="1"/>
  <c r="C17" i="14"/>
  <c r="B18" i="14"/>
  <c r="K18" i="14" s="1"/>
  <c r="C18" i="14"/>
  <c r="B19" i="14"/>
  <c r="K19" i="14" s="1"/>
  <c r="C19" i="14"/>
  <c r="B20" i="14"/>
  <c r="K20" i="14" s="1"/>
  <c r="C20" i="14"/>
  <c r="B21" i="14"/>
  <c r="K21" i="14" s="1"/>
  <c r="C21" i="14"/>
  <c r="B22" i="14"/>
  <c r="J22" i="14" s="1"/>
  <c r="C22" i="14"/>
  <c r="B23" i="14"/>
  <c r="K23" i="14" s="1"/>
  <c r="C23" i="14"/>
  <c r="B24" i="14"/>
  <c r="J24" i="14" s="1"/>
  <c r="C24" i="14"/>
  <c r="B25" i="14"/>
  <c r="J25" i="14" s="1"/>
  <c r="C25" i="14"/>
  <c r="B26" i="14"/>
  <c r="K26" i="14" s="1"/>
  <c r="C26" i="14"/>
  <c r="B27" i="14"/>
  <c r="J27" i="14" s="1"/>
  <c r="C27" i="14"/>
  <c r="B28" i="14"/>
  <c r="J28" i="14" s="1"/>
  <c r="C28" i="14"/>
  <c r="B29" i="14"/>
  <c r="K29" i="14" s="1"/>
  <c r="C29" i="14"/>
  <c r="B30" i="14"/>
  <c r="K30" i="14" s="1"/>
  <c r="C30" i="14"/>
  <c r="B31" i="14"/>
  <c r="K31" i="14" s="1"/>
  <c r="C31" i="14"/>
  <c r="B32" i="14"/>
  <c r="K32" i="14" s="1"/>
  <c r="C32" i="14"/>
  <c r="B33" i="14"/>
  <c r="K33" i="14" s="1"/>
  <c r="C33" i="14"/>
  <c r="B34" i="14"/>
  <c r="J34" i="14" s="1"/>
  <c r="C34" i="14"/>
  <c r="B35" i="14"/>
  <c r="K35" i="14" s="1"/>
  <c r="C35" i="14"/>
  <c r="B36" i="14"/>
  <c r="J36" i="14" s="1"/>
  <c r="C36" i="14"/>
  <c r="B37" i="14"/>
  <c r="J37" i="14" s="1"/>
  <c r="C37" i="14"/>
  <c r="B38" i="14"/>
  <c r="K38" i="14" s="1"/>
  <c r="C38" i="14"/>
  <c r="B39" i="14"/>
  <c r="J39" i="14" s="1"/>
  <c r="C39" i="14"/>
  <c r="B40" i="14"/>
  <c r="J40" i="14" s="1"/>
  <c r="C40" i="14"/>
  <c r="B41" i="14"/>
  <c r="K41" i="14" s="1"/>
  <c r="C41" i="14"/>
  <c r="B42" i="14"/>
  <c r="K42" i="14" s="1"/>
  <c r="C42" i="14"/>
  <c r="B43" i="14"/>
  <c r="K43" i="14" s="1"/>
  <c r="C43" i="14"/>
  <c r="B44" i="14"/>
  <c r="K44" i="14" s="1"/>
  <c r="C44" i="14"/>
  <c r="B45" i="14"/>
  <c r="K45" i="14" s="1"/>
  <c r="C45" i="14"/>
  <c r="B46" i="14"/>
  <c r="J46" i="14" s="1"/>
  <c r="C46" i="14"/>
  <c r="B47" i="14"/>
  <c r="K47" i="14" s="1"/>
  <c r="C47" i="14"/>
  <c r="B48" i="14"/>
  <c r="J48" i="14" s="1"/>
  <c r="C48" i="14"/>
  <c r="B49" i="14"/>
  <c r="J49" i="14" s="1"/>
  <c r="C49" i="14"/>
  <c r="B50" i="14"/>
  <c r="K50" i="14" s="1"/>
  <c r="C50" i="14"/>
  <c r="B51" i="14"/>
  <c r="J51" i="14" s="1"/>
  <c r="C51" i="14"/>
  <c r="B52" i="14"/>
  <c r="J52" i="14" s="1"/>
  <c r="C52" i="14"/>
  <c r="B53" i="14"/>
  <c r="K53" i="14" s="1"/>
  <c r="C53" i="14"/>
  <c r="B54" i="14"/>
  <c r="K54" i="14" s="1"/>
  <c r="C54" i="14"/>
  <c r="B55" i="14"/>
  <c r="K55" i="14" s="1"/>
  <c r="C55" i="14"/>
  <c r="B56" i="14"/>
  <c r="K56" i="14" s="1"/>
  <c r="C56" i="14"/>
  <c r="B57" i="14"/>
  <c r="K57" i="14" s="1"/>
  <c r="C57" i="14"/>
  <c r="B58" i="14"/>
  <c r="J58" i="14" s="1"/>
  <c r="C58" i="14"/>
  <c r="B59" i="14"/>
  <c r="K59" i="14" s="1"/>
  <c r="C59" i="14"/>
  <c r="B60" i="14"/>
  <c r="J60" i="14" s="1"/>
  <c r="C60" i="14"/>
  <c r="B61" i="14"/>
  <c r="K61" i="14" s="1"/>
  <c r="C61" i="14"/>
  <c r="B62" i="14"/>
  <c r="K62" i="14" s="1"/>
  <c r="C62" i="14"/>
  <c r="B63" i="14"/>
  <c r="J63" i="14" s="1"/>
  <c r="C63" i="14"/>
  <c r="B64" i="14"/>
  <c r="J64" i="14" s="1"/>
  <c r="C64" i="14"/>
  <c r="B65" i="14"/>
  <c r="K65" i="14" s="1"/>
  <c r="C65" i="14"/>
  <c r="B66" i="14"/>
  <c r="K66" i="14" s="1"/>
  <c r="C66" i="14"/>
  <c r="B67" i="14"/>
  <c r="K67" i="14" s="1"/>
  <c r="C67" i="14"/>
  <c r="B68" i="14"/>
  <c r="K68" i="14" s="1"/>
  <c r="C68" i="14"/>
  <c r="B69" i="14"/>
  <c r="K69" i="14" s="1"/>
  <c r="C69" i="14"/>
  <c r="B70" i="14"/>
  <c r="J70" i="14" s="1"/>
  <c r="C70" i="14"/>
  <c r="B71" i="14"/>
  <c r="K71" i="14" s="1"/>
  <c r="C71" i="14"/>
  <c r="B72" i="14"/>
  <c r="J72" i="14" s="1"/>
  <c r="C72" i="14"/>
  <c r="B73" i="14"/>
  <c r="J73" i="14" s="1"/>
  <c r="C73" i="14"/>
  <c r="B74" i="14"/>
  <c r="K74" i="14" s="1"/>
  <c r="C74" i="14"/>
  <c r="B75" i="14"/>
  <c r="J75" i="14" s="1"/>
  <c r="C75" i="14"/>
  <c r="B76" i="14"/>
  <c r="J76" i="14" s="1"/>
  <c r="C76" i="14"/>
  <c r="B77" i="14"/>
  <c r="K77" i="14" s="1"/>
  <c r="C77" i="14"/>
  <c r="B78" i="14"/>
  <c r="K78" i="14" s="1"/>
  <c r="C78" i="14"/>
  <c r="B79" i="14"/>
  <c r="K79" i="14" s="1"/>
  <c r="C79" i="14"/>
  <c r="B80" i="14"/>
  <c r="K80" i="14" s="1"/>
  <c r="C80" i="14"/>
  <c r="B81" i="14"/>
  <c r="K81" i="14" s="1"/>
  <c r="C81" i="14"/>
  <c r="B82" i="14"/>
  <c r="J82" i="14" s="1"/>
  <c r="C82" i="14"/>
  <c r="B83" i="14"/>
  <c r="K83" i="14" s="1"/>
  <c r="C83" i="14"/>
  <c r="B84" i="14"/>
  <c r="J84" i="14" s="1"/>
  <c r="C84" i="14"/>
  <c r="B85" i="14"/>
  <c r="J85" i="14" s="1"/>
  <c r="C85" i="14"/>
  <c r="B86" i="14"/>
  <c r="K86" i="14" s="1"/>
  <c r="C86" i="14"/>
  <c r="B87" i="14"/>
  <c r="J87" i="14" s="1"/>
  <c r="C87" i="14"/>
  <c r="B88" i="14"/>
  <c r="J88" i="14" s="1"/>
  <c r="C88" i="14"/>
  <c r="B89" i="14"/>
  <c r="K89" i="14" s="1"/>
  <c r="C89" i="14"/>
  <c r="B90" i="14"/>
  <c r="K90" i="14" s="1"/>
  <c r="C90" i="14"/>
  <c r="B91" i="14"/>
  <c r="K91" i="14" s="1"/>
  <c r="C91" i="14"/>
  <c r="B92" i="14"/>
  <c r="K92" i="14" s="1"/>
  <c r="C92" i="14"/>
  <c r="B93" i="14"/>
  <c r="K93" i="14" s="1"/>
  <c r="C93" i="14"/>
  <c r="B94" i="14"/>
  <c r="J94" i="14" s="1"/>
  <c r="C94" i="14"/>
  <c r="B95" i="14"/>
  <c r="K95" i="14" s="1"/>
  <c r="C95" i="14"/>
  <c r="B96" i="14"/>
  <c r="J96" i="14" s="1"/>
  <c r="C96" i="14"/>
  <c r="B97" i="14"/>
  <c r="J97" i="14" s="1"/>
  <c r="C97" i="14"/>
  <c r="B98" i="14"/>
  <c r="K98" i="14" s="1"/>
  <c r="C98" i="14"/>
  <c r="B99" i="14"/>
  <c r="J99" i="14" s="1"/>
  <c r="C99" i="14"/>
  <c r="B100" i="14"/>
  <c r="J100" i="14" s="1"/>
  <c r="C100" i="14"/>
  <c r="B101" i="14"/>
  <c r="K101" i="14" s="1"/>
  <c r="C101" i="14"/>
  <c r="B102" i="14"/>
  <c r="K102" i="14" s="1"/>
  <c r="C102" i="14"/>
  <c r="B103" i="14"/>
  <c r="K103" i="14" s="1"/>
  <c r="C103" i="14"/>
  <c r="B104" i="14"/>
  <c r="K104" i="14" s="1"/>
  <c r="C104" i="14"/>
  <c r="B105" i="14"/>
  <c r="K105" i="14" s="1"/>
  <c r="C105" i="14"/>
  <c r="B106" i="14"/>
  <c r="J106" i="14" s="1"/>
  <c r="C106" i="14"/>
  <c r="B107" i="14"/>
  <c r="K107" i="14" s="1"/>
  <c r="C107" i="14"/>
  <c r="B108" i="14"/>
  <c r="J108" i="14" s="1"/>
  <c r="C108" i="14"/>
  <c r="B109" i="14"/>
  <c r="J109" i="14" s="1"/>
  <c r="C109" i="14"/>
  <c r="C110" i="14"/>
  <c r="B111" i="14"/>
  <c r="J111" i="14" s="1"/>
  <c r="C111" i="14"/>
  <c r="B112" i="14"/>
  <c r="J112" i="14" s="1"/>
  <c r="C112" i="14"/>
  <c r="B113" i="14"/>
  <c r="K113" i="14" s="1"/>
  <c r="C113" i="14"/>
  <c r="B114" i="14"/>
  <c r="K114" i="14" s="1"/>
  <c r="C114" i="14"/>
  <c r="B115" i="14"/>
  <c r="K115" i="14" s="1"/>
  <c r="C115" i="14"/>
  <c r="B116" i="14"/>
  <c r="K116" i="14" s="1"/>
  <c r="C116" i="14"/>
  <c r="B117" i="14"/>
  <c r="K117" i="14" s="1"/>
  <c r="C117" i="14"/>
  <c r="B118" i="14"/>
  <c r="J118" i="14" s="1"/>
  <c r="C118" i="14"/>
  <c r="B119" i="14"/>
  <c r="K119" i="14" s="1"/>
  <c r="C119" i="14"/>
  <c r="B120" i="14"/>
  <c r="J120" i="14" s="1"/>
  <c r="C120" i="14"/>
  <c r="B121" i="14"/>
  <c r="J121" i="14" s="1"/>
  <c r="C121" i="14"/>
  <c r="B122" i="14"/>
  <c r="K122" i="14" s="1"/>
  <c r="C122" i="14"/>
  <c r="B123" i="14"/>
  <c r="J123" i="14" s="1"/>
  <c r="C123" i="14"/>
  <c r="B124" i="14"/>
  <c r="J124" i="14" s="1"/>
  <c r="C124" i="14"/>
  <c r="B125" i="14"/>
  <c r="K125" i="14" s="1"/>
  <c r="C125" i="14"/>
  <c r="B126" i="14"/>
  <c r="K126" i="14" s="1"/>
  <c r="C126" i="14"/>
  <c r="B127" i="14"/>
  <c r="K127" i="14" s="1"/>
  <c r="C127" i="14"/>
  <c r="B128" i="14"/>
  <c r="K128" i="14" s="1"/>
  <c r="C128" i="14"/>
  <c r="B129" i="14"/>
  <c r="K129" i="14" s="1"/>
  <c r="C129" i="14"/>
  <c r="B130" i="14"/>
  <c r="J130" i="14" s="1"/>
  <c r="C130" i="14"/>
  <c r="B131" i="14"/>
  <c r="K131" i="14" s="1"/>
  <c r="C131" i="14"/>
  <c r="B132" i="14"/>
  <c r="J132" i="14" s="1"/>
  <c r="C132" i="14"/>
  <c r="B133" i="14"/>
  <c r="J133" i="14" s="1"/>
  <c r="C133" i="14"/>
  <c r="B134" i="14"/>
  <c r="K134" i="14" s="1"/>
  <c r="C134" i="14"/>
  <c r="B135" i="14"/>
  <c r="J135" i="14" s="1"/>
  <c r="C135" i="14"/>
  <c r="B136" i="14"/>
  <c r="J136" i="14" s="1"/>
  <c r="C136" i="14"/>
  <c r="B137" i="14"/>
  <c r="K137" i="14" s="1"/>
  <c r="C137" i="14"/>
  <c r="B138" i="14"/>
  <c r="K138" i="14" s="1"/>
  <c r="C138" i="14"/>
  <c r="B139" i="14"/>
  <c r="K139" i="14" s="1"/>
  <c r="C139" i="14"/>
  <c r="B140" i="14"/>
  <c r="K140" i="14" s="1"/>
  <c r="C140" i="14"/>
  <c r="B141" i="14"/>
  <c r="K141" i="14" s="1"/>
  <c r="C141" i="14"/>
  <c r="B2" i="14"/>
  <c r="J2" i="14" s="1"/>
  <c r="C2" i="14"/>
  <c r="I28" i="1"/>
  <c r="J28" i="1"/>
  <c r="I29" i="1"/>
  <c r="J29" i="1"/>
  <c r="I30" i="1"/>
  <c r="J30" i="1"/>
  <c r="I31" i="1"/>
  <c r="J31" i="1"/>
  <c r="I32" i="1"/>
  <c r="J32" i="1"/>
  <c r="I33" i="1"/>
  <c r="J33" i="1"/>
  <c r="I34" i="1"/>
  <c r="J34" i="1"/>
  <c r="I35" i="1"/>
  <c r="J35" i="1"/>
  <c r="I36" i="1"/>
  <c r="J36" i="1"/>
  <c r="I37" i="1"/>
  <c r="J37" i="1"/>
  <c r="I38" i="1"/>
  <c r="J38" i="1"/>
  <c r="I39" i="1"/>
  <c r="J39" i="1"/>
  <c r="I40" i="1"/>
  <c r="J40" i="1"/>
  <c r="I41" i="1"/>
  <c r="J41" i="1"/>
  <c r="I42" i="1"/>
  <c r="J42" i="1"/>
  <c r="I43" i="1"/>
  <c r="J43" i="1"/>
  <c r="I44" i="1"/>
  <c r="J44" i="1"/>
  <c r="I45" i="1"/>
  <c r="J45" i="1"/>
  <c r="I46" i="1"/>
  <c r="J46" i="1"/>
  <c r="I47" i="1"/>
  <c r="J47" i="1"/>
  <c r="I48" i="1"/>
  <c r="J48" i="1"/>
  <c r="I49" i="1"/>
  <c r="J49" i="1"/>
  <c r="I50" i="1"/>
  <c r="J50" i="1"/>
  <c r="I51" i="1"/>
  <c r="J51" i="1"/>
  <c r="I52" i="1"/>
  <c r="J52" i="1"/>
  <c r="I53" i="1"/>
  <c r="J53" i="1"/>
  <c r="I54" i="1"/>
  <c r="J54" i="1"/>
  <c r="I55" i="1"/>
  <c r="J55" i="1"/>
  <c r="I56" i="1"/>
  <c r="J56" i="1"/>
  <c r="I57" i="1"/>
  <c r="J57" i="1"/>
  <c r="I58" i="1"/>
  <c r="J58" i="1"/>
  <c r="I59" i="1"/>
  <c r="J59" i="1"/>
  <c r="I60" i="1"/>
  <c r="J60" i="1"/>
  <c r="I61" i="1"/>
  <c r="J61" i="1"/>
  <c r="I62" i="1"/>
  <c r="J62" i="1"/>
  <c r="I63" i="1"/>
  <c r="J63" i="1"/>
  <c r="I64" i="1"/>
  <c r="J64" i="1"/>
  <c r="I65" i="1"/>
  <c r="J65" i="1"/>
  <c r="I66" i="1"/>
  <c r="J66" i="1"/>
  <c r="I67" i="1"/>
  <c r="J67" i="1"/>
  <c r="I68" i="1"/>
  <c r="J68" i="1"/>
  <c r="I69" i="1"/>
  <c r="J69" i="1"/>
  <c r="I70" i="1"/>
  <c r="J70" i="1"/>
  <c r="I71" i="1"/>
  <c r="J71" i="1"/>
  <c r="I72" i="1"/>
  <c r="J72" i="1"/>
  <c r="I73" i="1"/>
  <c r="J73" i="1"/>
  <c r="I74" i="1"/>
  <c r="J74" i="1"/>
  <c r="I75" i="1"/>
  <c r="J75" i="1"/>
  <c r="I76" i="1"/>
  <c r="J76" i="1"/>
  <c r="I77" i="1"/>
  <c r="J77" i="1"/>
  <c r="I78" i="1"/>
  <c r="J78" i="1"/>
  <c r="I79" i="1"/>
  <c r="J79" i="1"/>
  <c r="I80" i="1"/>
  <c r="J80" i="1"/>
  <c r="I81" i="1"/>
  <c r="J81" i="1"/>
  <c r="I82" i="1"/>
  <c r="J82" i="1"/>
  <c r="I83" i="1"/>
  <c r="J83" i="1"/>
  <c r="I84" i="1"/>
  <c r="J84" i="1"/>
  <c r="I85" i="1"/>
  <c r="J85" i="1"/>
  <c r="I86" i="1"/>
  <c r="J86" i="1"/>
  <c r="I87" i="1"/>
  <c r="J87" i="1"/>
  <c r="I88" i="1"/>
  <c r="J88" i="1"/>
  <c r="I89" i="1"/>
  <c r="J89" i="1"/>
  <c r="I90" i="1"/>
  <c r="J90" i="1"/>
  <c r="I91" i="1"/>
  <c r="J91" i="1"/>
  <c r="I92" i="1"/>
  <c r="J92" i="1"/>
  <c r="I93" i="1"/>
  <c r="J93" i="1"/>
  <c r="I94" i="1"/>
  <c r="J94" i="1"/>
  <c r="I95" i="1"/>
  <c r="J95" i="1"/>
  <c r="I96" i="1"/>
  <c r="J96" i="1"/>
  <c r="I97" i="1"/>
  <c r="J97" i="1"/>
  <c r="I98" i="1"/>
  <c r="J98" i="1"/>
  <c r="I99" i="1"/>
  <c r="J99" i="1"/>
  <c r="I100" i="1"/>
  <c r="J100" i="1"/>
  <c r="I101" i="1"/>
  <c r="J101" i="1"/>
  <c r="I102" i="1"/>
  <c r="J102" i="1"/>
  <c r="I103" i="1"/>
  <c r="J103" i="1"/>
  <c r="I104" i="1"/>
  <c r="J104" i="1"/>
  <c r="I105" i="1"/>
  <c r="J105" i="1"/>
  <c r="I106" i="1"/>
  <c r="J106" i="1"/>
  <c r="I107" i="1"/>
  <c r="J107" i="1"/>
  <c r="I108" i="1"/>
  <c r="J108" i="1"/>
  <c r="I109" i="1"/>
  <c r="J109" i="1"/>
  <c r="I110" i="1"/>
  <c r="J110" i="1"/>
  <c r="I111" i="1"/>
  <c r="J111" i="1"/>
  <c r="I112" i="1"/>
  <c r="J112" i="1"/>
  <c r="I113" i="1"/>
  <c r="J113" i="1"/>
  <c r="I114" i="1"/>
  <c r="J114" i="1"/>
  <c r="I115" i="1"/>
  <c r="J115" i="1"/>
  <c r="I116" i="1"/>
  <c r="J116" i="1"/>
  <c r="I117" i="1"/>
  <c r="J117" i="1"/>
  <c r="I118" i="1"/>
  <c r="J118" i="1"/>
  <c r="I119" i="1"/>
  <c r="J119" i="1"/>
  <c r="I120" i="1"/>
  <c r="J120" i="1"/>
  <c r="I121" i="1"/>
  <c r="J121" i="1"/>
  <c r="I122" i="1"/>
  <c r="J122" i="1"/>
  <c r="I123" i="1"/>
  <c r="J123" i="1"/>
  <c r="I124" i="1"/>
  <c r="J124" i="1"/>
  <c r="I125" i="1"/>
  <c r="J125" i="1"/>
  <c r="I126" i="1"/>
  <c r="J126" i="1"/>
  <c r="I127" i="1"/>
  <c r="J127" i="1"/>
  <c r="I128" i="1"/>
  <c r="J128" i="1"/>
  <c r="I129" i="1"/>
  <c r="J129" i="1"/>
  <c r="I130" i="1"/>
  <c r="J130" i="1"/>
  <c r="I131" i="1"/>
  <c r="J131" i="1"/>
  <c r="I132" i="1"/>
  <c r="J132" i="1"/>
  <c r="I133" i="1"/>
  <c r="J133" i="1"/>
  <c r="I134" i="1"/>
  <c r="J134" i="1"/>
  <c r="I135" i="1"/>
  <c r="J135" i="1"/>
  <c r="I136" i="1"/>
  <c r="J136" i="1"/>
  <c r="I137" i="1"/>
  <c r="J137" i="1"/>
  <c r="I138" i="1"/>
  <c r="J138" i="1"/>
  <c r="I139" i="1"/>
  <c r="J139" i="1"/>
  <c r="I140" i="1"/>
  <c r="J140" i="1"/>
  <c r="I141" i="1"/>
  <c r="J141" i="1"/>
  <c r="I142" i="1"/>
  <c r="J142" i="1"/>
  <c r="I143" i="1"/>
  <c r="J143" i="1"/>
  <c r="I144" i="1"/>
  <c r="J144" i="1"/>
  <c r="I145" i="1"/>
  <c r="J145" i="1"/>
  <c r="I146" i="1"/>
  <c r="J146" i="1"/>
  <c r="I147" i="1"/>
  <c r="J147" i="1"/>
  <c r="I148" i="1"/>
  <c r="J148" i="1"/>
  <c r="I149" i="1"/>
  <c r="J149" i="1"/>
  <c r="I150" i="1"/>
  <c r="J150" i="1"/>
  <c r="I151" i="1"/>
  <c r="J151" i="1"/>
  <c r="I152" i="1"/>
  <c r="J152" i="1"/>
  <c r="I153" i="1"/>
  <c r="J153" i="1"/>
  <c r="I154" i="1"/>
  <c r="J154" i="1"/>
  <c r="I155" i="1"/>
  <c r="J155" i="1"/>
  <c r="I156" i="1"/>
  <c r="J156" i="1"/>
  <c r="I157" i="1"/>
  <c r="J157" i="1"/>
  <c r="I158" i="1"/>
  <c r="J158" i="1"/>
  <c r="I159" i="1"/>
  <c r="J159" i="1"/>
  <c r="I160" i="1"/>
  <c r="J160" i="1"/>
  <c r="I161" i="1"/>
  <c r="J161" i="1"/>
  <c r="I162" i="1"/>
  <c r="J162" i="1"/>
  <c r="I27" i="1"/>
  <c r="J27" i="1"/>
  <c r="H82" i="5" a="1"/>
  <c r="H82" i="5" s="1"/>
  <c r="K82" i="5" s="1"/>
  <c r="H81" i="5" a="1"/>
  <c r="H81" i="5" s="1"/>
  <c r="K81" i="5" s="1"/>
  <c r="H80" i="5" a="1"/>
  <c r="H80" i="5" s="1"/>
  <c r="K80" i="5" s="1"/>
  <c r="H79" i="5" a="1"/>
  <c r="H79" i="5" s="1"/>
  <c r="K79" i="5" s="1"/>
  <c r="H78" i="5" a="1"/>
  <c r="H78" i="5" s="1"/>
  <c r="K78" i="5" s="1"/>
  <c r="H77" i="5" a="1"/>
  <c r="H77" i="5" s="1"/>
  <c r="K77" i="5" s="1"/>
  <c r="H76" i="5" a="1"/>
  <c r="H76" i="5" s="1"/>
  <c r="K76" i="5" s="1"/>
  <c r="H75" i="5" a="1"/>
  <c r="H75" i="5" s="1"/>
  <c r="K75" i="5" s="1"/>
  <c r="H74" i="5" a="1"/>
  <c r="H74" i="5" s="1"/>
  <c r="K74" i="5" s="1"/>
  <c r="H73" i="5" a="1"/>
  <c r="H73" i="5" s="1"/>
  <c r="K73" i="5" s="1"/>
  <c r="H72" i="5" a="1"/>
  <c r="H72" i="5" s="1"/>
  <c r="K72" i="5" s="1"/>
  <c r="H71" i="5" a="1"/>
  <c r="H71" i="5" s="1"/>
  <c r="K71" i="5" s="1"/>
  <c r="H70" i="5" a="1"/>
  <c r="H70" i="5" s="1"/>
  <c r="K70" i="5" s="1"/>
  <c r="H69" i="5" a="1"/>
  <c r="H69" i="5" s="1"/>
  <c r="K69" i="5" s="1"/>
  <c r="H68" i="5" a="1"/>
  <c r="H68" i="5" s="1"/>
  <c r="K68" i="5" s="1"/>
  <c r="H67" i="5" a="1"/>
  <c r="H67" i="5" s="1"/>
  <c r="K67" i="5" s="1"/>
  <c r="H2" i="5" a="1"/>
  <c r="H2" i="5" s="1"/>
  <c r="K2" i="5" s="1"/>
  <c r="J61" i="14" l="1"/>
  <c r="C23" i="1"/>
  <c r="B18" i="8" s="1"/>
  <c r="I2" i="2"/>
  <c r="C55" i="5"/>
  <c r="C56" i="5"/>
  <c r="J75" i="5"/>
  <c r="N75" i="5" s="1"/>
  <c r="J88" i="5"/>
  <c r="Z88" i="5" s="1"/>
  <c r="J67" i="5"/>
  <c r="Z67" i="5" s="1"/>
  <c r="J70" i="5"/>
  <c r="N70" i="5" s="1"/>
  <c r="J71" i="5"/>
  <c r="T71" i="5" s="1"/>
  <c r="J73" i="5"/>
  <c r="P73" i="5" s="1"/>
  <c r="J79" i="5"/>
  <c r="N79" i="5" s="1"/>
  <c r="J69" i="5"/>
  <c r="X69" i="5" s="1"/>
  <c r="J93" i="5"/>
  <c r="P93" i="5" s="1"/>
  <c r="J66" i="5"/>
  <c r="P66" i="5" s="1"/>
  <c r="J89" i="5"/>
  <c r="X89" i="5" s="1"/>
  <c r="J2" i="5"/>
  <c r="N2" i="5" s="1"/>
  <c r="J82" i="5"/>
  <c r="N82" i="5" s="1"/>
  <c r="J90" i="5"/>
  <c r="V90" i="5" s="1"/>
  <c r="J78" i="5"/>
  <c r="R78" i="5" s="1"/>
  <c r="J92" i="5"/>
  <c r="R92" i="5" s="1"/>
  <c r="J77" i="5"/>
  <c r="N77" i="5" s="1"/>
  <c r="J91" i="5"/>
  <c r="T91" i="5" s="1"/>
  <c r="J76" i="5"/>
  <c r="V76" i="5" s="1"/>
  <c r="J74" i="5"/>
  <c r="Z74" i="5" s="1"/>
  <c r="J94" i="5"/>
  <c r="Z94" i="5" s="1"/>
  <c r="J87" i="5"/>
  <c r="P87" i="5" s="1"/>
  <c r="J68" i="5"/>
  <c r="N68" i="5" s="1"/>
  <c r="J80" i="5"/>
  <c r="N80" i="5" s="1"/>
  <c r="J81" i="5"/>
  <c r="X81" i="5" s="1"/>
  <c r="J86" i="5"/>
  <c r="R86" i="5" s="1"/>
  <c r="J72" i="5"/>
  <c r="L94" i="5"/>
  <c r="L87" i="5"/>
  <c r="L93" i="5"/>
  <c r="L67" i="5"/>
  <c r="L70" i="5"/>
  <c r="L71" i="5"/>
  <c r="L72" i="5"/>
  <c r="L73" i="5"/>
  <c r="L79" i="5"/>
  <c r="L80" i="5"/>
  <c r="L82" i="5"/>
  <c r="L68" i="5"/>
  <c r="L69" i="5"/>
  <c r="L81" i="5"/>
  <c r="L88" i="5"/>
  <c r="L86" i="5"/>
  <c r="L74" i="5"/>
  <c r="L89" i="5"/>
  <c r="L75" i="5"/>
  <c r="L90" i="5"/>
  <c r="L76" i="5"/>
  <c r="L91" i="5"/>
  <c r="L77" i="5"/>
  <c r="L92" i="5"/>
  <c r="L66" i="5"/>
  <c r="L78" i="5"/>
  <c r="L2" i="5"/>
  <c r="K28" i="14"/>
  <c r="J71" i="14"/>
  <c r="K99" i="14"/>
  <c r="K27" i="14"/>
  <c r="J47" i="14"/>
  <c r="K111" i="14"/>
  <c r="K88" i="14"/>
  <c r="K16" i="14"/>
  <c r="J35" i="14"/>
  <c r="K39" i="14"/>
  <c r="K87" i="14"/>
  <c r="K15" i="14"/>
  <c r="J23" i="14"/>
  <c r="K100" i="14"/>
  <c r="K76" i="14"/>
  <c r="K4" i="14"/>
  <c r="J11" i="14"/>
  <c r="K75" i="14"/>
  <c r="J59" i="14"/>
  <c r="K136" i="14"/>
  <c r="K64" i="14"/>
  <c r="J131" i="14"/>
  <c r="K135" i="14"/>
  <c r="K63" i="14"/>
  <c r="J119" i="14"/>
  <c r="K124" i="14"/>
  <c r="K52" i="14"/>
  <c r="J107" i="14"/>
  <c r="K123" i="14"/>
  <c r="K51" i="14"/>
  <c r="J95" i="14"/>
  <c r="K112" i="14"/>
  <c r="K40" i="14"/>
  <c r="J83" i="14"/>
  <c r="K133" i="14"/>
  <c r="K121" i="14"/>
  <c r="K109" i="14"/>
  <c r="K97" i="14"/>
  <c r="K85" i="14"/>
  <c r="K73" i="14"/>
  <c r="K49" i="14"/>
  <c r="K37" i="14"/>
  <c r="K25" i="14"/>
  <c r="K13" i="14"/>
  <c r="J141" i="14"/>
  <c r="J129" i="14"/>
  <c r="J117" i="14"/>
  <c r="J105" i="14"/>
  <c r="J93" i="14"/>
  <c r="J81" i="14"/>
  <c r="J69" i="14"/>
  <c r="J57" i="14"/>
  <c r="J45" i="14"/>
  <c r="J33" i="14"/>
  <c r="J21" i="14"/>
  <c r="J9" i="14"/>
  <c r="K132" i="14"/>
  <c r="K120" i="14"/>
  <c r="K108" i="14"/>
  <c r="K96" i="14"/>
  <c r="K84" i="14"/>
  <c r="K72" i="14"/>
  <c r="K60" i="14"/>
  <c r="K48" i="14"/>
  <c r="K36" i="14"/>
  <c r="K24" i="14"/>
  <c r="K12" i="14"/>
  <c r="J140" i="14"/>
  <c r="J128" i="14"/>
  <c r="J116" i="14"/>
  <c r="J104" i="14"/>
  <c r="J92" i="14"/>
  <c r="J80" i="14"/>
  <c r="J68" i="14"/>
  <c r="J56" i="14"/>
  <c r="J44" i="14"/>
  <c r="J32" i="14"/>
  <c r="J20" i="14"/>
  <c r="J8" i="14"/>
  <c r="K3" i="14"/>
  <c r="J139" i="14"/>
  <c r="J127" i="14"/>
  <c r="J115" i="14"/>
  <c r="J103" i="14"/>
  <c r="J91" i="14"/>
  <c r="J79" i="14"/>
  <c r="J67" i="14"/>
  <c r="J55" i="14"/>
  <c r="J43" i="14"/>
  <c r="J31" i="14"/>
  <c r="J19" i="14"/>
  <c r="J7" i="14"/>
  <c r="K2" i="14"/>
  <c r="K130" i="14"/>
  <c r="K118" i="14"/>
  <c r="K106" i="14"/>
  <c r="K94" i="14"/>
  <c r="K82" i="14"/>
  <c r="K70" i="14"/>
  <c r="K58" i="14"/>
  <c r="K46" i="14"/>
  <c r="K34" i="14"/>
  <c r="K22" i="14"/>
  <c r="K10" i="14"/>
  <c r="J138" i="14"/>
  <c r="J126" i="14"/>
  <c r="J114" i="14"/>
  <c r="J102" i="14"/>
  <c r="J90" i="14"/>
  <c r="J78" i="14"/>
  <c r="J66" i="14"/>
  <c r="J54" i="14"/>
  <c r="J42" i="14"/>
  <c r="J30" i="14"/>
  <c r="J18" i="14"/>
  <c r="J6" i="14"/>
  <c r="J137" i="14"/>
  <c r="J125" i="14"/>
  <c r="J113" i="14"/>
  <c r="J101" i="14"/>
  <c r="J89" i="14"/>
  <c r="J77" i="14"/>
  <c r="J65" i="14"/>
  <c r="J53" i="14"/>
  <c r="J41" i="14"/>
  <c r="J29" i="14"/>
  <c r="J17" i="14"/>
  <c r="J5" i="14"/>
  <c r="J134" i="14"/>
  <c r="J122" i="14"/>
  <c r="J110" i="14"/>
  <c r="J98" i="14"/>
  <c r="J86" i="14"/>
  <c r="J74" i="14"/>
  <c r="J62" i="14"/>
  <c r="J50" i="14"/>
  <c r="J38" i="14"/>
  <c r="J26" i="14"/>
  <c r="J14" i="14"/>
  <c r="G57" i="5"/>
  <c r="F16" i="5"/>
  <c r="F90" i="5"/>
  <c r="F22" i="5"/>
  <c r="G7" i="5"/>
  <c r="F24" i="5"/>
  <c r="G9" i="5"/>
  <c r="F34" i="5"/>
  <c r="G19" i="5"/>
  <c r="F36" i="5"/>
  <c r="G21" i="5"/>
  <c r="F46" i="5"/>
  <c r="G31" i="5"/>
  <c r="F48" i="5"/>
  <c r="G43" i="5"/>
  <c r="F58" i="5"/>
  <c r="G55" i="5"/>
  <c r="F60" i="5"/>
  <c r="E94" i="5"/>
  <c r="F4" i="5"/>
  <c r="F73" i="5"/>
  <c r="G70" i="5"/>
  <c r="F10" i="5"/>
  <c r="F75" i="5"/>
  <c r="G72" i="5"/>
  <c r="F12" i="5"/>
  <c r="F88" i="5"/>
  <c r="G82" i="5"/>
  <c r="F11" i="5"/>
  <c r="F23" i="5"/>
  <c r="F35" i="5"/>
  <c r="F47" i="5"/>
  <c r="F59" i="5"/>
  <c r="F74" i="5"/>
  <c r="F89" i="5"/>
  <c r="G8" i="5"/>
  <c r="G20" i="5"/>
  <c r="G32" i="5"/>
  <c r="G44" i="5"/>
  <c r="G56" i="5"/>
  <c r="G71" i="5"/>
  <c r="G86" i="5"/>
  <c r="F13" i="5"/>
  <c r="F25" i="5"/>
  <c r="F37" i="5"/>
  <c r="F49" i="5"/>
  <c r="F61" i="5"/>
  <c r="F76" i="5"/>
  <c r="F91" i="5"/>
  <c r="G10" i="5"/>
  <c r="G22" i="5"/>
  <c r="G33" i="5"/>
  <c r="G46" i="5"/>
  <c r="G58" i="5"/>
  <c r="G73" i="5"/>
  <c r="G88" i="5"/>
  <c r="G34" i="5"/>
  <c r="G45" i="5"/>
  <c r="G87" i="5"/>
  <c r="F2" i="5"/>
  <c r="F14" i="5"/>
  <c r="F26" i="5"/>
  <c r="F38" i="5"/>
  <c r="F50" i="5"/>
  <c r="F62" i="5"/>
  <c r="F77" i="5"/>
  <c r="F92" i="5"/>
  <c r="G11" i="5"/>
  <c r="G23" i="5"/>
  <c r="G35" i="5"/>
  <c r="G47" i="5"/>
  <c r="G59" i="5"/>
  <c r="G74" i="5"/>
  <c r="G89" i="5"/>
  <c r="F3" i="5"/>
  <c r="F15" i="5"/>
  <c r="F27" i="5"/>
  <c r="F39" i="5"/>
  <c r="F51" i="5"/>
  <c r="F66" i="5"/>
  <c r="F78" i="5"/>
  <c r="F93" i="5"/>
  <c r="G12" i="5"/>
  <c r="G24" i="5"/>
  <c r="G36" i="5"/>
  <c r="G48" i="5"/>
  <c r="G60" i="5"/>
  <c r="G75" i="5"/>
  <c r="G90" i="5"/>
  <c r="F40" i="5"/>
  <c r="F52" i="5"/>
  <c r="F67" i="5"/>
  <c r="F79" i="5"/>
  <c r="F94" i="5"/>
  <c r="G13" i="5"/>
  <c r="G25" i="5"/>
  <c r="G37" i="5"/>
  <c r="G49" i="5"/>
  <c r="G61" i="5"/>
  <c r="G76" i="5"/>
  <c r="G91" i="5"/>
  <c r="F5" i="5"/>
  <c r="F17" i="5"/>
  <c r="F29" i="5"/>
  <c r="F41" i="5"/>
  <c r="F53" i="5"/>
  <c r="F68" i="5"/>
  <c r="F80" i="5"/>
  <c r="G2" i="5"/>
  <c r="G14" i="5"/>
  <c r="G26" i="5"/>
  <c r="G38" i="5"/>
  <c r="G50" i="5"/>
  <c r="G62" i="5"/>
  <c r="G77" i="5"/>
  <c r="G92" i="5"/>
  <c r="F28" i="5"/>
  <c r="F6" i="5"/>
  <c r="F18" i="5"/>
  <c r="F30" i="5"/>
  <c r="F42" i="5"/>
  <c r="F54" i="5"/>
  <c r="F69" i="5"/>
  <c r="F81" i="5"/>
  <c r="G3" i="5"/>
  <c r="G15" i="5"/>
  <c r="G27" i="5"/>
  <c r="G39" i="5"/>
  <c r="G51" i="5"/>
  <c r="G66" i="5"/>
  <c r="G78" i="5"/>
  <c r="G93" i="5"/>
  <c r="F31" i="5"/>
  <c r="F43" i="5"/>
  <c r="F82" i="5"/>
  <c r="G4" i="5"/>
  <c r="G16" i="5"/>
  <c r="G28" i="5"/>
  <c r="G40" i="5"/>
  <c r="G52" i="5"/>
  <c r="G67" i="5"/>
  <c r="G79" i="5"/>
  <c r="G94" i="5"/>
  <c r="F7" i="5"/>
  <c r="F55" i="5"/>
  <c r="F8" i="5"/>
  <c r="F20" i="5"/>
  <c r="F32" i="5"/>
  <c r="F44" i="5"/>
  <c r="F56" i="5"/>
  <c r="F71" i="5"/>
  <c r="F86" i="5"/>
  <c r="G5" i="5"/>
  <c r="G17" i="5"/>
  <c r="G29" i="5"/>
  <c r="G41" i="5"/>
  <c r="G53" i="5"/>
  <c r="G68" i="5"/>
  <c r="G80" i="5"/>
  <c r="F19" i="5"/>
  <c r="F70" i="5"/>
  <c r="F9" i="5"/>
  <c r="F21" i="5"/>
  <c r="F33" i="5"/>
  <c r="F45" i="5"/>
  <c r="F57" i="5"/>
  <c r="F72" i="5"/>
  <c r="F87" i="5"/>
  <c r="G6" i="5"/>
  <c r="G18" i="5"/>
  <c r="G30" i="5"/>
  <c r="G42" i="5"/>
  <c r="G54" i="5"/>
  <c r="G69" i="5"/>
  <c r="G81" i="5"/>
  <c r="C73" i="5"/>
  <c r="C7" i="5"/>
  <c r="C19" i="5"/>
  <c r="C31" i="5"/>
  <c r="C43" i="5"/>
  <c r="C90" i="5"/>
  <c r="D9" i="5"/>
  <c r="D21" i="5"/>
  <c r="D33" i="5"/>
  <c r="D45" i="5"/>
  <c r="D57" i="5"/>
  <c r="D71" i="5"/>
  <c r="D86" i="5"/>
  <c r="E5" i="5"/>
  <c r="E17" i="5"/>
  <c r="E29" i="5"/>
  <c r="E41" i="5"/>
  <c r="E53" i="5"/>
  <c r="E68" i="5"/>
  <c r="E80" i="5"/>
  <c r="C74" i="5"/>
  <c r="C8" i="5"/>
  <c r="C20" i="5"/>
  <c r="C32" i="5"/>
  <c r="C44" i="5"/>
  <c r="C91" i="5"/>
  <c r="D10" i="5"/>
  <c r="D22" i="5"/>
  <c r="D34" i="5"/>
  <c r="D46" i="5"/>
  <c r="D58" i="5"/>
  <c r="D72" i="5"/>
  <c r="D87" i="5"/>
  <c r="E6" i="5"/>
  <c r="E18" i="5"/>
  <c r="E30" i="5"/>
  <c r="E42" i="5"/>
  <c r="E54" i="5"/>
  <c r="E69" i="5"/>
  <c r="E81" i="5"/>
  <c r="C2" i="5"/>
  <c r="C75" i="5"/>
  <c r="C9" i="5"/>
  <c r="C21" i="5"/>
  <c r="C33" i="5"/>
  <c r="C45" i="5"/>
  <c r="C57" i="5"/>
  <c r="C92" i="5"/>
  <c r="D11" i="5"/>
  <c r="D23" i="5"/>
  <c r="D35" i="5"/>
  <c r="D47" i="5"/>
  <c r="D59" i="5"/>
  <c r="D73" i="5"/>
  <c r="D88" i="5"/>
  <c r="E7" i="5"/>
  <c r="E19" i="5"/>
  <c r="E31" i="5"/>
  <c r="E43" i="5"/>
  <c r="E55" i="5"/>
  <c r="E70" i="5"/>
  <c r="E82" i="5"/>
  <c r="C3" i="5"/>
  <c r="C76" i="5"/>
  <c r="C10" i="5"/>
  <c r="C22" i="5"/>
  <c r="C34" i="5"/>
  <c r="C46" i="5"/>
  <c r="C58" i="5"/>
  <c r="C93" i="5"/>
  <c r="D12" i="5"/>
  <c r="D24" i="5"/>
  <c r="D36" i="5"/>
  <c r="D48" i="5"/>
  <c r="D60" i="5"/>
  <c r="D74" i="5"/>
  <c r="D89" i="5"/>
  <c r="E8" i="5"/>
  <c r="E20" i="5"/>
  <c r="E32" i="5"/>
  <c r="E44" i="5"/>
  <c r="E56" i="5"/>
  <c r="E71" i="5"/>
  <c r="E86" i="5"/>
  <c r="C4" i="5"/>
  <c r="C77" i="5"/>
  <c r="C11" i="5"/>
  <c r="C23" i="5"/>
  <c r="C35" i="5"/>
  <c r="C47" i="5"/>
  <c r="C59" i="5"/>
  <c r="C94" i="5"/>
  <c r="D13" i="5"/>
  <c r="D25" i="5"/>
  <c r="D37" i="5"/>
  <c r="D49" i="5"/>
  <c r="D61" i="5"/>
  <c r="D75" i="5"/>
  <c r="D90" i="5"/>
  <c r="E9" i="5"/>
  <c r="E21" i="5"/>
  <c r="E33" i="5"/>
  <c r="E45" i="5"/>
  <c r="E57" i="5"/>
  <c r="E72" i="5"/>
  <c r="E87" i="5"/>
  <c r="C5" i="5"/>
  <c r="C78" i="5"/>
  <c r="C12" i="5"/>
  <c r="C24" i="5"/>
  <c r="C36" i="5"/>
  <c r="C48" i="5"/>
  <c r="C60" i="5"/>
  <c r="D2" i="5"/>
  <c r="D14" i="5"/>
  <c r="D26" i="5"/>
  <c r="D38" i="5"/>
  <c r="D50" i="5"/>
  <c r="D62" i="5"/>
  <c r="D76" i="5"/>
  <c r="D91" i="5"/>
  <c r="E10" i="5"/>
  <c r="E22" i="5"/>
  <c r="E34" i="5"/>
  <c r="E46" i="5"/>
  <c r="E58" i="5"/>
  <c r="E73" i="5"/>
  <c r="E88" i="5"/>
  <c r="C67" i="5"/>
  <c r="C79" i="5"/>
  <c r="C13" i="5"/>
  <c r="C25" i="5"/>
  <c r="C37" i="5"/>
  <c r="C49" i="5"/>
  <c r="C61" i="5"/>
  <c r="D3" i="5"/>
  <c r="D15" i="5"/>
  <c r="D27" i="5"/>
  <c r="D39" i="5"/>
  <c r="D51" i="5"/>
  <c r="C66" i="5"/>
  <c r="D77" i="5"/>
  <c r="D92" i="5"/>
  <c r="E11" i="5"/>
  <c r="E23" i="5"/>
  <c r="E35" i="5"/>
  <c r="E47" i="5"/>
  <c r="E59" i="5"/>
  <c r="E74" i="5"/>
  <c r="E89" i="5"/>
  <c r="C68" i="5"/>
  <c r="C80" i="5"/>
  <c r="C14" i="5"/>
  <c r="C26" i="5"/>
  <c r="C38" i="5"/>
  <c r="C50" i="5"/>
  <c r="C62" i="5"/>
  <c r="D4" i="5"/>
  <c r="D16" i="5"/>
  <c r="D28" i="5"/>
  <c r="D40" i="5"/>
  <c r="D52" i="5"/>
  <c r="D66" i="5"/>
  <c r="D78" i="5"/>
  <c r="D93" i="5"/>
  <c r="E12" i="5"/>
  <c r="E24" i="5"/>
  <c r="E36" i="5"/>
  <c r="E48" i="5"/>
  <c r="E60" i="5"/>
  <c r="E75" i="5"/>
  <c r="E90" i="5"/>
  <c r="C69" i="5"/>
  <c r="C81" i="5"/>
  <c r="C15" i="5"/>
  <c r="C27" i="5"/>
  <c r="C39" i="5"/>
  <c r="C51" i="5"/>
  <c r="C86" i="5"/>
  <c r="D5" i="5"/>
  <c r="D17" i="5"/>
  <c r="D29" i="5"/>
  <c r="D41" i="5"/>
  <c r="D53" i="5"/>
  <c r="D67" i="5"/>
  <c r="D79" i="5"/>
  <c r="D94" i="5"/>
  <c r="E13" i="5"/>
  <c r="E25" i="5"/>
  <c r="E37" i="5"/>
  <c r="E49" i="5"/>
  <c r="E61" i="5"/>
  <c r="E76" i="5"/>
  <c r="E91" i="5"/>
  <c r="C70" i="5"/>
  <c r="C82" i="5"/>
  <c r="C16" i="5"/>
  <c r="C28" i="5"/>
  <c r="C40" i="5"/>
  <c r="C52" i="5"/>
  <c r="C87" i="5"/>
  <c r="D6" i="5"/>
  <c r="D18" i="5"/>
  <c r="D30" i="5"/>
  <c r="D42" i="5"/>
  <c r="D54" i="5"/>
  <c r="D68" i="5"/>
  <c r="D80" i="5"/>
  <c r="E2" i="5"/>
  <c r="E14" i="5"/>
  <c r="E26" i="5"/>
  <c r="E38" i="5"/>
  <c r="E50" i="5"/>
  <c r="E62" i="5"/>
  <c r="E77" i="5"/>
  <c r="E92" i="5"/>
  <c r="C71" i="5"/>
  <c r="C17" i="5"/>
  <c r="C29" i="5"/>
  <c r="C41" i="5"/>
  <c r="C53" i="5"/>
  <c r="C88" i="5"/>
  <c r="D7" i="5"/>
  <c r="D19" i="5"/>
  <c r="D31" i="5"/>
  <c r="D43" i="5"/>
  <c r="D55" i="5"/>
  <c r="D69" i="5"/>
  <c r="D81" i="5"/>
  <c r="E3" i="5"/>
  <c r="E15" i="5"/>
  <c r="E27" i="5"/>
  <c r="E39" i="5"/>
  <c r="E51" i="5"/>
  <c r="E66" i="5"/>
  <c r="E78" i="5"/>
  <c r="E93" i="5"/>
  <c r="C72" i="5"/>
  <c r="C6" i="5"/>
  <c r="C18" i="5"/>
  <c r="C30" i="5"/>
  <c r="C42" i="5"/>
  <c r="C54" i="5"/>
  <c r="C89" i="5"/>
  <c r="D8" i="5"/>
  <c r="D20" i="5"/>
  <c r="D32" i="5"/>
  <c r="D44" i="5"/>
  <c r="D56" i="5"/>
  <c r="D70" i="5"/>
  <c r="D82" i="5"/>
  <c r="E4" i="5"/>
  <c r="E16" i="5"/>
  <c r="E28" i="5"/>
  <c r="E40" i="5"/>
  <c r="E52" i="5"/>
  <c r="E67" i="5"/>
  <c r="E79" i="5"/>
  <c r="U2" i="2"/>
  <c r="S2" i="2"/>
  <c r="Q2" i="2"/>
  <c r="O2" i="2"/>
  <c r="P2" i="2"/>
  <c r="N2" i="2"/>
  <c r="M2" i="2"/>
  <c r="L2" i="2"/>
  <c r="K2" i="2"/>
  <c r="J2" i="2"/>
  <c r="D188" i="2"/>
  <c r="C188" i="2"/>
  <c r="B188" i="2"/>
  <c r="A188" i="2"/>
  <c r="H62" i="5" a="1"/>
  <c r="H62" i="5" s="1"/>
  <c r="H26" i="5" a="1"/>
  <c r="H26" i="5" s="1"/>
  <c r="H25" i="5" a="1"/>
  <c r="H25" i="5" s="1"/>
  <c r="H24" i="5" a="1"/>
  <c r="H24" i="5" s="1"/>
  <c r="B5" i="8"/>
  <c r="V71" i="5" l="1"/>
  <c r="N88" i="5"/>
  <c r="X88" i="5"/>
  <c r="V88" i="5"/>
  <c r="P88" i="5"/>
  <c r="P75" i="5"/>
  <c r="Z71" i="5"/>
  <c r="R70" i="5"/>
  <c r="R88" i="5"/>
  <c r="T75" i="5"/>
  <c r="V75" i="5"/>
  <c r="R75" i="5"/>
  <c r="X75" i="5"/>
  <c r="Z75" i="5"/>
  <c r="N67" i="5"/>
  <c r="P79" i="5"/>
  <c r="T70" i="5"/>
  <c r="X71" i="5"/>
  <c r="T88" i="5"/>
  <c r="V70" i="5"/>
  <c r="X70" i="5"/>
  <c r="P70" i="5"/>
  <c r="Z69" i="5"/>
  <c r="X67" i="5"/>
  <c r="R79" i="5"/>
  <c r="T79" i="5"/>
  <c r="Z70" i="5"/>
  <c r="X93" i="5"/>
  <c r="N71" i="5"/>
  <c r="P71" i="5"/>
  <c r="R71" i="5"/>
  <c r="Z66" i="5"/>
  <c r="P69" i="5"/>
  <c r="X66" i="5"/>
  <c r="R69" i="5"/>
  <c r="P94" i="5"/>
  <c r="V69" i="5"/>
  <c r="V67" i="5"/>
  <c r="T67" i="5"/>
  <c r="R93" i="5"/>
  <c r="R67" i="5"/>
  <c r="P67" i="5"/>
  <c r="V79" i="5"/>
  <c r="Z93" i="5"/>
  <c r="X79" i="5"/>
  <c r="N93" i="5"/>
  <c r="P89" i="5"/>
  <c r="Z89" i="5"/>
  <c r="N89" i="5"/>
  <c r="V89" i="5"/>
  <c r="N66" i="5"/>
  <c r="T89" i="5"/>
  <c r="Z79" i="5"/>
  <c r="V66" i="5"/>
  <c r="V93" i="5"/>
  <c r="T69" i="5"/>
  <c r="R89" i="5"/>
  <c r="T66" i="5"/>
  <c r="N69" i="5"/>
  <c r="T82" i="5"/>
  <c r="Z82" i="5"/>
  <c r="R66" i="5"/>
  <c r="T93" i="5"/>
  <c r="X73" i="5"/>
  <c r="N73" i="5"/>
  <c r="R73" i="5"/>
  <c r="Z73" i="5"/>
  <c r="T73" i="5"/>
  <c r="V73" i="5"/>
  <c r="T2" i="5"/>
  <c r="V2" i="5"/>
  <c r="X2" i="5"/>
  <c r="Z2" i="5"/>
  <c r="P2" i="5"/>
  <c r="R2" i="5"/>
  <c r="X82" i="5"/>
  <c r="P82" i="5"/>
  <c r="V82" i="5"/>
  <c r="R82" i="5"/>
  <c r="R90" i="5"/>
  <c r="X92" i="5"/>
  <c r="P90" i="5"/>
  <c r="T92" i="5"/>
  <c r="P92" i="5"/>
  <c r="T90" i="5"/>
  <c r="Z90" i="5"/>
  <c r="N90" i="5"/>
  <c r="V94" i="5"/>
  <c r="P78" i="5"/>
  <c r="X78" i="5"/>
  <c r="V92" i="5"/>
  <c r="Z92" i="5"/>
  <c r="N92" i="5"/>
  <c r="X90" i="5"/>
  <c r="V78" i="5"/>
  <c r="T87" i="5"/>
  <c r="T78" i="5"/>
  <c r="Z78" i="5"/>
  <c r="N74" i="5"/>
  <c r="R76" i="5"/>
  <c r="T77" i="5"/>
  <c r="X77" i="5"/>
  <c r="P77" i="5"/>
  <c r="Z77" i="5"/>
  <c r="R77" i="5"/>
  <c r="V77" i="5"/>
  <c r="Z91" i="5"/>
  <c r="N91" i="5"/>
  <c r="V91" i="5"/>
  <c r="P91" i="5"/>
  <c r="X91" i="5"/>
  <c r="R91" i="5"/>
  <c r="N87" i="5"/>
  <c r="X76" i="5"/>
  <c r="N94" i="5"/>
  <c r="Z76" i="5"/>
  <c r="V87" i="5"/>
  <c r="X87" i="5"/>
  <c r="R74" i="5"/>
  <c r="V80" i="5"/>
  <c r="N76" i="5"/>
  <c r="N78" i="5"/>
  <c r="R87" i="5"/>
  <c r="Z87" i="5"/>
  <c r="T68" i="5"/>
  <c r="X68" i="5"/>
  <c r="R68" i="5"/>
  <c r="T80" i="5"/>
  <c r="P76" i="5"/>
  <c r="P80" i="5"/>
  <c r="Z80" i="5"/>
  <c r="X80" i="5"/>
  <c r="Z68" i="5"/>
  <c r="T74" i="5"/>
  <c r="R80" i="5"/>
  <c r="T76" i="5"/>
  <c r="T86" i="5"/>
  <c r="V68" i="5"/>
  <c r="V74" i="5"/>
  <c r="P81" i="5"/>
  <c r="P68" i="5"/>
  <c r="P74" i="5"/>
  <c r="X74" i="5"/>
  <c r="X94" i="5"/>
  <c r="R94" i="5"/>
  <c r="N81" i="5"/>
  <c r="T81" i="5"/>
  <c r="T94" i="5"/>
  <c r="Z81" i="5"/>
  <c r="R81" i="5"/>
  <c r="P86" i="5"/>
  <c r="N86" i="5"/>
  <c r="Z86" i="5"/>
  <c r="V86" i="5"/>
  <c r="V81" i="5"/>
  <c r="X86" i="5"/>
  <c r="N72" i="5"/>
  <c r="P72" i="5"/>
  <c r="R72" i="5"/>
  <c r="T72" i="5"/>
  <c r="V72" i="5"/>
  <c r="X72" i="5"/>
  <c r="Z72" i="5"/>
  <c r="I90" i="5"/>
  <c r="I91" i="5"/>
  <c r="I69" i="5"/>
  <c r="I77" i="5"/>
  <c r="I81" i="5"/>
  <c r="I82" i="5"/>
  <c r="I92" i="5"/>
  <c r="I68" i="5"/>
  <c r="I75" i="5"/>
  <c r="I76" i="5"/>
  <c r="I86" i="5"/>
  <c r="I93" i="5"/>
  <c r="I87" i="5"/>
  <c r="I78" i="5"/>
  <c r="I72" i="5"/>
  <c r="I94" i="5"/>
  <c r="I66" i="5"/>
  <c r="I88" i="5"/>
  <c r="I71" i="5"/>
  <c r="I79" i="5"/>
  <c r="I2" i="5"/>
  <c r="I73" i="5"/>
  <c r="I70" i="5"/>
  <c r="I67" i="5"/>
  <c r="I89" i="5"/>
  <c r="I80" i="5"/>
  <c r="I74" i="5"/>
  <c r="K24" i="5"/>
  <c r="J24" i="5" s="1"/>
  <c r="Z24" i="5" s="1"/>
  <c r="L24" i="5"/>
  <c r="K25" i="5"/>
  <c r="J25" i="5" s="1"/>
  <c r="Z25" i="5" s="1"/>
  <c r="L25" i="5"/>
  <c r="K26" i="5"/>
  <c r="J26" i="5" s="1"/>
  <c r="Z26" i="5" s="1"/>
  <c r="L26" i="5"/>
  <c r="K62" i="5"/>
  <c r="J62" i="5" s="1"/>
  <c r="Z62" i="5" s="1"/>
  <c r="L62" i="5"/>
  <c r="D5" i="15"/>
  <c r="D13" i="15" s="1"/>
  <c r="D21" i="15" s="1"/>
  <c r="E5" i="15"/>
  <c r="E13" i="15" s="1"/>
  <c r="E21" i="15" s="1"/>
  <c r="C4" i="15"/>
  <c r="C12" i="15" s="1"/>
  <c r="C20" i="15" s="1"/>
  <c r="D31" i="15"/>
  <c r="D30" i="15"/>
  <c r="F31" i="15"/>
  <c r="D29" i="15"/>
  <c r="F30" i="15"/>
  <c r="D28" i="15"/>
  <c r="F29" i="15"/>
  <c r="D27" i="15"/>
  <c r="E27" i="15"/>
  <c r="F28" i="15"/>
  <c r="C27" i="15"/>
  <c r="F27" i="15"/>
  <c r="E31" i="15"/>
  <c r="E30" i="15"/>
  <c r="E29" i="15"/>
  <c r="E28" i="15"/>
  <c r="C5" i="15"/>
  <c r="C13" i="15" s="1"/>
  <c r="C21" i="15" s="1"/>
  <c r="F7" i="15"/>
  <c r="F15" i="15" s="1"/>
  <c r="F23" i="15" s="1"/>
  <c r="E6" i="15"/>
  <c r="E14" i="15" s="1"/>
  <c r="E22" i="15" s="1"/>
  <c r="F6" i="15"/>
  <c r="F14" i="15" s="1"/>
  <c r="F22" i="15" s="1"/>
  <c r="D4" i="15"/>
  <c r="D12" i="15" s="1"/>
  <c r="D20" i="15" s="1"/>
  <c r="F5" i="15"/>
  <c r="F13" i="15" s="1"/>
  <c r="F21" i="15" s="1"/>
  <c r="D3" i="15"/>
  <c r="F4" i="15"/>
  <c r="F12" i="15" s="1"/>
  <c r="F20" i="15" s="1"/>
  <c r="C3" i="15"/>
  <c r="C7" i="15"/>
  <c r="C15" i="15" s="1"/>
  <c r="C23" i="15" s="1"/>
  <c r="F3" i="15"/>
  <c r="F11" i="15" s="1"/>
  <c r="F19" i="15" s="1"/>
  <c r="C30" i="15"/>
  <c r="E3" i="15"/>
  <c r="E11" i="15" s="1"/>
  <c r="E19" i="15" s="1"/>
  <c r="C6" i="15"/>
  <c r="C14" i="15" s="1"/>
  <c r="C22" i="15" s="1"/>
  <c r="E4" i="15"/>
  <c r="E12" i="15" s="1"/>
  <c r="E20" i="15" s="1"/>
  <c r="C29" i="15"/>
  <c r="D7" i="15"/>
  <c r="D15" i="15" s="1"/>
  <c r="D23" i="15" s="1"/>
  <c r="E7" i="15"/>
  <c r="E15" i="15" s="1"/>
  <c r="E23" i="15" s="1"/>
  <c r="C28" i="15"/>
  <c r="C31" i="15"/>
  <c r="D6" i="15"/>
  <c r="D14" i="15" s="1"/>
  <c r="D22" i="15" s="1"/>
  <c r="B27" i="15"/>
  <c r="B4" i="15"/>
  <c r="B12" i="15" s="1"/>
  <c r="B20" i="15" s="1"/>
  <c r="B28" i="15"/>
  <c r="B5" i="15"/>
  <c r="B13" i="15" s="1"/>
  <c r="B21" i="15" s="1"/>
  <c r="B3" i="15"/>
  <c r="B11" i="15" s="1"/>
  <c r="B19" i="15" s="1"/>
  <c r="B30" i="15"/>
  <c r="B29" i="15"/>
  <c r="B7" i="15"/>
  <c r="B15" i="15" s="1"/>
  <c r="B23" i="15" s="1"/>
  <c r="B31" i="15"/>
  <c r="B6" i="15"/>
  <c r="B14" i="15" s="1"/>
  <c r="B22" i="15" s="1"/>
  <c r="E188" i="2"/>
  <c r="U70" i="5" l="1"/>
  <c r="W70" i="5"/>
  <c r="M70" i="5"/>
  <c r="Y70" i="5"/>
  <c r="O70" i="5"/>
  <c r="Q70" i="5"/>
  <c r="S70" i="5"/>
  <c r="O73" i="5"/>
  <c r="Q73" i="5"/>
  <c r="S73" i="5"/>
  <c r="U73" i="5"/>
  <c r="W73" i="5"/>
  <c r="M73" i="5"/>
  <c r="Y73" i="5"/>
  <c r="U76" i="5"/>
  <c r="W76" i="5"/>
  <c r="M76" i="5"/>
  <c r="Y76" i="5"/>
  <c r="O76" i="5"/>
  <c r="Q76" i="5"/>
  <c r="S76" i="5"/>
  <c r="W2" i="5"/>
  <c r="Y2" i="5"/>
  <c r="W75" i="5"/>
  <c r="M75" i="5"/>
  <c r="Y75" i="5"/>
  <c r="O75" i="5"/>
  <c r="Q75" i="5"/>
  <c r="S75" i="5"/>
  <c r="U75" i="5"/>
  <c r="O79" i="5"/>
  <c r="Q79" i="5"/>
  <c r="S79" i="5"/>
  <c r="U79" i="5"/>
  <c r="W79" i="5"/>
  <c r="M79" i="5"/>
  <c r="Y79" i="5"/>
  <c r="M68" i="5"/>
  <c r="Y68" i="5"/>
  <c r="O68" i="5"/>
  <c r="Q68" i="5"/>
  <c r="S68" i="5"/>
  <c r="U68" i="5"/>
  <c r="W68" i="5"/>
  <c r="S71" i="5"/>
  <c r="U71" i="5"/>
  <c r="W71" i="5"/>
  <c r="M71" i="5"/>
  <c r="Y71" i="5"/>
  <c r="O71" i="5"/>
  <c r="Q71" i="5"/>
  <c r="U82" i="5"/>
  <c r="W82" i="5"/>
  <c r="M82" i="5"/>
  <c r="Y82" i="5"/>
  <c r="O82" i="5"/>
  <c r="Q82" i="5"/>
  <c r="S82" i="5"/>
  <c r="W81" i="5"/>
  <c r="M81" i="5"/>
  <c r="Y81" i="5"/>
  <c r="O81" i="5"/>
  <c r="Q81" i="5"/>
  <c r="S81" i="5"/>
  <c r="U81" i="5"/>
  <c r="S77" i="5"/>
  <c r="U77" i="5"/>
  <c r="W77" i="5"/>
  <c r="M77" i="5"/>
  <c r="Y77" i="5"/>
  <c r="O77" i="5"/>
  <c r="Q77" i="5"/>
  <c r="M74" i="5"/>
  <c r="Y74" i="5"/>
  <c r="O74" i="5"/>
  <c r="Q74" i="5"/>
  <c r="S74" i="5"/>
  <c r="U74" i="5"/>
  <c r="W74" i="5"/>
  <c r="Q72" i="5"/>
  <c r="S72" i="5"/>
  <c r="U72" i="5"/>
  <c r="W72" i="5"/>
  <c r="M72" i="5"/>
  <c r="Y72" i="5"/>
  <c r="O72" i="5"/>
  <c r="W69" i="5"/>
  <c r="M69" i="5"/>
  <c r="Y69" i="5"/>
  <c r="O69" i="5"/>
  <c r="Q69" i="5"/>
  <c r="S69" i="5"/>
  <c r="U69" i="5"/>
  <c r="M80" i="5"/>
  <c r="Y80" i="5"/>
  <c r="O80" i="5"/>
  <c r="Q80" i="5"/>
  <c r="S80" i="5"/>
  <c r="U80" i="5"/>
  <c r="W80" i="5"/>
  <c r="Q78" i="5"/>
  <c r="S78" i="5"/>
  <c r="U78" i="5"/>
  <c r="W78" i="5"/>
  <c r="M78" i="5"/>
  <c r="Y78" i="5"/>
  <c r="O78" i="5"/>
  <c r="Q86" i="5"/>
  <c r="O86" i="5"/>
  <c r="Y86" i="5"/>
  <c r="M86" i="5"/>
  <c r="W86" i="5"/>
  <c r="S86" i="5"/>
  <c r="U86" i="5"/>
  <c r="O93" i="5"/>
  <c r="Y93" i="5"/>
  <c r="M93" i="5"/>
  <c r="W93" i="5"/>
  <c r="U93" i="5"/>
  <c r="S93" i="5"/>
  <c r="Q93" i="5"/>
  <c r="Y88" i="5"/>
  <c r="M88" i="5"/>
  <c r="W88" i="5"/>
  <c r="U88" i="5"/>
  <c r="S88" i="5"/>
  <c r="Q88" i="5"/>
  <c r="O88" i="5"/>
  <c r="Y94" i="5"/>
  <c r="M94" i="5"/>
  <c r="W94" i="5"/>
  <c r="U94" i="5"/>
  <c r="S94" i="5"/>
  <c r="Q94" i="5"/>
  <c r="O94" i="5"/>
  <c r="Q92" i="5"/>
  <c r="O92" i="5"/>
  <c r="Y92" i="5"/>
  <c r="M92" i="5"/>
  <c r="W92" i="5"/>
  <c r="U92" i="5"/>
  <c r="S92" i="5"/>
  <c r="S91" i="5"/>
  <c r="Q91" i="5"/>
  <c r="O91" i="5"/>
  <c r="Y91" i="5"/>
  <c r="M91" i="5"/>
  <c r="W91" i="5"/>
  <c r="U91" i="5"/>
  <c r="W89" i="5"/>
  <c r="U89" i="5"/>
  <c r="S89" i="5"/>
  <c r="Q89" i="5"/>
  <c r="O89" i="5"/>
  <c r="Y89" i="5"/>
  <c r="M89" i="5"/>
  <c r="O87" i="5"/>
  <c r="Y87" i="5"/>
  <c r="M87" i="5"/>
  <c r="Q87" i="5"/>
  <c r="W87" i="5"/>
  <c r="U87" i="5"/>
  <c r="S87" i="5"/>
  <c r="U90" i="5"/>
  <c r="S90" i="5"/>
  <c r="Q90" i="5"/>
  <c r="O90" i="5"/>
  <c r="Y90" i="5"/>
  <c r="M90" i="5"/>
  <c r="W90" i="5"/>
  <c r="Y67" i="5"/>
  <c r="M67" i="5"/>
  <c r="W67" i="5"/>
  <c r="Q67" i="5"/>
  <c r="U67" i="5"/>
  <c r="S67" i="5"/>
  <c r="O67" i="5"/>
  <c r="O66" i="5"/>
  <c r="Y66" i="5"/>
  <c r="M66" i="5"/>
  <c r="S66" i="5"/>
  <c r="W66" i="5"/>
  <c r="Q66" i="5"/>
  <c r="U66" i="5"/>
  <c r="V62" i="5"/>
  <c r="X62" i="5"/>
  <c r="V26" i="5"/>
  <c r="X26" i="5"/>
  <c r="V25" i="5"/>
  <c r="X25" i="5"/>
  <c r="V24" i="5"/>
  <c r="X24" i="5"/>
  <c r="S2" i="5"/>
  <c r="U2" i="5"/>
  <c r="R62" i="5"/>
  <c r="T62" i="5"/>
  <c r="R26" i="5"/>
  <c r="T26" i="5"/>
  <c r="I25" i="5"/>
  <c r="R25" i="5"/>
  <c r="T25" i="5"/>
  <c r="R24" i="5"/>
  <c r="T24" i="5"/>
  <c r="O2" i="5"/>
  <c r="Q2" i="5"/>
  <c r="N25" i="5"/>
  <c r="P25" i="5"/>
  <c r="N26" i="5"/>
  <c r="P26" i="5"/>
  <c r="N62" i="5"/>
  <c r="P62" i="5"/>
  <c r="N24" i="5"/>
  <c r="P24" i="5"/>
  <c r="I62" i="5"/>
  <c r="M2" i="5"/>
  <c r="I24" i="5"/>
  <c r="I26" i="5"/>
  <c r="D11" i="15"/>
  <c r="D19" i="15" s="1"/>
  <c r="C11" i="15"/>
  <c r="C19" i="15" s="1"/>
  <c r="H61" i="5" a="1"/>
  <c r="H61" i="5" s="1"/>
  <c r="H60" i="5" a="1"/>
  <c r="H60" i="5" s="1"/>
  <c r="H59" i="5" a="1"/>
  <c r="H59" i="5" s="1"/>
  <c r="H58" i="5" a="1"/>
  <c r="H58" i="5" s="1"/>
  <c r="H57" i="5" a="1"/>
  <c r="H57" i="5" s="1"/>
  <c r="H56" i="5" a="1"/>
  <c r="H56" i="5" s="1"/>
  <c r="H55" i="5" a="1"/>
  <c r="H55" i="5" s="1"/>
  <c r="H54" i="5" a="1"/>
  <c r="H54" i="5" s="1"/>
  <c r="H53" i="5" a="1"/>
  <c r="H53" i="5" s="1"/>
  <c r="H52" i="5" a="1"/>
  <c r="H52" i="5" s="1"/>
  <c r="H51" i="5" a="1"/>
  <c r="H51" i="5" s="1"/>
  <c r="H50" i="5" a="1"/>
  <c r="H50" i="5" s="1"/>
  <c r="H49" i="5" a="1"/>
  <c r="H49" i="5" s="1"/>
  <c r="H48" i="5" a="1"/>
  <c r="H48" i="5" s="1"/>
  <c r="H47" i="5" a="1"/>
  <c r="H47" i="5" s="1"/>
  <c r="H46" i="5" a="1"/>
  <c r="H46" i="5" s="1"/>
  <c r="H45" i="5" a="1"/>
  <c r="H45" i="5" s="1"/>
  <c r="H44" i="5" a="1"/>
  <c r="H44" i="5" s="1"/>
  <c r="H43" i="5" a="1"/>
  <c r="H43" i="5" s="1"/>
  <c r="H42" i="5" a="1"/>
  <c r="H42" i="5" s="1"/>
  <c r="H41" i="5" a="1"/>
  <c r="H41" i="5" s="1"/>
  <c r="H40" i="5" a="1"/>
  <c r="H40" i="5" s="1"/>
  <c r="H39" i="5" a="1"/>
  <c r="H39" i="5" s="1"/>
  <c r="H38" i="5" a="1"/>
  <c r="H38" i="5" s="1"/>
  <c r="H37" i="5" a="1"/>
  <c r="H37" i="5" s="1"/>
  <c r="H36" i="5" a="1"/>
  <c r="H36" i="5" s="1"/>
  <c r="H35" i="5" a="1"/>
  <c r="H35" i="5" s="1"/>
  <c r="H34" i="5" a="1"/>
  <c r="H34" i="5" s="1"/>
  <c r="H33" i="5" a="1"/>
  <c r="H33" i="5" s="1"/>
  <c r="H32" i="5" a="1"/>
  <c r="H32" i="5" s="1"/>
  <c r="H31" i="5" a="1"/>
  <c r="H31" i="5" s="1"/>
  <c r="H30" i="5" a="1"/>
  <c r="H30" i="5" s="1"/>
  <c r="H29" i="5" a="1"/>
  <c r="H29" i="5" s="1"/>
  <c r="H28" i="5" a="1"/>
  <c r="H28" i="5" s="1"/>
  <c r="H27" i="5" a="1"/>
  <c r="H27" i="5" s="1"/>
  <c r="H23" i="5" a="1"/>
  <c r="H23" i="5" s="1"/>
  <c r="H22" i="5" a="1"/>
  <c r="H22" i="5" s="1"/>
  <c r="H21" i="5" a="1"/>
  <c r="H21" i="5" s="1"/>
  <c r="H20" i="5" a="1"/>
  <c r="H20" i="5" s="1"/>
  <c r="H19" i="5" a="1"/>
  <c r="H19" i="5" s="1"/>
  <c r="H18" i="5" a="1"/>
  <c r="H18" i="5" s="1"/>
  <c r="H17" i="5" a="1"/>
  <c r="H17" i="5" s="1"/>
  <c r="H16" i="5" a="1"/>
  <c r="H16" i="5" s="1"/>
  <c r="H15" i="5" a="1"/>
  <c r="H15" i="5" s="1"/>
  <c r="H14" i="5" a="1"/>
  <c r="H14" i="5" s="1"/>
  <c r="H13" i="5" a="1"/>
  <c r="H13" i="5" s="1"/>
  <c r="H12" i="5" a="1"/>
  <c r="H12" i="5" s="1"/>
  <c r="H11" i="5" a="1"/>
  <c r="H11" i="5" s="1"/>
  <c r="H10" i="5" a="1"/>
  <c r="H10" i="5" s="1"/>
  <c r="H9" i="5" a="1"/>
  <c r="H9" i="5" s="1"/>
  <c r="H8" i="5" a="1"/>
  <c r="H8" i="5" s="1"/>
  <c r="H7" i="5" a="1"/>
  <c r="H7" i="5" s="1"/>
  <c r="H6" i="5" a="1"/>
  <c r="H6" i="5" s="1"/>
  <c r="H4" i="5" a="1"/>
  <c r="H4" i="5" s="1"/>
  <c r="H5" i="5" a="1"/>
  <c r="H5" i="5" s="1"/>
  <c r="H3" i="5" a="1"/>
  <c r="H3" i="5" s="1"/>
  <c r="D119" i="2"/>
  <c r="W62" i="5" l="1"/>
  <c r="Y62" i="5"/>
  <c r="W26" i="5"/>
  <c r="Y26" i="5"/>
  <c r="W25" i="5"/>
  <c r="Y25" i="5"/>
  <c r="W24" i="5"/>
  <c r="Y24" i="5"/>
  <c r="Q25" i="5"/>
  <c r="M25" i="5"/>
  <c r="O25" i="5"/>
  <c r="S26" i="5"/>
  <c r="U26" i="5"/>
  <c r="S24" i="5"/>
  <c r="U24" i="5"/>
  <c r="S25" i="5"/>
  <c r="U25" i="5"/>
  <c r="S62" i="5"/>
  <c r="U62" i="5"/>
  <c r="O24" i="5"/>
  <c r="Q24" i="5"/>
  <c r="O62" i="5"/>
  <c r="Q62" i="5"/>
  <c r="O26" i="5"/>
  <c r="Q26" i="5"/>
  <c r="M62" i="5"/>
  <c r="M26" i="5"/>
  <c r="M24" i="5"/>
  <c r="K59" i="5"/>
  <c r="J59" i="5" s="1"/>
  <c r="Z59" i="5" s="1"/>
  <c r="L59" i="5"/>
  <c r="K7" i="5"/>
  <c r="J7" i="5" s="1"/>
  <c r="Z7" i="5" s="1"/>
  <c r="L7" i="5"/>
  <c r="K20" i="5"/>
  <c r="J20" i="5" s="1"/>
  <c r="Z20" i="5" s="1"/>
  <c r="L20" i="5"/>
  <c r="K21" i="5"/>
  <c r="J21" i="5" s="1"/>
  <c r="Z21" i="5" s="1"/>
  <c r="L21" i="5"/>
  <c r="K48" i="5"/>
  <c r="J48" i="5" s="1"/>
  <c r="Z48" i="5" s="1"/>
  <c r="L48" i="5"/>
  <c r="K60" i="5"/>
  <c r="J60" i="5" s="1"/>
  <c r="Z60" i="5" s="1"/>
  <c r="L60" i="5"/>
  <c r="K33" i="5"/>
  <c r="J33" i="5" s="1"/>
  <c r="Z33" i="5" s="1"/>
  <c r="L33" i="5"/>
  <c r="K46" i="5"/>
  <c r="J46" i="5" s="1"/>
  <c r="Z46" i="5" s="1"/>
  <c r="L46" i="5"/>
  <c r="K9" i="5"/>
  <c r="J9" i="5" s="1"/>
  <c r="Z9" i="5" s="1"/>
  <c r="L9" i="5"/>
  <c r="K10" i="5"/>
  <c r="J10" i="5" s="1"/>
  <c r="Z10" i="5" s="1"/>
  <c r="L10" i="5"/>
  <c r="K37" i="5"/>
  <c r="J37" i="5" s="1"/>
  <c r="Z37" i="5" s="1"/>
  <c r="L37" i="5"/>
  <c r="K49" i="5"/>
  <c r="J49" i="5" s="1"/>
  <c r="Z49" i="5" s="1"/>
  <c r="L49" i="5"/>
  <c r="K61" i="5"/>
  <c r="J61" i="5" s="1"/>
  <c r="Z61" i="5" s="1"/>
  <c r="L61" i="5"/>
  <c r="K57" i="5"/>
  <c r="J57" i="5" s="1"/>
  <c r="Z57" i="5" s="1"/>
  <c r="L57" i="5"/>
  <c r="K8" i="5"/>
  <c r="J8" i="5" s="1"/>
  <c r="Z8" i="5" s="1"/>
  <c r="L8" i="5"/>
  <c r="K36" i="5"/>
  <c r="J36" i="5" s="1"/>
  <c r="Z36" i="5" s="1"/>
  <c r="L36" i="5"/>
  <c r="K22" i="5"/>
  <c r="J22" i="5" s="1"/>
  <c r="Z22" i="5" s="1"/>
  <c r="L22" i="5"/>
  <c r="K23" i="5"/>
  <c r="J23" i="5" s="1"/>
  <c r="Z23" i="5" s="1"/>
  <c r="L23" i="5"/>
  <c r="K38" i="5"/>
  <c r="J38" i="5" s="1"/>
  <c r="Z38" i="5" s="1"/>
  <c r="L38" i="5"/>
  <c r="K50" i="5"/>
  <c r="J50" i="5" s="1"/>
  <c r="Z50" i="5" s="1"/>
  <c r="L50" i="5"/>
  <c r="K11" i="5"/>
  <c r="J11" i="5" s="1"/>
  <c r="Z11" i="5" s="1"/>
  <c r="L11" i="5"/>
  <c r="K12" i="5"/>
  <c r="J12" i="5" s="1"/>
  <c r="Z12" i="5" s="1"/>
  <c r="L12" i="5"/>
  <c r="K27" i="5"/>
  <c r="J27" i="5" s="1"/>
  <c r="Z27" i="5" s="1"/>
  <c r="L27" i="5"/>
  <c r="K39" i="5"/>
  <c r="J39" i="5" s="1"/>
  <c r="Z39" i="5" s="1"/>
  <c r="L39" i="5"/>
  <c r="K51" i="5"/>
  <c r="J51" i="5" s="1"/>
  <c r="Z51" i="5" s="1"/>
  <c r="L51" i="5"/>
  <c r="K52" i="5"/>
  <c r="J52" i="5" s="1"/>
  <c r="Z52" i="5" s="1"/>
  <c r="L52" i="5"/>
  <c r="K18" i="5"/>
  <c r="J18" i="5" s="1"/>
  <c r="Z18" i="5" s="1"/>
  <c r="L18" i="5"/>
  <c r="K34" i="5"/>
  <c r="J34" i="5" s="1"/>
  <c r="Z34" i="5" s="1"/>
  <c r="L34" i="5"/>
  <c r="K47" i="5"/>
  <c r="J47" i="5" s="1"/>
  <c r="Z47" i="5" s="1"/>
  <c r="L47" i="5"/>
  <c r="K28" i="5"/>
  <c r="J28" i="5" s="1"/>
  <c r="Z28" i="5" s="1"/>
  <c r="L28" i="5"/>
  <c r="K40" i="5"/>
  <c r="J40" i="5" s="1"/>
  <c r="Z40" i="5" s="1"/>
  <c r="L40" i="5"/>
  <c r="K14" i="5"/>
  <c r="J14" i="5" s="1"/>
  <c r="Z14" i="5" s="1"/>
  <c r="L14" i="5"/>
  <c r="K29" i="5"/>
  <c r="J29" i="5" s="1"/>
  <c r="Z29" i="5" s="1"/>
  <c r="L29" i="5"/>
  <c r="K41" i="5"/>
  <c r="J41" i="5" s="1"/>
  <c r="Z41" i="5" s="1"/>
  <c r="L41" i="5"/>
  <c r="K53" i="5"/>
  <c r="J53" i="5" s="1"/>
  <c r="Z53" i="5" s="1"/>
  <c r="L53" i="5"/>
  <c r="K45" i="5"/>
  <c r="J45" i="5" s="1"/>
  <c r="Z45" i="5" s="1"/>
  <c r="L45" i="5"/>
  <c r="K58" i="5"/>
  <c r="J58" i="5" s="1"/>
  <c r="Z58" i="5" s="1"/>
  <c r="L58" i="5"/>
  <c r="K15" i="5"/>
  <c r="J15" i="5" s="1"/>
  <c r="Z15" i="5" s="1"/>
  <c r="L15" i="5"/>
  <c r="K30" i="5"/>
  <c r="J30" i="5" s="1"/>
  <c r="Z30" i="5" s="1"/>
  <c r="L30" i="5"/>
  <c r="K42" i="5"/>
  <c r="J42" i="5" s="1"/>
  <c r="Z42" i="5" s="1"/>
  <c r="L42" i="5"/>
  <c r="K54" i="5"/>
  <c r="J54" i="5" s="1"/>
  <c r="Z54" i="5" s="1"/>
  <c r="L54" i="5"/>
  <c r="K6" i="5"/>
  <c r="J6" i="5" s="1"/>
  <c r="Z6" i="5" s="1"/>
  <c r="L6" i="5"/>
  <c r="K13" i="5"/>
  <c r="J13" i="5" s="1"/>
  <c r="Z13" i="5" s="1"/>
  <c r="L13" i="5"/>
  <c r="K5" i="5"/>
  <c r="J5" i="5" s="1"/>
  <c r="Z5" i="5" s="1"/>
  <c r="L5" i="5"/>
  <c r="K16" i="5"/>
  <c r="J16" i="5" s="1"/>
  <c r="Z16" i="5" s="1"/>
  <c r="L16" i="5"/>
  <c r="K31" i="5"/>
  <c r="J31" i="5" s="1"/>
  <c r="Z31" i="5" s="1"/>
  <c r="L31" i="5"/>
  <c r="K43" i="5"/>
  <c r="J43" i="5" s="1"/>
  <c r="Z43" i="5" s="1"/>
  <c r="L43" i="5"/>
  <c r="K55" i="5"/>
  <c r="J55" i="5" s="1"/>
  <c r="Z55" i="5" s="1"/>
  <c r="L55" i="5"/>
  <c r="K19" i="5"/>
  <c r="J19" i="5" s="1"/>
  <c r="Z19" i="5" s="1"/>
  <c r="L19" i="5"/>
  <c r="K35" i="5"/>
  <c r="J35" i="5" s="1"/>
  <c r="Z35" i="5" s="1"/>
  <c r="L35" i="5"/>
  <c r="K3" i="5"/>
  <c r="J3" i="5" s="1"/>
  <c r="Z3" i="5" s="1"/>
  <c r="L3" i="5"/>
  <c r="K4" i="5"/>
  <c r="J4" i="5" s="1"/>
  <c r="Z4" i="5" s="1"/>
  <c r="L4" i="5"/>
  <c r="K17" i="5"/>
  <c r="J17" i="5" s="1"/>
  <c r="Z17" i="5" s="1"/>
  <c r="L17" i="5"/>
  <c r="K32" i="5"/>
  <c r="J32" i="5" s="1"/>
  <c r="Z32" i="5" s="1"/>
  <c r="L32" i="5"/>
  <c r="K44" i="5"/>
  <c r="J44" i="5" s="1"/>
  <c r="Z44" i="5" s="1"/>
  <c r="L44" i="5"/>
  <c r="K56" i="5"/>
  <c r="J56" i="5" s="1"/>
  <c r="Z56" i="5" s="1"/>
  <c r="L56" i="5"/>
  <c r="I31" i="15"/>
  <c r="G31" i="15"/>
  <c r="G28" i="15"/>
  <c r="B20" i="16" s="1"/>
  <c r="I28" i="15"/>
  <c r="B22" i="16" s="1"/>
  <c r="G29" i="15"/>
  <c r="I29" i="15"/>
  <c r="G30" i="15"/>
  <c r="I30" i="15"/>
  <c r="I27" i="15"/>
  <c r="G27" i="15"/>
  <c r="H30" i="15"/>
  <c r="H31" i="15"/>
  <c r="H29" i="15"/>
  <c r="H28" i="15"/>
  <c r="B21" i="16" s="1"/>
  <c r="H27" i="15"/>
  <c r="G3" i="15"/>
  <c r="I6" i="15"/>
  <c r="I14" i="15" s="1"/>
  <c r="I22" i="15" s="1"/>
  <c r="H5" i="15"/>
  <c r="H13" i="15" s="1"/>
  <c r="H21" i="15" s="1"/>
  <c r="I7" i="15"/>
  <c r="I15" i="15" s="1"/>
  <c r="I23" i="15" s="1"/>
  <c r="I5" i="15"/>
  <c r="I13" i="15" s="1"/>
  <c r="I21" i="15" s="1"/>
  <c r="H7" i="15"/>
  <c r="H15" i="15" s="1"/>
  <c r="H23" i="15" s="1"/>
  <c r="I4" i="15"/>
  <c r="G4" i="15"/>
  <c r="G5" i="15"/>
  <c r="G13" i="15" s="1"/>
  <c r="G21" i="15" s="1"/>
  <c r="H6" i="15"/>
  <c r="H14" i="15" s="1"/>
  <c r="H22" i="15" s="1"/>
  <c r="G6" i="15"/>
  <c r="G14" i="15" s="1"/>
  <c r="G22" i="15" s="1"/>
  <c r="G7" i="15"/>
  <c r="G15" i="15" s="1"/>
  <c r="G23" i="15" s="1"/>
  <c r="H3" i="15"/>
  <c r="I3" i="15"/>
  <c r="H4" i="15"/>
  <c r="A151" i="2"/>
  <c r="B151" i="2"/>
  <c r="C151" i="2"/>
  <c r="D151" i="2"/>
  <c r="I55" i="5" l="1"/>
  <c r="V56" i="5"/>
  <c r="X56" i="5"/>
  <c r="V35" i="5"/>
  <c r="X35" i="5"/>
  <c r="V5" i="5"/>
  <c r="X5" i="5"/>
  <c r="V15" i="5"/>
  <c r="X15" i="5"/>
  <c r="V14" i="5"/>
  <c r="X14" i="5"/>
  <c r="V52" i="5"/>
  <c r="X52" i="5"/>
  <c r="V50" i="5"/>
  <c r="X50" i="5"/>
  <c r="V57" i="5"/>
  <c r="X57" i="5"/>
  <c r="V46" i="5"/>
  <c r="X46" i="5"/>
  <c r="V7" i="5"/>
  <c r="X7" i="5"/>
  <c r="V58" i="5"/>
  <c r="X58" i="5"/>
  <c r="V51" i="5"/>
  <c r="X51" i="5"/>
  <c r="V59" i="5"/>
  <c r="X59" i="5"/>
  <c r="V32" i="5"/>
  <c r="X32" i="5"/>
  <c r="V55" i="5"/>
  <c r="X55" i="5"/>
  <c r="V6" i="5"/>
  <c r="X6" i="5"/>
  <c r="V45" i="5"/>
  <c r="X45" i="5"/>
  <c r="V28" i="5"/>
  <c r="X28" i="5"/>
  <c r="V39" i="5"/>
  <c r="X39" i="5"/>
  <c r="V23" i="5"/>
  <c r="X23" i="5"/>
  <c r="V49" i="5"/>
  <c r="X49" i="5"/>
  <c r="V60" i="5"/>
  <c r="X60" i="5"/>
  <c r="V19" i="5"/>
  <c r="X19" i="5"/>
  <c r="V38" i="5"/>
  <c r="X38" i="5"/>
  <c r="V44" i="5"/>
  <c r="X44" i="5"/>
  <c r="V40" i="5"/>
  <c r="X40" i="5"/>
  <c r="V33" i="5"/>
  <c r="X33" i="5"/>
  <c r="V17" i="5"/>
  <c r="X17" i="5"/>
  <c r="V43" i="5"/>
  <c r="X43" i="5"/>
  <c r="V54" i="5"/>
  <c r="X54" i="5"/>
  <c r="V53" i="5"/>
  <c r="X53" i="5"/>
  <c r="V47" i="5"/>
  <c r="X47" i="5"/>
  <c r="V27" i="5"/>
  <c r="X27" i="5"/>
  <c r="V22" i="5"/>
  <c r="X22" i="5"/>
  <c r="V37" i="5"/>
  <c r="X37" i="5"/>
  <c r="V48" i="5"/>
  <c r="X48" i="5"/>
  <c r="V13" i="5"/>
  <c r="X13" i="5"/>
  <c r="V61" i="5"/>
  <c r="X61" i="5"/>
  <c r="V31" i="5"/>
  <c r="X31" i="5"/>
  <c r="V36" i="5"/>
  <c r="X36" i="5"/>
  <c r="V10" i="5"/>
  <c r="X10" i="5"/>
  <c r="V21" i="5"/>
  <c r="X21" i="5"/>
  <c r="V41" i="5"/>
  <c r="X41" i="5"/>
  <c r="V34" i="5"/>
  <c r="X34" i="5"/>
  <c r="V4" i="5"/>
  <c r="X4" i="5"/>
  <c r="V42" i="5"/>
  <c r="X42" i="5"/>
  <c r="V12" i="5"/>
  <c r="X12" i="5"/>
  <c r="V3" i="5"/>
  <c r="X3" i="5"/>
  <c r="V16" i="5"/>
  <c r="X16" i="5"/>
  <c r="V30" i="5"/>
  <c r="X30" i="5"/>
  <c r="V29" i="5"/>
  <c r="X29" i="5"/>
  <c r="V18" i="5"/>
  <c r="X18" i="5"/>
  <c r="V11" i="5"/>
  <c r="X11" i="5"/>
  <c r="V8" i="5"/>
  <c r="X8" i="5"/>
  <c r="V9" i="5"/>
  <c r="X9" i="5"/>
  <c r="V20" i="5"/>
  <c r="X20" i="5"/>
  <c r="R12" i="5"/>
  <c r="T12" i="5"/>
  <c r="R34" i="5"/>
  <c r="T34" i="5"/>
  <c r="R21" i="5"/>
  <c r="T21" i="5"/>
  <c r="R30" i="5"/>
  <c r="T30" i="5"/>
  <c r="R8" i="5"/>
  <c r="T8" i="5"/>
  <c r="R56" i="5"/>
  <c r="T56" i="5"/>
  <c r="R35" i="5"/>
  <c r="T35" i="5"/>
  <c r="R5" i="5"/>
  <c r="T5" i="5"/>
  <c r="R15" i="5"/>
  <c r="T15" i="5"/>
  <c r="R14" i="5"/>
  <c r="T14" i="5"/>
  <c r="R52" i="5"/>
  <c r="T52" i="5"/>
  <c r="R50" i="5"/>
  <c r="T50" i="5"/>
  <c r="R57" i="5"/>
  <c r="T57" i="5"/>
  <c r="R46" i="5"/>
  <c r="T46" i="5"/>
  <c r="R7" i="5"/>
  <c r="T7" i="5"/>
  <c r="R31" i="5"/>
  <c r="T31" i="5"/>
  <c r="R41" i="5"/>
  <c r="T41" i="5"/>
  <c r="R36" i="5"/>
  <c r="T36" i="5"/>
  <c r="R3" i="5"/>
  <c r="T3" i="5"/>
  <c r="R44" i="5"/>
  <c r="T44" i="5"/>
  <c r="R19" i="5"/>
  <c r="T19" i="5"/>
  <c r="R13" i="5"/>
  <c r="T13" i="5"/>
  <c r="R58" i="5"/>
  <c r="T58" i="5"/>
  <c r="R40" i="5"/>
  <c r="T40" i="5"/>
  <c r="R51" i="5"/>
  <c r="T51" i="5"/>
  <c r="R38" i="5"/>
  <c r="T38" i="5"/>
  <c r="R61" i="5"/>
  <c r="T61" i="5"/>
  <c r="R33" i="5"/>
  <c r="T33" i="5"/>
  <c r="R59" i="5"/>
  <c r="T59" i="5"/>
  <c r="R18" i="5"/>
  <c r="T18" i="5"/>
  <c r="R42" i="5"/>
  <c r="T42" i="5"/>
  <c r="R10" i="5"/>
  <c r="T10" i="5"/>
  <c r="R11" i="5"/>
  <c r="T11" i="5"/>
  <c r="R32" i="5"/>
  <c r="T32" i="5"/>
  <c r="R55" i="5"/>
  <c r="T55" i="5"/>
  <c r="R6" i="5"/>
  <c r="T6" i="5"/>
  <c r="R45" i="5"/>
  <c r="T45" i="5"/>
  <c r="R28" i="5"/>
  <c r="T28" i="5"/>
  <c r="R39" i="5"/>
  <c r="T39" i="5"/>
  <c r="R23" i="5"/>
  <c r="T23" i="5"/>
  <c r="R49" i="5"/>
  <c r="T49" i="5"/>
  <c r="R60" i="5"/>
  <c r="T60" i="5"/>
  <c r="R16" i="5"/>
  <c r="T16" i="5"/>
  <c r="R9" i="5"/>
  <c r="T9" i="5"/>
  <c r="R4" i="5"/>
  <c r="T4" i="5"/>
  <c r="R17" i="5"/>
  <c r="T17" i="5"/>
  <c r="R43" i="5"/>
  <c r="T43" i="5"/>
  <c r="R54" i="5"/>
  <c r="T54" i="5"/>
  <c r="R53" i="5"/>
  <c r="T53" i="5"/>
  <c r="R47" i="5"/>
  <c r="T47" i="5"/>
  <c r="R27" i="5"/>
  <c r="T27" i="5"/>
  <c r="R22" i="5"/>
  <c r="T22" i="5"/>
  <c r="R37" i="5"/>
  <c r="T37" i="5"/>
  <c r="R48" i="5"/>
  <c r="T48" i="5"/>
  <c r="R29" i="5"/>
  <c r="T29" i="5"/>
  <c r="R20" i="5"/>
  <c r="T20" i="5"/>
  <c r="N34" i="5"/>
  <c r="P34" i="5"/>
  <c r="N36" i="5"/>
  <c r="P36" i="5"/>
  <c r="N3" i="5"/>
  <c r="P3" i="5"/>
  <c r="N16" i="5"/>
  <c r="P16" i="5"/>
  <c r="N30" i="5"/>
  <c r="P30" i="5"/>
  <c r="N29" i="5"/>
  <c r="P29" i="5"/>
  <c r="N18" i="5"/>
  <c r="P18" i="5"/>
  <c r="N11" i="5"/>
  <c r="P11" i="5"/>
  <c r="N8" i="5"/>
  <c r="P8" i="5"/>
  <c r="N9" i="5"/>
  <c r="P9" i="5"/>
  <c r="N20" i="5"/>
  <c r="P20" i="5"/>
  <c r="I56" i="5"/>
  <c r="I35" i="5"/>
  <c r="I5" i="5"/>
  <c r="M5" i="5" s="1"/>
  <c r="I15" i="5"/>
  <c r="M15" i="5" s="1"/>
  <c r="I14" i="5"/>
  <c r="Y14" i="5" s="1"/>
  <c r="I52" i="5"/>
  <c r="I50" i="5"/>
  <c r="M50" i="5" s="1"/>
  <c r="I57" i="5"/>
  <c r="I46" i="5"/>
  <c r="I7" i="5"/>
  <c r="N56" i="5"/>
  <c r="P56" i="5"/>
  <c r="N35" i="5"/>
  <c r="P35" i="5"/>
  <c r="N5" i="5"/>
  <c r="P5" i="5"/>
  <c r="N15" i="5"/>
  <c r="P15" i="5"/>
  <c r="N14" i="5"/>
  <c r="P14" i="5"/>
  <c r="N52" i="5"/>
  <c r="P52" i="5"/>
  <c r="N50" i="5"/>
  <c r="P50" i="5"/>
  <c r="N57" i="5"/>
  <c r="P57" i="5"/>
  <c r="N46" i="5"/>
  <c r="P46" i="5"/>
  <c r="N7" i="5"/>
  <c r="P7" i="5"/>
  <c r="N44" i="5"/>
  <c r="P44" i="5"/>
  <c r="N58" i="5"/>
  <c r="P58" i="5"/>
  <c r="N51" i="5"/>
  <c r="P51" i="5"/>
  <c r="N59" i="5"/>
  <c r="P59" i="5"/>
  <c r="N42" i="5"/>
  <c r="P42" i="5"/>
  <c r="N13" i="5"/>
  <c r="P13" i="5"/>
  <c r="N61" i="5"/>
  <c r="P61" i="5"/>
  <c r="N32" i="5"/>
  <c r="P32" i="5"/>
  <c r="N55" i="5"/>
  <c r="P55" i="5"/>
  <c r="N6" i="5"/>
  <c r="P6" i="5"/>
  <c r="N45" i="5"/>
  <c r="P45" i="5"/>
  <c r="N28" i="5"/>
  <c r="P28" i="5"/>
  <c r="N39" i="5"/>
  <c r="P39" i="5"/>
  <c r="N23" i="5"/>
  <c r="P23" i="5"/>
  <c r="N49" i="5"/>
  <c r="P49" i="5"/>
  <c r="N60" i="5"/>
  <c r="P60" i="5"/>
  <c r="N31" i="5"/>
  <c r="P31" i="5"/>
  <c r="N12" i="5"/>
  <c r="P12" i="5"/>
  <c r="N21" i="5"/>
  <c r="P21" i="5"/>
  <c r="N33" i="5"/>
  <c r="P33" i="5"/>
  <c r="I17" i="5"/>
  <c r="I43" i="5"/>
  <c r="I54" i="5"/>
  <c r="I53" i="5"/>
  <c r="I47" i="5"/>
  <c r="M47" i="5" s="1"/>
  <c r="I27" i="5"/>
  <c r="M27" i="5" s="1"/>
  <c r="I22" i="5"/>
  <c r="I37" i="5"/>
  <c r="I48" i="5"/>
  <c r="N41" i="5"/>
  <c r="P41" i="5"/>
  <c r="N19" i="5"/>
  <c r="P19" i="5"/>
  <c r="N38" i="5"/>
  <c r="P38" i="5"/>
  <c r="N17" i="5"/>
  <c r="P17" i="5"/>
  <c r="N43" i="5"/>
  <c r="P43" i="5"/>
  <c r="N54" i="5"/>
  <c r="P54" i="5"/>
  <c r="N53" i="5"/>
  <c r="P53" i="5"/>
  <c r="N47" i="5"/>
  <c r="P47" i="5"/>
  <c r="N27" i="5"/>
  <c r="P27" i="5"/>
  <c r="N22" i="5"/>
  <c r="P22" i="5"/>
  <c r="N37" i="5"/>
  <c r="P37" i="5"/>
  <c r="N48" i="5"/>
  <c r="P48" i="5"/>
  <c r="N4" i="5"/>
  <c r="P4" i="5"/>
  <c r="N10" i="5"/>
  <c r="P10" i="5"/>
  <c r="N40" i="5"/>
  <c r="P40" i="5"/>
  <c r="I3" i="5"/>
  <c r="I16" i="5"/>
  <c r="M16" i="5" s="1"/>
  <c r="I30" i="5"/>
  <c r="I29" i="5"/>
  <c r="Y29" i="5" s="1"/>
  <c r="I18" i="5"/>
  <c r="I11" i="5"/>
  <c r="I8" i="5"/>
  <c r="I9" i="5"/>
  <c r="I20" i="5"/>
  <c r="Y20" i="5" s="1"/>
  <c r="I4" i="5"/>
  <c r="I31" i="5"/>
  <c r="I42" i="5"/>
  <c r="I41" i="5"/>
  <c r="I34" i="5"/>
  <c r="I12" i="5"/>
  <c r="I36" i="5"/>
  <c r="I10" i="5"/>
  <c r="I21" i="5"/>
  <c r="I44" i="5"/>
  <c r="I19" i="5"/>
  <c r="I13" i="5"/>
  <c r="I58" i="5"/>
  <c r="I40" i="5"/>
  <c r="I51" i="5"/>
  <c r="I38" i="5"/>
  <c r="I61" i="5"/>
  <c r="I33" i="5"/>
  <c r="I59" i="5"/>
  <c r="I32" i="5"/>
  <c r="I6" i="5"/>
  <c r="I45" i="5"/>
  <c r="I28" i="5"/>
  <c r="I39" i="5"/>
  <c r="I23" i="5"/>
  <c r="I49" i="5"/>
  <c r="I60" i="5"/>
  <c r="C20" i="16"/>
  <c r="C22" i="16"/>
  <c r="C21" i="16"/>
  <c r="I11" i="15"/>
  <c r="C10" i="16" s="1"/>
  <c r="C4" i="16"/>
  <c r="H11" i="15"/>
  <c r="C9" i="16" s="1"/>
  <c r="C3" i="16"/>
  <c r="B23" i="16"/>
  <c r="I12" i="15"/>
  <c r="B10" i="16" s="1"/>
  <c r="B4" i="16"/>
  <c r="B2" i="16"/>
  <c r="G12" i="15"/>
  <c r="B3" i="16"/>
  <c r="H12" i="15"/>
  <c r="B9" i="16" s="1"/>
  <c r="G11" i="15"/>
  <c r="C8" i="16" s="1"/>
  <c r="C2" i="16"/>
  <c r="E151" i="2"/>
  <c r="C119" i="2"/>
  <c r="B119" i="2"/>
  <c r="A119" i="2"/>
  <c r="W23" i="5" l="1"/>
  <c r="Y23" i="5"/>
  <c r="W18" i="5"/>
  <c r="Y18" i="5"/>
  <c r="W37" i="5"/>
  <c r="Y37" i="5"/>
  <c r="W52" i="5"/>
  <c r="Y52" i="5"/>
  <c r="W10" i="5"/>
  <c r="Y10" i="5"/>
  <c r="W39" i="5"/>
  <c r="Y39" i="5"/>
  <c r="W58" i="5"/>
  <c r="Y58" i="5"/>
  <c r="W36" i="5"/>
  <c r="Y36" i="5"/>
  <c r="W22" i="5"/>
  <c r="Y22" i="5"/>
  <c r="W44" i="5"/>
  <c r="Y44" i="5"/>
  <c r="W40" i="5"/>
  <c r="Y40" i="5"/>
  <c r="W13" i="5"/>
  <c r="Y13" i="5"/>
  <c r="W12" i="5"/>
  <c r="Y12" i="5"/>
  <c r="W15" i="5"/>
  <c r="Y15" i="5"/>
  <c r="W28" i="5"/>
  <c r="Y28" i="5"/>
  <c r="W30" i="5"/>
  <c r="Y30" i="5"/>
  <c r="W27" i="5"/>
  <c r="Y27" i="5"/>
  <c r="W45" i="5"/>
  <c r="Y45" i="5"/>
  <c r="W19" i="5"/>
  <c r="Y19" i="5"/>
  <c r="W34" i="5"/>
  <c r="Y34" i="5"/>
  <c r="W16" i="5"/>
  <c r="Y16" i="5"/>
  <c r="W47" i="5"/>
  <c r="Y47" i="5"/>
  <c r="W5" i="5"/>
  <c r="Y5" i="5"/>
  <c r="W3" i="5"/>
  <c r="Y3" i="5"/>
  <c r="W35" i="5"/>
  <c r="Y35" i="5"/>
  <c r="W55" i="5"/>
  <c r="Y55" i="5"/>
  <c r="W42" i="5"/>
  <c r="Y42" i="5"/>
  <c r="W54" i="5"/>
  <c r="Y54" i="5"/>
  <c r="W56" i="5"/>
  <c r="Y56" i="5"/>
  <c r="W53" i="5"/>
  <c r="Y53" i="5"/>
  <c r="W32" i="5"/>
  <c r="Y32" i="5"/>
  <c r="W31" i="5"/>
  <c r="Y31" i="5"/>
  <c r="W43" i="5"/>
  <c r="Y43" i="5"/>
  <c r="W59" i="5"/>
  <c r="Y59" i="5"/>
  <c r="W4" i="5"/>
  <c r="Y4" i="5"/>
  <c r="W17" i="5"/>
  <c r="Y17" i="5"/>
  <c r="W33" i="5"/>
  <c r="Y33" i="5"/>
  <c r="W7" i="5"/>
  <c r="Y7" i="5"/>
  <c r="W6" i="5"/>
  <c r="Y6" i="5"/>
  <c r="W9" i="5"/>
  <c r="Y9" i="5"/>
  <c r="W46" i="5"/>
  <c r="Y46" i="5"/>
  <c r="W41" i="5"/>
  <c r="Y41" i="5"/>
  <c r="W61" i="5"/>
  <c r="Y61" i="5"/>
  <c r="W60" i="5"/>
  <c r="Y60" i="5"/>
  <c r="W38" i="5"/>
  <c r="Y38" i="5"/>
  <c r="W8" i="5"/>
  <c r="Y8" i="5"/>
  <c r="W57" i="5"/>
  <c r="Y57" i="5"/>
  <c r="W49" i="5"/>
  <c r="Y49" i="5"/>
  <c r="W51" i="5"/>
  <c r="Y51" i="5"/>
  <c r="W21" i="5"/>
  <c r="Y21" i="5"/>
  <c r="W11" i="5"/>
  <c r="Y11" i="5"/>
  <c r="W48" i="5"/>
  <c r="Y48" i="5"/>
  <c r="W50" i="5"/>
  <c r="Y50" i="5"/>
  <c r="W29" i="5"/>
  <c r="W14" i="5"/>
  <c r="M12" i="5"/>
  <c r="M37" i="5"/>
  <c r="M10" i="5"/>
  <c r="U20" i="5"/>
  <c r="W20" i="5"/>
  <c r="M52" i="5"/>
  <c r="M18" i="5"/>
  <c r="M30" i="5"/>
  <c r="S4" i="5"/>
  <c r="U4" i="5"/>
  <c r="S17" i="5"/>
  <c r="U17" i="5"/>
  <c r="S60" i="5"/>
  <c r="U60" i="5"/>
  <c r="S46" i="5"/>
  <c r="U46" i="5"/>
  <c r="S49" i="5"/>
  <c r="U49" i="5"/>
  <c r="S8" i="5"/>
  <c r="U8" i="5"/>
  <c r="S57" i="5"/>
  <c r="U57" i="5"/>
  <c r="S51" i="5"/>
  <c r="U51" i="5"/>
  <c r="S23" i="5"/>
  <c r="U23" i="5"/>
  <c r="S40" i="5"/>
  <c r="U40" i="5"/>
  <c r="M29" i="5"/>
  <c r="S21" i="5"/>
  <c r="U21" i="5"/>
  <c r="S11" i="5"/>
  <c r="U11" i="5"/>
  <c r="S48" i="5"/>
  <c r="U48" i="5"/>
  <c r="S50" i="5"/>
  <c r="U50" i="5"/>
  <c r="S9" i="5"/>
  <c r="U9" i="5"/>
  <c r="S39" i="5"/>
  <c r="U39" i="5"/>
  <c r="S58" i="5"/>
  <c r="U58" i="5"/>
  <c r="M14" i="5"/>
  <c r="S10" i="5"/>
  <c r="U10" i="5"/>
  <c r="S18" i="5"/>
  <c r="U18" i="5"/>
  <c r="S37" i="5"/>
  <c r="U37" i="5"/>
  <c r="S52" i="5"/>
  <c r="U52" i="5"/>
  <c r="S61" i="5"/>
  <c r="U61" i="5"/>
  <c r="S45" i="5"/>
  <c r="U45" i="5"/>
  <c r="S19" i="5"/>
  <c r="U19" i="5"/>
  <c r="S12" i="5"/>
  <c r="U12" i="5"/>
  <c r="S30" i="5"/>
  <c r="U30" i="5"/>
  <c r="S27" i="5"/>
  <c r="U27" i="5"/>
  <c r="S15" i="5"/>
  <c r="U15" i="5"/>
  <c r="S33" i="5"/>
  <c r="U33" i="5"/>
  <c r="S13" i="5"/>
  <c r="U13" i="5"/>
  <c r="S29" i="5"/>
  <c r="U29" i="5"/>
  <c r="S22" i="5"/>
  <c r="U22" i="5"/>
  <c r="S44" i="5"/>
  <c r="U44" i="5"/>
  <c r="S34" i="5"/>
  <c r="U34" i="5"/>
  <c r="S16" i="5"/>
  <c r="U16" i="5"/>
  <c r="S47" i="5"/>
  <c r="U47" i="5"/>
  <c r="S5" i="5"/>
  <c r="U5" i="5"/>
  <c r="S38" i="5"/>
  <c r="U38" i="5"/>
  <c r="S36" i="5"/>
  <c r="U36" i="5"/>
  <c r="S14" i="5"/>
  <c r="U14" i="5"/>
  <c r="S6" i="5"/>
  <c r="U6" i="5"/>
  <c r="S55" i="5"/>
  <c r="U55" i="5"/>
  <c r="M36" i="5"/>
  <c r="M17" i="5"/>
  <c r="M22" i="5"/>
  <c r="S41" i="5"/>
  <c r="U41" i="5"/>
  <c r="S3" i="5"/>
  <c r="U3" i="5"/>
  <c r="S53" i="5"/>
  <c r="U53" i="5"/>
  <c r="S35" i="5"/>
  <c r="U35" i="5"/>
  <c r="S42" i="5"/>
  <c r="U42" i="5"/>
  <c r="S54" i="5"/>
  <c r="U54" i="5"/>
  <c r="S56" i="5"/>
  <c r="U56" i="5"/>
  <c r="M7" i="5"/>
  <c r="U7" i="5"/>
  <c r="S28" i="5"/>
  <c r="U28" i="5"/>
  <c r="S32" i="5"/>
  <c r="U32" i="5"/>
  <c r="S59" i="5"/>
  <c r="U59" i="5"/>
  <c r="S31" i="5"/>
  <c r="U31" i="5"/>
  <c r="S43" i="5"/>
  <c r="U43" i="5"/>
  <c r="M34" i="5"/>
  <c r="S20" i="5"/>
  <c r="M46" i="5"/>
  <c r="M21" i="5"/>
  <c r="M57" i="5"/>
  <c r="S7" i="5"/>
  <c r="M11" i="5"/>
  <c r="O51" i="5"/>
  <c r="Q51" i="5"/>
  <c r="O41" i="5"/>
  <c r="Q41" i="5"/>
  <c r="O3" i="5"/>
  <c r="Q3" i="5"/>
  <c r="O53" i="5"/>
  <c r="Q53" i="5"/>
  <c r="O35" i="5"/>
  <c r="Q35" i="5"/>
  <c r="O23" i="5"/>
  <c r="Q23" i="5"/>
  <c r="O40" i="5"/>
  <c r="Q40" i="5"/>
  <c r="O42" i="5"/>
  <c r="Q42" i="5"/>
  <c r="O54" i="5"/>
  <c r="Q54" i="5"/>
  <c r="O56" i="5"/>
  <c r="Q56" i="5"/>
  <c r="O43" i="5"/>
  <c r="Q43" i="5"/>
  <c r="O28" i="5"/>
  <c r="Q28" i="5"/>
  <c r="O13" i="5"/>
  <c r="Q13" i="5"/>
  <c r="O4" i="5"/>
  <c r="Q4" i="5"/>
  <c r="O17" i="5"/>
  <c r="Q17" i="5"/>
  <c r="O19" i="5"/>
  <c r="Q19" i="5"/>
  <c r="O7" i="5"/>
  <c r="Q7" i="5"/>
  <c r="O55" i="5"/>
  <c r="Q55" i="5"/>
  <c r="M20" i="5"/>
  <c r="O8" i="5"/>
  <c r="Q8" i="5"/>
  <c r="O57" i="5"/>
  <c r="Q57" i="5"/>
  <c r="O49" i="5"/>
  <c r="Q49" i="5"/>
  <c r="O31" i="5"/>
  <c r="Q31" i="5"/>
  <c r="O44" i="5"/>
  <c r="Q44" i="5"/>
  <c r="O9" i="5"/>
  <c r="Q9" i="5"/>
  <c r="O46" i="5"/>
  <c r="Q46" i="5"/>
  <c r="O32" i="5"/>
  <c r="Q32" i="5"/>
  <c r="O21" i="5"/>
  <c r="Q21" i="5"/>
  <c r="O11" i="5"/>
  <c r="Q11" i="5"/>
  <c r="O48" i="5"/>
  <c r="Q48" i="5"/>
  <c r="O50" i="5"/>
  <c r="Q50" i="5"/>
  <c r="O58" i="5"/>
  <c r="Q58" i="5"/>
  <c r="O45" i="5"/>
  <c r="Q45" i="5"/>
  <c r="O59" i="5"/>
  <c r="Q59" i="5"/>
  <c r="O10" i="5"/>
  <c r="Q10" i="5"/>
  <c r="O18" i="5"/>
  <c r="Q18" i="5"/>
  <c r="O37" i="5"/>
  <c r="Q37" i="5"/>
  <c r="O52" i="5"/>
  <c r="Q52" i="5"/>
  <c r="O33" i="5"/>
  <c r="Q33" i="5"/>
  <c r="M9" i="5"/>
  <c r="O36" i="5"/>
  <c r="Q36" i="5"/>
  <c r="O29" i="5"/>
  <c r="Q29" i="5"/>
  <c r="O22" i="5"/>
  <c r="Q22" i="5"/>
  <c r="O14" i="5"/>
  <c r="Q14" i="5"/>
  <c r="O39" i="5"/>
  <c r="Q39" i="5"/>
  <c r="O12" i="5"/>
  <c r="Q12" i="5"/>
  <c r="O30" i="5"/>
  <c r="Q30" i="5"/>
  <c r="O27" i="5"/>
  <c r="Q27" i="5"/>
  <c r="O15" i="5"/>
  <c r="Q15" i="5"/>
  <c r="O20" i="5"/>
  <c r="Q20" i="5"/>
  <c r="O6" i="5"/>
  <c r="Q6" i="5"/>
  <c r="O61" i="5"/>
  <c r="Q61" i="5"/>
  <c r="O60" i="5"/>
  <c r="Q60" i="5"/>
  <c r="O38" i="5"/>
  <c r="Q38" i="5"/>
  <c r="M35" i="5"/>
  <c r="O34" i="5"/>
  <c r="Q34" i="5"/>
  <c r="O16" i="5"/>
  <c r="Q16" i="5"/>
  <c r="O47" i="5"/>
  <c r="Q47" i="5"/>
  <c r="O5" i="5"/>
  <c r="Q5" i="5"/>
  <c r="M43" i="5"/>
  <c r="M54" i="5"/>
  <c r="M8" i="5"/>
  <c r="M48" i="5"/>
  <c r="M56" i="5"/>
  <c r="M41" i="5"/>
  <c r="M3" i="5"/>
  <c r="M53" i="5"/>
  <c r="M42" i="5"/>
  <c r="M31" i="5"/>
  <c r="M4" i="5"/>
  <c r="M28" i="5"/>
  <c r="M45" i="5"/>
  <c r="M19" i="5"/>
  <c r="M23" i="5"/>
  <c r="M13" i="5"/>
  <c r="M6" i="5"/>
  <c r="M44" i="5"/>
  <c r="M32" i="5"/>
  <c r="M59" i="5"/>
  <c r="M39" i="5"/>
  <c r="M61" i="5"/>
  <c r="M55" i="5"/>
  <c r="M33" i="5"/>
  <c r="M38" i="5"/>
  <c r="M40" i="5"/>
  <c r="M58" i="5"/>
  <c r="M60" i="5"/>
  <c r="M49" i="5"/>
  <c r="M51" i="5"/>
  <c r="C23" i="16"/>
  <c r="D23" i="16" s="1"/>
  <c r="B5" i="16"/>
  <c r="H19" i="15"/>
  <c r="C15" i="16" s="1"/>
  <c r="I19" i="15"/>
  <c r="C16" i="16" s="1"/>
  <c r="C11" i="16"/>
  <c r="G19" i="15"/>
  <c r="C14" i="16" s="1"/>
  <c r="H20" i="15"/>
  <c r="B15" i="16" s="1"/>
  <c r="B8" i="16"/>
  <c r="G20" i="15"/>
  <c r="B14" i="16" s="1"/>
  <c r="C5" i="16"/>
  <c r="I20" i="15"/>
  <c r="B16" i="16" s="1"/>
  <c r="E119" i="2"/>
  <c r="B14" i="8"/>
  <c r="B13" i="8"/>
  <c r="B12" i="8"/>
  <c r="B11" i="8"/>
  <c r="B10" i="8"/>
  <c r="B7" i="8"/>
  <c r="B6" i="8"/>
  <c r="B4" i="8"/>
  <c r="B3" i="8"/>
  <c r="B2" i="8"/>
  <c r="B21" i="8" l="1"/>
  <c r="B24" i="8"/>
  <c r="B23" i="8"/>
  <c r="B22" i="8"/>
  <c r="B20" i="8"/>
  <c r="B25" i="8"/>
  <c r="B26" i="8"/>
  <c r="D5" i="16"/>
  <c r="B15" i="8" s="1"/>
  <c r="C17" i="16"/>
  <c r="B17" i="16"/>
  <c r="B11" i="16"/>
  <c r="D11" i="16" s="1"/>
  <c r="B16" i="8" s="1"/>
  <c r="B9" i="8"/>
  <c r="B8" i="8"/>
  <c r="B5" i="6"/>
  <c r="B6" i="6"/>
  <c r="B4" i="6"/>
  <c r="B3" i="6"/>
  <c r="D17" i="16" l="1"/>
  <c r="B17" i="8" s="1"/>
  <c r="E3" i="1"/>
  <c r="D3" i="1" a="1"/>
  <c r="D3"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<sst xmlns="http://schemas.openxmlformats.org/spreadsheetml/2006/main" count="2403" uniqueCount="962">
  <si>
    <t xml:space="preserve">WCAG Accessibility Reporting Template (ART) is designed to provide empirical weighted scoring based on a single set of "validations" for manual testing of websites (during any time in the build process), other ICT, and ACR reviews. </t>
  </si>
  <si>
    <t>WCAG ART unites the build, procurement, and improvement processes with all teams working toward the same expected result.</t>
  </si>
  <si>
    <t>WCAG ART workbook has eleven sheets, in order 1st to last or left to right, Use and Instructions, Executive Summary, Empirical Scores, Findings Overview, Report Entry, Custom Test Script, Examples, Success Criteria (SC) Help, Topic Code Help,</t>
  </si>
  <si>
    <t xml:space="preserve">Findings Breakdown, and Validations List. </t>
  </si>
  <si>
    <t>Executive Summary sheet provides a recap of testing parameters and results including by disabilities impacted. It does not allow for input.</t>
  </si>
  <si>
    <t>Empirical Scores sheet breaksdown the findings by WCAG version, by importance level ranked by the agency, by results of the testing, and calculates the overall audit score. It does not allow for input.</t>
  </si>
  <si>
    <t>Findings Overview sheet breaksdown the findings by WCAG version, by importance level by the agency, importance level by the tester, by results. It does not allow for input.</t>
  </si>
  <si>
    <t>Report Entry sheet is fillable and is the primary input sheet for the evaluator.  It has detailed instructions in cell A1. Cell A24 has additional details to complete an unscripted test.</t>
  </si>
  <si>
    <t>Custom Test Script sheet provides the ability to create custom scripts. It is currently pre-filled with all "validations" for WCAG 2.2 A &amp; AA SC.  Column A rows 2 through 141 allows selection of a unique test "validation" question.</t>
  </si>
  <si>
    <t xml:space="preserve">Columns D through I require input of; results, severity, how it works now, how it should work, code help, and error location respectively. </t>
  </si>
  <si>
    <t xml:space="preserve">Examples sheet is entirely free-form. It is intended for screen shots and notes to support findings. </t>
  </si>
  <si>
    <t>Success Criteria Help and Topic Code Help sheets allow user to choice from a selection list and either the SC or links to code advice are provided.</t>
  </si>
  <si>
    <t>Findings Breakdown sheet is cummulating all the results by SC guideline.  It creates the table for the scoring results and does not allow for input.</t>
  </si>
  <si>
    <t xml:space="preserve">Validations List sheet is the driver for the entire workbook. It has Master guidelines tables, importance weights, validations questions, all drop down selection list options. </t>
  </si>
  <si>
    <t xml:space="preserve">To change the validations questions simply change out the Custom Script table. </t>
  </si>
  <si>
    <t>All password protected sheets the password is 0A11yConcerns</t>
  </si>
  <si>
    <t>0A11yConcerns</t>
  </si>
  <si>
    <t>The current set of validation questions is primarily based on Cornell Web Accessiblity Testing Guidelines (the link is directly below).</t>
  </si>
  <si>
    <t>Additional resources include:</t>
  </si>
  <si>
    <t>World Wide Web Consortium (W3C)</t>
  </si>
  <si>
    <t>The WCAG 2 Documents (W3C)</t>
  </si>
  <si>
    <t>Department of Homeland Security - Section 508 Trusted Tester Conformance Test Process</t>
  </si>
  <si>
    <t>deque</t>
  </si>
  <si>
    <t>Details</t>
  </si>
  <si>
    <t>Responses</t>
  </si>
  <si>
    <t>Name of Site:</t>
  </si>
  <si>
    <t>Date of Evaluation:</t>
  </si>
  <si>
    <t>URL(s):</t>
  </si>
  <si>
    <t># of Pages Reviewed:</t>
  </si>
  <si>
    <t>Evaluated by:</t>
  </si>
  <si>
    <t>WCAG SC Version:</t>
  </si>
  <si>
    <t>Number of WCAG 2.0 SC  Reviewed:</t>
  </si>
  <si>
    <t>Number of WCAG 2.1 SC  Reviewed:</t>
  </si>
  <si>
    <t xml:space="preserve">Evaluation Methods/Tools Used: </t>
  </si>
  <si>
    <t>Operating System and Browser/Version:</t>
  </si>
  <si>
    <t>Public-facing</t>
  </si>
  <si>
    <t>Analytics (if known):</t>
  </si>
  <si>
    <t>SiteImprove Auto-scan Score (if available):</t>
  </si>
  <si>
    <r>
      <t xml:space="preserve">WCAG 2.0 Score
</t>
    </r>
    <r>
      <rPr>
        <sz val="12"/>
        <color theme="0"/>
        <rFont val="Georgia Pro"/>
        <family val="1"/>
      </rPr>
      <t>out of 17350</t>
    </r>
  </si>
  <si>
    <r>
      <t xml:space="preserve">WCAG 2.1 Score
</t>
    </r>
    <r>
      <rPr>
        <sz val="12"/>
        <color theme="0"/>
        <rFont val="Georgia Pro"/>
        <family val="1"/>
      </rPr>
      <t>out of 19000</t>
    </r>
  </si>
  <si>
    <r>
      <t xml:space="preserve">WCAG 2.2 Score
</t>
    </r>
    <r>
      <rPr>
        <sz val="12"/>
        <color theme="0"/>
        <rFont val="Georgia Pro"/>
        <family val="1"/>
      </rPr>
      <t>out of 19550</t>
    </r>
  </si>
  <si>
    <r>
      <t xml:space="preserve">ACR Confidence Score
</t>
    </r>
    <r>
      <rPr>
        <sz val="12"/>
        <color theme="0"/>
        <rFont val="Georgia Pro"/>
        <family val="1"/>
      </rPr>
      <t>out of 350</t>
    </r>
  </si>
  <si>
    <t>Disabilities Impacted</t>
  </si>
  <si>
    <t>% of Tested Criteria Supported</t>
  </si>
  <si>
    <t>Motor</t>
  </si>
  <si>
    <t>Cognitive</t>
  </si>
  <si>
    <t>Low Vision</t>
  </si>
  <si>
    <t>Hearing</t>
  </si>
  <si>
    <t>Colorblindness</t>
  </si>
  <si>
    <t>Blindness</t>
  </si>
  <si>
    <t>Epilepsy</t>
  </si>
  <si>
    <t>WCAG 2.0 A &amp; AA SCORE</t>
  </si>
  <si>
    <t>Supports w/ Exceptions</t>
  </si>
  <si>
    <t>Supports / Does Not Apply</t>
  </si>
  <si>
    <t>Result</t>
  </si>
  <si>
    <t>Extremely Important</t>
  </si>
  <si>
    <t>Important</t>
  </si>
  <si>
    <t>Standard</t>
  </si>
  <si>
    <t>Score</t>
  </si>
  <si>
    <t>WCAG 2.1 A &amp; AA SCORE</t>
  </si>
  <si>
    <t>WCAG 2.2 A &amp; AA SCORE</t>
  </si>
  <si>
    <t>WCAG AAA SCORE</t>
  </si>
  <si>
    <t>WCAG 2.0 A &amp; AA</t>
  </si>
  <si>
    <t>Ranked by Auditor</t>
  </si>
  <si>
    <t>Ranked by Agency</t>
  </si>
  <si>
    <t xml:space="preserve">Conformance Level </t>
  </si>
  <si>
    <t>Total</t>
  </si>
  <si>
    <t>High</t>
  </si>
  <si>
    <t>Medium</t>
  </si>
  <si>
    <t>Low</t>
  </si>
  <si>
    <t>Best practice</t>
  </si>
  <si>
    <t>Extremely important</t>
  </si>
  <si>
    <t xml:space="preserve">Supports </t>
  </si>
  <si>
    <t>Supports with exceptions</t>
  </si>
  <si>
    <t>Does Not Support</t>
  </si>
  <si>
    <t>Does Not Apply</t>
  </si>
  <si>
    <t>Not Tested</t>
  </si>
  <si>
    <t>WCAG 2.1 A &amp; AA</t>
  </si>
  <si>
    <t>WCAG 2.2 A &amp; AA</t>
  </si>
  <si>
    <t>Total AAA's</t>
  </si>
  <si>
    <t>Report Entry sheet supports up to 140 findings.  Input reviewed website, application or ACR name in B3, date tested or reviewed B4, URL(s) tested in B5, number of pages reviewed in B6, evaluator's name in B7, WCAG version in B8, evaluation methods and tools used in B9, enter operating system and browser including versions in B10, enter the screen reader AT including version used in B11, Public facing site yes or no in B12, Google analytics in B13, and SiteImprove score in B14. Rows 15 through 23 only apply if it is an ACR review. D5 returns the most common error. E5 returns total number of findings. A26 thru H165 are input fields for findings. Column A26:A165 allows for a short description of the concern, Column B26:B165 has a drop down list of results levels. Column C26:C165 has a drop down list of the severity levels, Column D26:D165 has WCAG SC guidelines. Column E26:E165 is for a text description of how it works now, Column F26:F165 is for a text description of how it should work, Column G26:G165 has an optional drop down list of code suggestion website links. Column H26:H165 is how prevalent (global - all pages, otherwise provide page urls). Column I and J are filled in automatically and provide WCAG version and level.   A severity level of "best practice" or "preference" are not failures.</t>
  </si>
  <si>
    <t>Comments / Notes</t>
  </si>
  <si>
    <t>Most common error</t>
  </si>
  <si>
    <t>Number of findings</t>
  </si>
  <si>
    <t>Name of Site / App / ACR:</t>
  </si>
  <si>
    <t>Your Website</t>
  </si>
  <si>
    <t>Enter site or application or ACR name /domain in B3</t>
  </si>
  <si>
    <t>Enter date tested or ACR reviewed date in B4</t>
  </si>
  <si>
    <t>exact urls
dark and light modes each page</t>
  </si>
  <si>
    <t>URLs of (links to) pages tested in B5</t>
  </si>
  <si>
    <t>Number of pages reviewed:</t>
  </si>
  <si>
    <t># of pages tested in B6  (Light / Dark mode, Spanish / English pages are all checked individually)
Does not apply for ACR review</t>
  </si>
  <si>
    <t>Ron Schneidereit</t>
  </si>
  <si>
    <t>Enter name of the tester / ACR evaluator in B7</t>
  </si>
  <si>
    <t>Enter the WCAG version and level of the scope of the test or ACR in B8</t>
  </si>
  <si>
    <t>Evaluation Methods / Tools Used:</t>
  </si>
  <si>
    <t>mouse, keyboard only, NVDA, Helperbird, CSS disabler,
WAVE, Lighthouse, Google code inspection</t>
  </si>
  <si>
    <t>List all tools used in manual testing including all assistive technology (include versions for anything other than operating system, browser, and screen readers) in B9</t>
  </si>
  <si>
    <t>Operating System &amp; Browser / Version:</t>
  </si>
  <si>
    <t>Windows 10 Enterprise ver. 21H2
Chrome Version 113.0.5672.127 (Official Build) (64-bit)
Desktop</t>
  </si>
  <si>
    <t>List operating system and browser including versions of each in B10</t>
  </si>
  <si>
    <t>AT - screen reader</t>
  </si>
  <si>
    <t>NonVisual Desktop Access (NVDA)
Version 2023.1(2023.1.0.27913)</t>
  </si>
  <si>
    <t>Enter the screen reader Assistive Technology including version utilized in B11</t>
  </si>
  <si>
    <t>Public-facing?</t>
  </si>
  <si>
    <t>Yes</t>
  </si>
  <si>
    <t>Enter Yes or No, if the website tested is public facing or not in B12</t>
  </si>
  <si>
    <t>????</t>
  </si>
  <si>
    <t># of visitors including date information gathered (if known) in B13</t>
  </si>
  <si>
    <t>SiteImprove Auto-scan Score (if known)</t>
  </si>
  <si>
    <t>Enter score percentage including date information gathered (if known) in B14</t>
  </si>
  <si>
    <t>ACR Reviews Only ACR Confidence Score</t>
  </si>
  <si>
    <t>Report Date:</t>
  </si>
  <si>
    <t>Within one year</t>
  </si>
  <si>
    <t>Conducted by:</t>
  </si>
  <si>
    <t xml:space="preserve">Known enterprise level A11y company (Level Access, TPGI, etc.) </t>
  </si>
  <si>
    <t>Evaluation Methods:</t>
  </si>
  <si>
    <t>Complete list of methods (pointing device, keyboard- only, screen-reader, user chosen accessibility tool, other AT)</t>
  </si>
  <si>
    <t>Tools used:</t>
  </si>
  <si>
    <t>Complete list of tools (screen reader, Dev tools, A11y test tools, color contrast, user chosen (Helperbird) tools, etc.)</t>
  </si>
  <si>
    <t>Versions provided:</t>
  </si>
  <si>
    <t>All versions for tools, operating system, and browsers are provided</t>
  </si>
  <si>
    <t>Conformance Level / Remarks response:</t>
  </si>
  <si>
    <t>All responses are reasonable and or reasonably supported by the remarks</t>
  </si>
  <si>
    <t>Remarks responses:</t>
  </si>
  <si>
    <t>Remarks indicate a clear understanding of SC, included details of where, when, and how of the found concern, if it is a blocker, barrier, or point of confusion, if  an alternative method exists, possibly plans to address the concern</t>
  </si>
  <si>
    <t>ACR Confidence Score</t>
  </si>
  <si>
    <t xml:space="preserve">The fields below allow for an unscripted review of a website, or other ICT.  Rows 26 through 165 allow input across columns A through H. The respective inputs are short description, results, severity, related WCAG guideline, error description, error correction, code suggestion, and how prevalent.  The results are included in the summary calculations.  </t>
  </si>
  <si>
    <t>Short description</t>
  </si>
  <si>
    <t>Results</t>
  </si>
  <si>
    <t>Severity</t>
  </si>
  <si>
    <t>Related WCAG Guideline</t>
  </si>
  <si>
    <t>Error description - how it works now</t>
  </si>
  <si>
    <t>Error correction - how it should work</t>
  </si>
  <si>
    <t>Code suggestion / links</t>
  </si>
  <si>
    <t>How Prevalent</t>
  </si>
  <si>
    <t>Version</t>
  </si>
  <si>
    <t>Level</t>
  </si>
  <si>
    <t>Test #</t>
  </si>
  <si>
    <t>Related SC</t>
  </si>
  <si>
    <t>Validation</t>
  </si>
  <si>
    <t>Error description
 - how it works now</t>
  </si>
  <si>
    <t>Error correction
 - how it should work</t>
  </si>
  <si>
    <t>Error Location</t>
  </si>
  <si>
    <t>1.1.1.a</t>
  </si>
  <si>
    <t>1.1.1.b</t>
  </si>
  <si>
    <t>1.1.1.c</t>
  </si>
  <si>
    <t>1.1.1.d</t>
  </si>
  <si>
    <t>1.1.1.e</t>
  </si>
  <si>
    <t>1.1.1.f</t>
  </si>
  <si>
    <t>1.1.1.g</t>
  </si>
  <si>
    <t>1.1.1.h</t>
  </si>
  <si>
    <t>1.1.1.i</t>
  </si>
  <si>
    <t>1.1.1.j</t>
  </si>
  <si>
    <t>1.1.1.k</t>
  </si>
  <si>
    <t>1.2.1.a</t>
  </si>
  <si>
    <t>1.2.1.b</t>
  </si>
  <si>
    <t>1.2.1.c</t>
  </si>
  <si>
    <t>1.2.1.d</t>
  </si>
  <si>
    <t>1.2.1.e</t>
  </si>
  <si>
    <t>1.2.1.f</t>
  </si>
  <si>
    <t>1.2.1.g</t>
  </si>
  <si>
    <t>1.2.2.a</t>
  </si>
  <si>
    <t>1.2.2.b</t>
  </si>
  <si>
    <t>1.2.2.c</t>
  </si>
  <si>
    <t>1.2.3.a</t>
  </si>
  <si>
    <t>1.2.3.b</t>
  </si>
  <si>
    <t>1.2.3.c</t>
  </si>
  <si>
    <t>1.2.4.a</t>
  </si>
  <si>
    <t>1.2.5.a</t>
  </si>
  <si>
    <t>1.3.1.a</t>
  </si>
  <si>
    <t>1.3.1.b</t>
  </si>
  <si>
    <t>1.3.1.c</t>
  </si>
  <si>
    <t>1.3.1.d</t>
  </si>
  <si>
    <t>1.3.1.e</t>
  </si>
  <si>
    <t>1.3.1.f</t>
  </si>
  <si>
    <t>1.3.1.g</t>
  </si>
  <si>
    <t>1.3.1.h</t>
  </si>
  <si>
    <t>1.3.1.i</t>
  </si>
  <si>
    <t>1.3.1.j</t>
  </si>
  <si>
    <t>1.3.1.k</t>
  </si>
  <si>
    <t>1.3.1.l</t>
  </si>
  <si>
    <t>1.3.1.m</t>
  </si>
  <si>
    <t>1.3.1.n</t>
  </si>
  <si>
    <t>1.3.1.o</t>
  </si>
  <si>
    <t>1.3.1.p</t>
  </si>
  <si>
    <t>1.3.1.q</t>
  </si>
  <si>
    <t>1.3.1.r</t>
  </si>
  <si>
    <t>1.3.2.a</t>
  </si>
  <si>
    <t>1.3.2.b</t>
  </si>
  <si>
    <t>1.3.2.c</t>
  </si>
  <si>
    <t>1.3.2.d</t>
  </si>
  <si>
    <t>1.3.3.a</t>
  </si>
  <si>
    <t>1.3.3.b</t>
  </si>
  <si>
    <t>1.3.4.a</t>
  </si>
  <si>
    <t>1.3.5.a</t>
  </si>
  <si>
    <t>1.4.1.a</t>
  </si>
  <si>
    <t>1.4.1.b</t>
  </si>
  <si>
    <t>1.4.1.c</t>
  </si>
  <si>
    <t>1.4.2.a</t>
  </si>
  <si>
    <t>1.4.3.a</t>
  </si>
  <si>
    <t>1.4.3.b</t>
  </si>
  <si>
    <t>1.4.4.a</t>
  </si>
  <si>
    <t>1.4.4.b</t>
  </si>
  <si>
    <t>1.4.5.a</t>
  </si>
  <si>
    <t>1.4.10.a</t>
  </si>
  <si>
    <t>1.4.11.a</t>
  </si>
  <si>
    <t>1.4.11.b</t>
  </si>
  <si>
    <t>1.4.12.a</t>
  </si>
  <si>
    <t>1.4.13.a</t>
  </si>
  <si>
    <t>1.4.13.b</t>
  </si>
  <si>
    <t>1.4.13.c</t>
  </si>
  <si>
    <t>2.1.1.a</t>
  </si>
  <si>
    <t>2.1.1.b</t>
  </si>
  <si>
    <t>2.1.1.c</t>
  </si>
  <si>
    <t>2.1.1.d</t>
  </si>
  <si>
    <t>2.1.2.a</t>
  </si>
  <si>
    <t>2.1.4.a</t>
  </si>
  <si>
    <t>2.2.1.a</t>
  </si>
  <si>
    <t>2.2.1.b</t>
  </si>
  <si>
    <t>2.2.1.c</t>
  </si>
  <si>
    <t>2.2.2.a</t>
  </si>
  <si>
    <t>2.2.2.b</t>
  </si>
  <si>
    <t>2.3.1.a</t>
  </si>
  <si>
    <t>2.3.1.b</t>
  </si>
  <si>
    <t>2.4.1.a</t>
  </si>
  <si>
    <t>2.4.1.b</t>
  </si>
  <si>
    <t>2.4.2.a</t>
  </si>
  <si>
    <t>2.4.2.b</t>
  </si>
  <si>
    <t>2.4.3.a</t>
  </si>
  <si>
    <t>2.4.3.b</t>
  </si>
  <si>
    <t>2.4.3.c</t>
  </si>
  <si>
    <t>2.4.3.d</t>
  </si>
  <si>
    <t>2.4.3.e</t>
  </si>
  <si>
    <t>2.4.4.a</t>
  </si>
  <si>
    <t>2.4.5.a</t>
  </si>
  <si>
    <t>2.4.6.a</t>
  </si>
  <si>
    <t>2.4.6.b</t>
  </si>
  <si>
    <t>2.4.7.a</t>
  </si>
  <si>
    <t>2.4.7.b</t>
  </si>
  <si>
    <t>2.4.11.a</t>
  </si>
  <si>
    <t>2.5.1.a</t>
  </si>
  <si>
    <t>2.5.2.a</t>
  </si>
  <si>
    <t>2.5.3.a</t>
  </si>
  <si>
    <t>2.5.4.a</t>
  </si>
  <si>
    <t>2.5.4.b</t>
  </si>
  <si>
    <t>2.5.4.c</t>
  </si>
  <si>
    <t>2.5.7.a</t>
  </si>
  <si>
    <t>2.5.8.a</t>
  </si>
  <si>
    <t>3.1.1.a</t>
  </si>
  <si>
    <t>3.1.2.a</t>
  </si>
  <si>
    <t>3.2.1.a</t>
  </si>
  <si>
    <t>3.2.2.a</t>
  </si>
  <si>
    <t>3.2.3.a</t>
  </si>
  <si>
    <t>3.2.4.a</t>
  </si>
  <si>
    <t>3.2.4.b</t>
  </si>
  <si>
    <t>3.2.6.a</t>
  </si>
  <si>
    <t>3.3.1.a</t>
  </si>
  <si>
    <t>3.3.1.b</t>
  </si>
  <si>
    <t>3.3.1.c</t>
  </si>
  <si>
    <t>3.3.2.a</t>
  </si>
  <si>
    <t>3.3.2.b</t>
  </si>
  <si>
    <t>3.3.2.c</t>
  </si>
  <si>
    <t>3.3.3.a</t>
  </si>
  <si>
    <t>3.3.3.b</t>
  </si>
  <si>
    <t>3.3.4.a</t>
  </si>
  <si>
    <t>3.3.7.a</t>
  </si>
  <si>
    <t>3.3.8.a</t>
  </si>
  <si>
    <t>3.3.8.b</t>
  </si>
  <si>
    <t>4.1.1.a</t>
  </si>
  <si>
    <t>4.1.1.b</t>
  </si>
  <si>
    <t>4.1.1.c</t>
  </si>
  <si>
    <t>4.1.2.a</t>
  </si>
  <si>
    <t>4.1.2.b</t>
  </si>
  <si>
    <t>4.1.2.c</t>
  </si>
  <si>
    <t>4.1.3.a</t>
  </si>
  <si>
    <t>Below is space for screenshots and notes to document concerns, provide reasoning for "passing" automated tool findings, alternate methods, or otherwise to help when reviewing the findings with developers.</t>
  </si>
  <si>
    <t>Specific Examples:</t>
  </si>
  <si>
    <t>Green fields below (Coumn A rows 3 through 8) allow selection from list of WCAG SC numbers</t>
  </si>
  <si>
    <t>Search WCAG SC:</t>
  </si>
  <si>
    <t>Success Criteria</t>
  </si>
  <si>
    <t>WCAG Version</t>
  </si>
  <si>
    <t>WCAG Level</t>
  </si>
  <si>
    <t>1.3.1 Info and Relationships</t>
  </si>
  <si>
    <t>1.4.10 Reflow</t>
  </si>
  <si>
    <t>1.4.13 Content on Hover or Focus</t>
  </si>
  <si>
    <t>3.1.1 Language of Page</t>
  </si>
  <si>
    <t>3.2.4 Consistent Identification</t>
  </si>
  <si>
    <t>3.3.7 Redundant Entry</t>
  </si>
  <si>
    <t>Green fields allow input from list</t>
  </si>
  <si>
    <t>Search Topics:</t>
  </si>
  <si>
    <t>Help Link address</t>
  </si>
  <si>
    <t>Main Nav</t>
  </si>
  <si>
    <t>Mobile Nav</t>
  </si>
  <si>
    <t>Download attribute</t>
  </si>
  <si>
    <t>ARIA best practices</t>
  </si>
  <si>
    <t>WCAG 2.0 SC</t>
  </si>
  <si>
    <t># Supports</t>
  </si>
  <si>
    <t># Support w/ Exceptions</t>
  </si>
  <si>
    <t># Does Not Support</t>
  </si>
  <si>
    <t># Does Not Apply</t>
  </si>
  <si>
    <t># Not Tested</t>
  </si>
  <si>
    <t>Importance by Agency</t>
  </si>
  <si>
    <t>All related Disabilities</t>
  </si>
  <si>
    <t>Total Poss</t>
  </si>
  <si>
    <t>Supports Value per</t>
  </si>
  <si>
    <t>Excepts Value per</t>
  </si>
  <si>
    <t>B Poss</t>
  </si>
  <si>
    <t>LV Poss</t>
  </si>
  <si>
    <t>CB Poss</t>
  </si>
  <si>
    <t>Hear Poss</t>
  </si>
  <si>
    <t>Cog Poss</t>
  </si>
  <si>
    <t>Motor Poss</t>
  </si>
  <si>
    <t>Ep Poss</t>
  </si>
  <si>
    <t>1.1.1 Non-text Content</t>
  </si>
  <si>
    <t>1.2.1 Audio-only and Video-only (Prerecorded)</t>
  </si>
  <si>
    <t>1.2.2 Captions (Prerecorded)</t>
  </si>
  <si>
    <t xml:space="preserve">1.2.3 Audio Description or Media Altenative (Prerecorded) </t>
  </si>
  <si>
    <t>1.2.4 Captions (Live)</t>
  </si>
  <si>
    <t>1.2.5 Audio Description (Prerecorded)</t>
  </si>
  <si>
    <t>1.2.6 Sign Language (Prerecorded)</t>
  </si>
  <si>
    <t>1.2.7 Extended Audio Description (Prerecorded)</t>
  </si>
  <si>
    <t>1.2.8 Media Alternative (Prerecorded)</t>
  </si>
  <si>
    <t>1.2.9 Audio-only (Live)</t>
  </si>
  <si>
    <t>1.3.2 Meaningful Sequence</t>
  </si>
  <si>
    <t>1.3.3 Sensory Characteristics</t>
  </si>
  <si>
    <t>1.4.1 Use of Color</t>
  </si>
  <si>
    <t>1.4.2 Audio Control</t>
  </si>
  <si>
    <t>1.4.3 Contrast (Minimum)</t>
  </si>
  <si>
    <t>1.4.4 Resize Text</t>
  </si>
  <si>
    <t>1.4.5 Images of Text</t>
  </si>
  <si>
    <t>1.4.6 Contrast (Enhanced)</t>
  </si>
  <si>
    <t>1.4.7 Low or No Background Audio</t>
  </si>
  <si>
    <t>1.4.8 Visual Presentation</t>
  </si>
  <si>
    <t>1.4.9 Images of Text (No Exceptions)</t>
  </si>
  <si>
    <t>2.1.1 Keyboard</t>
  </si>
  <si>
    <t>2.1.2 No Keyboard Trap</t>
  </si>
  <si>
    <t>2.1.3 Keyboard (No Exceptions)</t>
  </si>
  <si>
    <t>2.2.1 Timing Adjustable</t>
  </si>
  <si>
    <t>2.2.2 Pause, Stop, Hide</t>
  </si>
  <si>
    <t>2.2.3 No Timing</t>
  </si>
  <si>
    <t>2.2.4 Interruptions</t>
  </si>
  <si>
    <t>2.2.5 Re-authenticating</t>
  </si>
  <si>
    <t>2.3.1 Three Flashes or Below Threshold</t>
  </si>
  <si>
    <t>2.3.2 Three Flashes</t>
  </si>
  <si>
    <t>2.4.1 Bypass Blocks</t>
  </si>
  <si>
    <t>2.4.2 Page Titled</t>
  </si>
  <si>
    <t>2.4.3 Focus Order</t>
  </si>
  <si>
    <t>2.4.4 Link Purpose (In Context)</t>
  </si>
  <si>
    <t>2.4.5 Multiple Ways</t>
  </si>
  <si>
    <t>2.4.6 Headings and Labels</t>
  </si>
  <si>
    <t>2.4.7 Focus Visible</t>
  </si>
  <si>
    <t>2.4.8 Location</t>
  </si>
  <si>
    <t>2.4.9 Link Purpose (Link Only)</t>
  </si>
  <si>
    <t>2.4.10 Section Headings</t>
  </si>
  <si>
    <t>3.1.2 Language of Parts</t>
  </si>
  <si>
    <t>3.1.3 Unusual Words</t>
  </si>
  <si>
    <t>3.1.4 Abbreviations</t>
  </si>
  <si>
    <t>3.1.5 Reading Level</t>
  </si>
  <si>
    <t>3.1.6 Pronounciation</t>
  </si>
  <si>
    <t>3.2.1 On Focus</t>
  </si>
  <si>
    <t>3.2.2 On Input</t>
  </si>
  <si>
    <t>3.2.3 Consistent Navigation</t>
  </si>
  <si>
    <t>3.2.5 Change on Request</t>
  </si>
  <si>
    <t>3.3.1 Error Identification</t>
  </si>
  <si>
    <t>3.3.2 Labels or Instructions</t>
  </si>
  <si>
    <t>3.3.3 Error Suggestion</t>
  </si>
  <si>
    <t>3.3.4 Error Prevention (legal, financial, data)</t>
  </si>
  <si>
    <t>3.3.5 Help</t>
  </si>
  <si>
    <t>3.3.6 Error Prevention (All)</t>
  </si>
  <si>
    <t>4.1.1 Parsing</t>
  </si>
  <si>
    <t>4.1.2 Name, Role, Value</t>
  </si>
  <si>
    <t>Unique WCAG 2.1 SC</t>
  </si>
  <si>
    <t>Total possible</t>
  </si>
  <si>
    <t>Exceptions Value per2</t>
  </si>
  <si>
    <t>1.3.4 Orientation</t>
  </si>
  <si>
    <t>1.3.5 Identify Input Purpose</t>
  </si>
  <si>
    <t>1.3.6 Identify Purpose</t>
  </si>
  <si>
    <t>1.4.11 Non-text Contrast</t>
  </si>
  <si>
    <t>1.4.12 Text Spacing</t>
  </si>
  <si>
    <t>2.1.4 Character Key Shortcuts</t>
  </si>
  <si>
    <t>2.2.6 Timeouts</t>
  </si>
  <si>
    <t>2.3.3 Animations from Interactions</t>
  </si>
  <si>
    <t>2.5.1 Pointer Gestures</t>
  </si>
  <si>
    <t>2.5.2 Pointer Cancellation</t>
  </si>
  <si>
    <t>2.5.3 Label in Name</t>
  </si>
  <si>
    <t>2.5.4 Motion Actuation</t>
  </si>
  <si>
    <t>2.5.5 Target Size (Enhanced)</t>
  </si>
  <si>
    <t>2.5.6 Concurrent Input Mechanism</t>
  </si>
  <si>
    <t>4.1.3 Status Messages</t>
  </si>
  <si>
    <t>Unique WCAG 2.2 SC</t>
  </si>
  <si>
    <t>2.4.11 Focus Not Obscured (Minimum)</t>
  </si>
  <si>
    <t>2.4.12 Focus Not Obscured (Enhanced)</t>
  </si>
  <si>
    <t>2.4.13 Focus Appearance</t>
  </si>
  <si>
    <t>2.5.7 Dragging Movements</t>
  </si>
  <si>
    <t>2.5.8 Target Size (Minimum)</t>
  </si>
  <si>
    <t>3.2.6 Consistent Help</t>
  </si>
  <si>
    <t>3.3.8 Accessible Authentication (Minimum)</t>
  </si>
  <si>
    <t>3.3.9 Accessible Authentication (Enhanced)</t>
  </si>
  <si>
    <t xml:space="preserve">Validations List sheet contains all the validations data lists. There are no input fields on this sheet. Please do not change anything here.
Column E4:E80 are links by name and number to all WCAG 2.1 guidelines.  Column L4:L21 are links (linked) to code help and examples for various topics or concerns found in column K4 thru K21. </t>
  </si>
  <si>
    <t>Total Number of criteria per disability type:</t>
  </si>
  <si>
    <t>Latest Disability Statistics from CDC</t>
  </si>
  <si>
    <t>SC Number</t>
  </si>
  <si>
    <t>SC Name</t>
  </si>
  <si>
    <t>WCAG guideline</t>
  </si>
  <si>
    <t>Success Criterion</t>
  </si>
  <si>
    <t># Custom Test questions</t>
  </si>
  <si>
    <t>2.0 Y/N</t>
  </si>
  <si>
    <t>2.0 Level</t>
  </si>
  <si>
    <t>2.1 Y/N</t>
  </si>
  <si>
    <t>2.1 Level</t>
  </si>
  <si>
    <t>2.2 Y/N</t>
  </si>
  <si>
    <t>2.2 Level</t>
  </si>
  <si>
    <t>Topic / Concern</t>
  </si>
  <si>
    <t>Help link</t>
  </si>
  <si>
    <t>Link Addy</t>
  </si>
  <si>
    <t>1. Perceivable</t>
  </si>
  <si>
    <t>1.1.1</t>
  </si>
  <si>
    <t>Non-text Content</t>
  </si>
  <si>
    <t>All non-text content that is presented to the user has a text alternative that serves the equivalent purpose, except for the situations listed below.</t>
  </si>
  <si>
    <t>A</t>
  </si>
  <si>
    <t>W3Org ARIA Authoring Practices Guide</t>
  </si>
  <si>
    <t>https://www.w3.org/WAI/ARIA/apg/patterns/</t>
  </si>
  <si>
    <t>1.2.1</t>
  </si>
  <si>
    <t>Audio-only and Video-only (Prerecorded)</t>
  </si>
  <si>
    <t>An alternative for time-based media is provided that presents equivalent information for prerecorded audio-only or video-only content.</t>
  </si>
  <si>
    <t>Collapsible</t>
  </si>
  <si>
    <t>W3Schools How to build Collapsible</t>
  </si>
  <si>
    <t>https://www.w3schools.com/howto/howto_js_collapsible.asp</t>
  </si>
  <si>
    <t>1.2.2</t>
  </si>
  <si>
    <t>Captions (Prerecorded)</t>
  </si>
  <si>
    <t>Captions are provided for all prerecorded audio content in synchronized media</t>
  </si>
  <si>
    <t>Button</t>
  </si>
  <si>
    <t>W3Schools Button Tag</t>
  </si>
  <si>
    <t>https://www.w3schools.com/tags/tag_button.asp</t>
  </si>
  <si>
    <t>1.2.3</t>
  </si>
  <si>
    <t>Audio Description or Media Altenative (Prerecorded)</t>
  </si>
  <si>
    <t>An alternative for time-based media or audio description of the prerecorded video content is provided for synchronized media</t>
  </si>
  <si>
    <t>W3Schools How to build a Mobile Nav</t>
  </si>
  <si>
    <t>https://www.w3schools.com/howto/howto_js_mobile_navbar.asp</t>
  </si>
  <si>
    <t>1.2.4</t>
  </si>
  <si>
    <t>Captions (Live)</t>
  </si>
  <si>
    <t>Captions are provided for all live audio content in synchronized media.</t>
  </si>
  <si>
    <t>AA</t>
  </si>
  <si>
    <t>W3Schools How to build a Responsive TopNav or Main Nav</t>
  </si>
  <si>
    <t>https://www.w3schools.com/howto/howto_js_topnav_responsive.asp</t>
  </si>
  <si>
    <t>1.2.5</t>
  </si>
  <si>
    <t>Audio Description (Prerecorded)</t>
  </si>
  <si>
    <t>Audio description is provided for all prerecorded video content in synchronized media</t>
  </si>
  <si>
    <t>Text Links</t>
  </si>
  <si>
    <t>Deque Text Links: Best Practices for Screen Readers</t>
  </si>
  <si>
    <t>https://www.deque.com/blog/text-links-practices-screen-readers/</t>
  </si>
  <si>
    <t>1.2.6</t>
  </si>
  <si>
    <t>Sign Language (Prerecorded)</t>
  </si>
  <si>
    <t>Sign language interpretation is provided for all prerecorded audio content in synchronized media.</t>
  </si>
  <si>
    <t>AAA</t>
  </si>
  <si>
    <t>Grid Container</t>
  </si>
  <si>
    <t>W3C org Grid (Interactive Tabular Data and Layout Containers) Pattern</t>
  </si>
  <si>
    <t>https://www.w3.org/WAI/ARIA/apg/patterns/grid/</t>
  </si>
  <si>
    <t>1.2.7</t>
  </si>
  <si>
    <t>Extended Audio Description (Prerecorded)</t>
  </si>
  <si>
    <t>Where pauses in foreground audio are insufficient to allow audio descriptions to convey the sense of the video, extended audio description is provided for all prerecorded video content in synchronized media.</t>
  </si>
  <si>
    <t>Layout Table</t>
  </si>
  <si>
    <t>WebAIM Creating Accessible Tables (layout vs data tables)</t>
  </si>
  <si>
    <t>https://webaim.org/techniques/tables/</t>
  </si>
  <si>
    <t>1.2.8</t>
  </si>
  <si>
    <t>Media Alternative (Prerecorded)</t>
  </si>
  <si>
    <t>An alternative for time-based media is provided for all prerecorded synchronized media and for all prerecorded video-only media.</t>
  </si>
  <si>
    <t>508 Trusted Tester PDF</t>
  </si>
  <si>
    <t xml:space="preserve">DHS -Trusted Tester Section 508 Conformance Test Process for Web </t>
  </si>
  <si>
    <t>https://www.dhs.gov/sites/default/files/publications/trusted_tester_test_process_v5_0_aug_16_2019.pdf</t>
  </si>
  <si>
    <t>1.2.9</t>
  </si>
  <si>
    <t>Audio-only (Live)</t>
  </si>
  <si>
    <t>An alternative for time-based media that presents equivalent information for live audio-only content is provided.</t>
  </si>
  <si>
    <t>Data Table</t>
  </si>
  <si>
    <t>W3Schools Data Tables</t>
  </si>
  <si>
    <t>https://www.w3schools.com/html/html_tables.asp</t>
  </si>
  <si>
    <t>1.3.1</t>
  </si>
  <si>
    <t>Info and Relationships</t>
  </si>
  <si>
    <t>Information, structure, and relationships conveyed through presentation can be programmatically determined or are available in text.</t>
  </si>
  <si>
    <t>W3 Schools Download link</t>
  </si>
  <si>
    <t>https://www.w3schools.com/howto/howto_html_download_link.asp</t>
  </si>
  <si>
    <t>1.3.2</t>
  </si>
  <si>
    <t>Meaningful Sequence</t>
  </si>
  <si>
    <t>When the sequence in which content is presented affects its meaning, a correct reading sequence can be programmatically determined.</t>
  </si>
  <si>
    <t>audio/video checklist</t>
  </si>
  <si>
    <t>Deque audio/video checklist</t>
  </si>
  <si>
    <t>https://dequeuniversity.com/checklists/web/audiovideo</t>
  </si>
  <si>
    <t>1.3.3</t>
  </si>
  <si>
    <t>Sensory Characteristics</t>
  </si>
  <si>
    <t>Instructions provided for understanding and operating content do not rely solely on sensory characteristics of components such as shape, color, size, visual location, orientation, or sound.</t>
  </si>
  <si>
    <t>Link to specific part of the page</t>
  </si>
  <si>
    <t>W3C org Anchor links specific part of a page</t>
  </si>
  <si>
    <t>https://www.w3docs.com/snippets/html/how-to-create-an-anchor-link-to-jump-to-a-specific-part-of-a-page.html</t>
  </si>
  <si>
    <t>1.3.4</t>
  </si>
  <si>
    <t>Orientation</t>
  </si>
  <si>
    <t>Content does not restrict its view and operation to a single display orientation, such as portrait or landscape, unless a specific display orientation is essential.</t>
  </si>
  <si>
    <t>No</t>
  </si>
  <si>
    <t>N/A</t>
  </si>
  <si>
    <t>No # &lt;href
anchor links</t>
  </si>
  <si>
    <t>Deque -- anchor links, No# hrefs</t>
  </si>
  <si>
    <t>https://dequeuniversity.com/rules/axe/4.1/href-no-hash</t>
  </si>
  <si>
    <t>1.3.5</t>
  </si>
  <si>
    <t>Identify Input Purpose</t>
  </si>
  <si>
    <t>The purpose of each input field collecting information about the user can be programmatically determined when:…. Example: A contact form using autofill</t>
  </si>
  <si>
    <t xml:space="preserve">AA </t>
  </si>
  <si>
    <t>Deque Labs Checkboxes</t>
  </si>
  <si>
    <t>Deque Labs Checkboxes code example</t>
  </si>
  <si>
    <t>https://cauldron.dequelabs.com/components/Checkbox</t>
  </si>
  <si>
    <t>1.3.6</t>
  </si>
  <si>
    <t>Identify Purpose</t>
  </si>
  <si>
    <t>In content implemented using markup languages, the purpose of user interface components, icons, and regions can be programmatically determined.</t>
  </si>
  <si>
    <t>W3schools Toggle Switch</t>
  </si>
  <si>
    <t>https://www.w3schools.com/howto/howto_css_switch.asp</t>
  </si>
  <si>
    <t>1.4.1</t>
  </si>
  <si>
    <t>Use of Color</t>
  </si>
  <si>
    <t>Color is not used as the only visual means of conveying information, indicating an action, prompting a response, or distinguishing a visual element.</t>
  </si>
  <si>
    <t>1.4.2</t>
  </si>
  <si>
    <t>Audio Control</t>
  </si>
  <si>
    <t>If any audio on a Web page plays automatically for more than 3 seconds, either a mechanism is available to pause or stop the audio, or a mechanism is available to control audio volume independently from the overall system volume level.</t>
  </si>
  <si>
    <t>1.4.3</t>
  </si>
  <si>
    <t>Contrast (Minimum)</t>
  </si>
  <si>
    <t>The visual presentation of text and images of text has a contrast ratio of at least 4.5:1, except for the following: Large-scale text and images of large-scale text have a contrast ratio of at least 3:1; Text or images of text that are part of an inactive user interface component, that are pure decoration, that are not visible to anyone, or that are part of a picture that contains significant other visual content, have no contrast requirement.</t>
  </si>
  <si>
    <t>1.4.4</t>
  </si>
  <si>
    <t>Resize Text</t>
  </si>
  <si>
    <r>
      <t xml:space="preserve">Except for captions and images of text, text can be resized without assistive technology up to </t>
    </r>
    <r>
      <rPr>
        <b/>
        <sz val="11"/>
        <color theme="1"/>
        <rFont val="Georgia Pro"/>
        <family val="1"/>
      </rPr>
      <t>200%</t>
    </r>
    <r>
      <rPr>
        <sz val="11"/>
        <color theme="1"/>
        <rFont val="Georgia Pro"/>
        <family val="1"/>
      </rPr>
      <t xml:space="preserve"> without loss of content or functionality.</t>
    </r>
  </si>
  <si>
    <t>1.4.5</t>
  </si>
  <si>
    <t>Images of Text</t>
  </si>
  <si>
    <t>If the technologies being used can achieve the visual presentation, text is used to convey information rather than images of text except for the following: can be visually customized or is essential (logotype)</t>
  </si>
  <si>
    <t>1.4.6</t>
  </si>
  <si>
    <t>Contrast (Enhanced)</t>
  </si>
  <si>
    <t>The visual presentation of text and images of text has a contrast ratio of at least 7:1, except for the following:Large Text
Large-scale text and images of large-scale text have a contrast ratio of at least 4.5:1; and Incidentals</t>
  </si>
  <si>
    <t>1.4.7</t>
  </si>
  <si>
    <t>Low or No Background Audio</t>
  </si>
  <si>
    <t>For prerecorded audio-only content that (1) contains primarily speech in the foreground, (2) is not an audio CAPTCHA or audio logo, and (3) is not vocalization intended to be primarily musical expression such as singing or rapping, at least one of the following is true: No Background, Turn Off, or 20dB
-The audio does not contain background sounds.
-The background sounds can be turned off.
-The background sounds are at least 20 decibels lower than the foreground speech content, with the exception of occasional sounds that last for only one or two seconds.</t>
  </si>
  <si>
    <t>1.4.8</t>
  </si>
  <si>
    <t>Visual Presentation</t>
  </si>
  <si>
    <t>For the visual presentation of blocks of text, a mechanism is available to achieve the following:
-Foreground and background colors can be selected by the user.
-Width is no more than 80 characters or glyphs (40 if CJK).
-Text is not justified (aligned to both the left and the right margins).
-Line spacing (leading) is at least space-and-a-half within paragraphs, and paragraph spacing is at least 1.5 times larger than the line spacing.
-Text can be resized without assistive technology up to 200 percent in a way that does not require the user to scroll horizontally to read a line of text on a full-screen window.</t>
  </si>
  <si>
    <t>1.4.9</t>
  </si>
  <si>
    <t>Images of Text (No Exception)</t>
  </si>
  <si>
    <t>Images of text are only used for pure decoration or where a particular presentation of text is essential to the information being conveyed.</t>
  </si>
  <si>
    <t>1.4.10</t>
  </si>
  <si>
    <t>Reflow</t>
  </si>
  <si>
    <t>Content can be presented without loss of information or functionality, and without requiring scrolling in two dimensions for:</t>
  </si>
  <si>
    <t>1.4.11</t>
  </si>
  <si>
    <t>Non-text Contrast</t>
  </si>
  <si>
    <t>The visual presentation of the following have a contrast ratio of at least 3:1 against adjacent color(s): user interface components, graphical objects</t>
  </si>
  <si>
    <t>1.4.12</t>
  </si>
  <si>
    <t>Text Spacing</t>
  </si>
  <si>
    <t>In content implemented using markup languages that support the following text style properties, no loss of content or functionality occurs by setting all of the following and by changing no other style property:Line height (line spacing) to at least 1.5 times the font size; Spacing following paragraphs to at least 2 times the font size; Letter spacing (tracking) to at least 0.12 times the font size; Word spacing to at least 0.16 times the font size.</t>
  </si>
  <si>
    <t>1.4.13</t>
  </si>
  <si>
    <t>Content on Hover or Focus</t>
  </si>
  <si>
    <t>Where receiving and then removing pointer hover or keyboard focus triggers additional content to become visible and then hidden, the following are true: dismissible, hoverable, persistent</t>
  </si>
  <si>
    <t>2. Operable</t>
  </si>
  <si>
    <t>2.1.1</t>
  </si>
  <si>
    <t>Keyboard</t>
  </si>
  <si>
    <t>All functionality of the content is operable through a keyboard interface without requiring specific timings for individual keystrokes,</t>
  </si>
  <si>
    <t xml:space="preserve">A </t>
  </si>
  <si>
    <t>2.1.2</t>
  </si>
  <si>
    <t>No Keyboard Trap</t>
  </si>
  <si>
    <t>If keyboard focus can be moved to a component of the page using a keyboard interface, then focus can be moved away from that component using only a keyboard interface, and, if it requires more than unmodified arrow or tab keys or other standard exit methods, the user is advised of the method for moving focus away.</t>
  </si>
  <si>
    <t>2.1.3</t>
  </si>
  <si>
    <t>Keyboard (No Exception)</t>
  </si>
  <si>
    <t>All functionality of the content is operable through a keyboard interface without requiring specific timings for individual keystrokes.</t>
  </si>
  <si>
    <t>2.1.4</t>
  </si>
  <si>
    <t>Character Key Shortcuts</t>
  </si>
  <si>
    <t>If a keyboard shortcut is implemented in content using only letter (including upper- and lower-case letters), punctuation, number, or symbol characters, then at least one of the following is true: Turn off, remap, active only on focus</t>
  </si>
  <si>
    <t>2.2.1</t>
  </si>
  <si>
    <t>Timing Adjustable</t>
  </si>
  <si>
    <t>For each time limit that is set by the content, at least one of the following is true: turn off, adjust, extend, real-time exception, essential exception, 20 hour exception</t>
  </si>
  <si>
    <t>2.2.2</t>
  </si>
  <si>
    <t>Pause, Stop, Hide</t>
  </si>
  <si>
    <t>For moving, blinking, scrolling, or auto-updating information, all of the following are true: starts automatically, lasts more than 5 seconds, and other content on the screen then must be mechanism to pause, stop, or hide</t>
  </si>
  <si>
    <t>2.2.3</t>
  </si>
  <si>
    <t>No Timing</t>
  </si>
  <si>
    <t>Timing is not an essential part of the event or activity presented by the content, except for non-interactive synchronized media and real-time events.</t>
  </si>
  <si>
    <t>2.2.4</t>
  </si>
  <si>
    <t>Interruptions</t>
  </si>
  <si>
    <t>Interruptions can be postponed or suppressed by the user, except interruptions involving an emergency.</t>
  </si>
  <si>
    <t>2.2.5</t>
  </si>
  <si>
    <t>Re-authenticating</t>
  </si>
  <si>
    <t>When an authenticated session expires, the user can continue the activity without loss of data after re-authenticating.</t>
  </si>
  <si>
    <t>2.2.6</t>
  </si>
  <si>
    <t>Timeouts</t>
  </si>
  <si>
    <t>Users are warned of the duration of any user inactivity that could cause data loss, unless the data is preserved for more than 20 hours when the user does not take any actions.</t>
  </si>
  <si>
    <t>2.3.1</t>
  </si>
  <si>
    <t>Three Flashes or Below Threshold</t>
  </si>
  <si>
    <t>Web pages do not contain anything that flashes more than three times in any one second period, or the flash is below the general flash and red flash thresholds.</t>
  </si>
  <si>
    <t>2.3.2</t>
  </si>
  <si>
    <t xml:space="preserve">Three Flashes  </t>
  </si>
  <si>
    <t>Web pages do not contain anything that flashes more than three times in any one second period.</t>
  </si>
  <si>
    <t>2.3.3</t>
  </si>
  <si>
    <t>Animation from Interactions</t>
  </si>
  <si>
    <t>Motion animation triggered by interaction can be disabled, unless the animation is essential to the functionality or the information being conveyed.</t>
  </si>
  <si>
    <t>2.4.1</t>
  </si>
  <si>
    <t>Bypass Blocks</t>
  </si>
  <si>
    <t>A mechanism is available to bypass blocks of content that are repeated on multiple Web pages.</t>
  </si>
  <si>
    <t>2.4.2</t>
  </si>
  <si>
    <t>Page Titled</t>
  </si>
  <si>
    <t>Web pages have titles that describe topic or purpose.</t>
  </si>
  <si>
    <t>2.4.3</t>
  </si>
  <si>
    <t>Focus Order</t>
  </si>
  <si>
    <t>If a Web page can be navigated sequentially and the navigation sequences affect meaning or operation, focusable components receive focus in an order that preserves meaning and operability.</t>
  </si>
  <si>
    <t>2.4.4</t>
  </si>
  <si>
    <t>Link Purpose (In Context)</t>
  </si>
  <si>
    <t>The purpose of each link can be determined from the link text alone or from the link text together with its programmatically determined link context, except where the purpose of the link would be ambiguous to users in general.</t>
  </si>
  <si>
    <t>2.4.5</t>
  </si>
  <si>
    <t>Multiple Ways</t>
  </si>
  <si>
    <t>More than one way is available to locate a Web page within a set of Web pages except where the Web Page is the result of, or a step in, a process.</t>
  </si>
  <si>
    <t>2.4.6</t>
  </si>
  <si>
    <t>Headings and Labels</t>
  </si>
  <si>
    <t>Headings and labels describe topic or purpose.</t>
  </si>
  <si>
    <t>2.4.7</t>
  </si>
  <si>
    <t>Focus Visible</t>
  </si>
  <si>
    <t>Any keyboard operable user interface has a mode of operation where the keyboard focus indicator is visible.</t>
  </si>
  <si>
    <t>2.4.8</t>
  </si>
  <si>
    <t>Location</t>
  </si>
  <si>
    <t>Information about the user's location within a set of Web pages is available.</t>
  </si>
  <si>
    <t>2.4.9</t>
  </si>
  <si>
    <t>Link Purpose (Link Only)</t>
  </si>
  <si>
    <t>A mechanism is available to allow the purpose of each link to be identified from link text alone, except where the purpose of the link would be ambiguous to users in general.</t>
  </si>
  <si>
    <t>2.4.10</t>
  </si>
  <si>
    <t>Section Headings</t>
  </si>
  <si>
    <t>Section headings are used to organize the content.</t>
  </si>
  <si>
    <t>2.4.11</t>
  </si>
  <si>
    <t>Focus Not Obscured (Minimum)</t>
  </si>
  <si>
    <t>When a user interface component receives keyboard focus, the component is not entirely hidden due to author-created content.</t>
  </si>
  <si>
    <t>2.4.12</t>
  </si>
  <si>
    <t>Focus Not Obscured (Enhanced)</t>
  </si>
  <si>
    <t>When a user interface component receives keyboard focus, no part of the component is hidden by author-created content.</t>
  </si>
  <si>
    <t>2.4.13</t>
  </si>
  <si>
    <t>Focus Appearance</t>
  </si>
  <si>
    <t>When the keyboard focus indicator is visible, an area of the focus indicator meets all the following:
is at least as large as the area of a 2 CSS pixel thick perimeter of the unfocused component or sub-component, and
has a contrast ratio of at least 3:1 between the same pixels in the focused and unfocused states.</t>
  </si>
  <si>
    <t>2.5.1</t>
  </si>
  <si>
    <t>Pointer Gestures</t>
  </si>
  <si>
    <t>All functionality that uses multipoint or path-based gestures for operation can be operated with a single pointer without a path-based gesture, unless a multipoint or path-based gesture is essential.</t>
  </si>
  <si>
    <t>2.5.2</t>
  </si>
  <si>
    <t>Pointer Cancellation</t>
  </si>
  <si>
    <t>For functionality that can be operated using a single pointer, at least one of the following is true: no down-event, about or undo, up reversal, essential</t>
  </si>
  <si>
    <t>2.5.3</t>
  </si>
  <si>
    <t>Label in name</t>
  </si>
  <si>
    <t>For user interface components with labels that include text or images of text, the name contains the text that is presented visually.</t>
  </si>
  <si>
    <t>2.5.4</t>
  </si>
  <si>
    <t>Motion Actuation</t>
  </si>
  <si>
    <t>Functionality that can be operated by device motion or user motion can also be operated by user interface components and responding to the motion can be disabled to prevent accidental actuation, except when:</t>
  </si>
  <si>
    <t>2.5.5</t>
  </si>
  <si>
    <t>Target Size</t>
  </si>
  <si>
    <t>The size of the target for pointer inputs is at least 44 by 44 CSS pixels except when: Equivalent, Inline, User Agent control, Essential</t>
  </si>
  <si>
    <t>2.5.6</t>
  </si>
  <si>
    <t>Concurrent Input Mechanisms</t>
  </si>
  <si>
    <t>Web content does not restrict use of input modalities available on a platform except where the restriction is essential, required to ensure the security of the content, or required to respect user settings.</t>
  </si>
  <si>
    <t>2.5.7</t>
  </si>
  <si>
    <t xml:space="preserve">Dragging Movements </t>
  </si>
  <si>
    <t>All functionality that uses a dragging movement for operation can be achieved by a single pointer without dragging, unless dragging is essential or the functionality is determined by the user agent and not modified by the author.</t>
  </si>
  <si>
    <t>2.5.8</t>
  </si>
  <si>
    <t>Target Size (Minimum)</t>
  </si>
  <si>
    <t>The size of the target for pointer inputs is at least 24 by 24 CSS pixels, except where: spacing, equivalent, inline, user agent control, essential.</t>
  </si>
  <si>
    <t>3. Understandable</t>
  </si>
  <si>
    <t>3.1.1</t>
  </si>
  <si>
    <t>Language of Page</t>
  </si>
  <si>
    <t>The default human language of each Web page can be programmatically determined.</t>
  </si>
  <si>
    <t>3.1.2</t>
  </si>
  <si>
    <t>Language of Parts</t>
  </si>
  <si>
    <t>The human language of each passage or phrase in the content can be programmatically determined except for proper names, technical terms, words of indeterminate language, and words or phrases that have become part of the vernacular of the immediately surrounding text.</t>
  </si>
  <si>
    <t>3.1.3</t>
  </si>
  <si>
    <t>Unusual Words</t>
  </si>
  <si>
    <t>A mechanism is available for identifying specific definitions of words or phrases used in an unusual or restricted way, including idioms and jargon.</t>
  </si>
  <si>
    <t>3.1.4</t>
  </si>
  <si>
    <t>Abbreviations</t>
  </si>
  <si>
    <t>A mechanism for identifying the expanded form or meaning of abbreviations is available.</t>
  </si>
  <si>
    <t>3.1.5</t>
  </si>
  <si>
    <t>Reading Level</t>
  </si>
  <si>
    <t>When text requires reading ability more advanced than the lower secondary education level after removal of proper names and titles, supplemental content, or a version that does not require reading ability more advanced than the lower secondary education level, is available.</t>
  </si>
  <si>
    <t>3.1.6</t>
  </si>
  <si>
    <t>Pronounciation</t>
  </si>
  <si>
    <t>A mechanism is available for identifying specific pronunciation of words where meaning of the words, in context, is ambiguous without knowing the pronunciation.</t>
  </si>
  <si>
    <t>3.2.1</t>
  </si>
  <si>
    <t>On Focus</t>
  </si>
  <si>
    <t>When any user interface component receives focus, it does not initiate a change of context.</t>
  </si>
  <si>
    <t>3.2.2</t>
  </si>
  <si>
    <t>On Input</t>
  </si>
  <si>
    <t>Changing the setting of any user interface component does not automatically cause a change of context unless the user has been advised of the behavior before using the component.</t>
  </si>
  <si>
    <t>3.2.3</t>
  </si>
  <si>
    <t>Consistent Navigation</t>
  </si>
  <si>
    <t>Navigational mechanisms that are repeated on multiple Web pages within a set of Web pages occur in the same relative order each time they are repeated, unless a change is initiated by the user.</t>
  </si>
  <si>
    <t>3.2.4</t>
  </si>
  <si>
    <t>Consistent Identification</t>
  </si>
  <si>
    <t>Components that have the same functionality within a set of Web pages are identified consistently.</t>
  </si>
  <si>
    <t>3.2.5</t>
  </si>
  <si>
    <t>Change on Request</t>
  </si>
  <si>
    <t>Changes of context are initiated only by user request or a mechanism is available to turn off such changes.</t>
  </si>
  <si>
    <t>3.2.6</t>
  </si>
  <si>
    <t>Consistent Help</t>
  </si>
  <si>
    <t>If a Web page contains any of the following help mechanisms, and those mechanisms are repeated on multiple Web pages within a set of Web pages, they occur in the same order relative to other page content, unless a change is initiated by the user:
Human contact details; Human contact mechanism; Self-help option; A fully automated contact mechanism.</t>
  </si>
  <si>
    <t>3.3.1</t>
  </si>
  <si>
    <t>Error Identification</t>
  </si>
  <si>
    <t>If an input error is automatically detected, the item that is in error is identified and the error is described to the user in text.</t>
  </si>
  <si>
    <t>3.3.2</t>
  </si>
  <si>
    <t>Labels or Instructions</t>
  </si>
  <si>
    <t>Labels or instructions are provided when content requires user input.</t>
  </si>
  <si>
    <t>3.3.3</t>
  </si>
  <si>
    <t>Error Suggestion</t>
  </si>
  <si>
    <t>If an input error is automatically detected and suggestions for correction are known, then the suggestions are provided to the user, unless it would jeopardize the security or purpose of the content.</t>
  </si>
  <si>
    <t>3.3.4</t>
  </si>
  <si>
    <t>Error Prevention (legal, financial, data)</t>
  </si>
  <si>
    <t>For Web pages that cause legal commitments or financial transactions for the user to occur, that modify or delete user-controllable data in data storage systems, or that submit user test responses, at least one of the following is true: reversible, checked, confirmed</t>
  </si>
  <si>
    <t>3.3.5</t>
  </si>
  <si>
    <t>Help</t>
  </si>
  <si>
    <t>Context-sensitive help is available.</t>
  </si>
  <si>
    <t>3.3.6</t>
  </si>
  <si>
    <t>Error Prevention (All)</t>
  </si>
  <si>
    <t>For Web pages that require the user to submit information, at least one of the following is true: Reversible, Checked, Confirmed</t>
  </si>
  <si>
    <t>3.3.7</t>
  </si>
  <si>
    <t>Redundant Entry</t>
  </si>
  <si>
    <t>Information previously entered by or provided to the user that is required to be entered again in the same process is either: auto-populated, or available for the user to select. Exceptions apply.</t>
  </si>
  <si>
    <t>3.3.8</t>
  </si>
  <si>
    <t>Accessible Authentication (Minimum)</t>
  </si>
  <si>
    <t>A cognitive function test (such as remembering a password or solving a puzzle) is not required for any step in an authentication process unless that step provides at least one of the following: alternative, mechanism to assist, object recognition, personal content.</t>
  </si>
  <si>
    <t>3.3.9</t>
  </si>
  <si>
    <t>Accessible Authentication (Enhanced)</t>
  </si>
  <si>
    <t>A cognitive function test (such as remembering a password or solving a puzzle) is not required for any step in an authentication process unless that step provides at least one of the following: alternative, and mechanism to assist only.</t>
  </si>
  <si>
    <t>4. Robust</t>
  </si>
  <si>
    <t>4.1.1</t>
  </si>
  <si>
    <t>Parsing</t>
  </si>
  <si>
    <t>In content implemented using markup languages, elements have complete start and end tags, elements are nested according to their specifications, elements do not contain duplicate attributes, and any IDs are unique, except where the specifications allow these features.</t>
  </si>
  <si>
    <t>4.1.2</t>
  </si>
  <si>
    <t>Name, Role, Value</t>
  </si>
  <si>
    <t>For all user interface components (including but not limited to: form elements, links and components generated by scripts), the name and role can be programmatically determined; states, properties, and values that can be set by the user can be programmatically set; and notification of changes to these items is available to user agents, including assistive technologies.</t>
  </si>
  <si>
    <t>4.1.3</t>
  </si>
  <si>
    <t>Status Messages</t>
  </si>
  <si>
    <t>In content implemented using markup languages, status messages can be programmatically determined through role or properties such that they can be presented to the user by assistive technologies without receiving focus.</t>
  </si>
  <si>
    <t>ends just above</t>
  </si>
  <si>
    <t>Fixed</t>
  </si>
  <si>
    <t>ACR Confidence Rankings</t>
  </si>
  <si>
    <t>Pending</t>
  </si>
  <si>
    <t>Tools Used:</t>
  </si>
  <si>
    <t>Versions</t>
  </si>
  <si>
    <t>Scores</t>
  </si>
  <si>
    <t>Remarks response:</t>
  </si>
  <si>
    <t>Within two years</t>
  </si>
  <si>
    <t>Independent Certified A11y Pro. / PWD Experienced Tester</t>
  </si>
  <si>
    <t>Mostly complete list of methods (kb, sr, etc.)</t>
  </si>
  <si>
    <t xml:space="preserve">Mostly complete list of tools. </t>
  </si>
  <si>
    <t>Operating system, browser, and other versions are provided</t>
  </si>
  <si>
    <t>Most responses are reasonable and supported by the remarks</t>
  </si>
  <si>
    <t>Some remarks are vague, inaccurate or inappropriate. (ie orientation only applies to celluar devices)</t>
  </si>
  <si>
    <t>Least impactful</t>
  </si>
  <si>
    <t>Within three years</t>
  </si>
  <si>
    <t>Self-tested
without PWD Experienced Tester</t>
  </si>
  <si>
    <t>Incomplete, very limited list</t>
  </si>
  <si>
    <t>Incomplete, very limited</t>
  </si>
  <si>
    <t>Operating and browser system versions are not provided</t>
  </si>
  <si>
    <t>Most or critical responses show a lack of SC understanding</t>
  </si>
  <si>
    <t>Most remarks are vague or  inaccurate</t>
  </si>
  <si>
    <t>Problematic and/or repetitive; but can be navigated with some understanding.</t>
  </si>
  <si>
    <t xml:space="preserve">Older than three years </t>
  </si>
  <si>
    <t>Not provided</t>
  </si>
  <si>
    <t>Not provided, or not appropriate</t>
  </si>
  <si>
    <t>Not provided, obviously multiple duplicated responses, entirely questionable</t>
  </si>
  <si>
    <t>Not provided when clearly necessary</t>
  </si>
  <si>
    <t>Highest impact and/or impacts barriers to completing tasks</t>
  </si>
  <si>
    <t>Preference</t>
  </si>
  <si>
    <t>Users choice of AT, operating system, or navigation method causes impact. Limitation of the platform.</t>
  </si>
  <si>
    <t>Technically passes WCAG, however there is a suggestion for improvement</t>
  </si>
  <si>
    <t>Fails success critieria considering any and all exceptions.</t>
  </si>
  <si>
    <t>Passes but requires an exception or alternative method.</t>
  </si>
  <si>
    <t>Passes without exception.</t>
  </si>
  <si>
    <t>Tested component is NOT present on the page or pages tested.</t>
  </si>
  <si>
    <t>Outside the scope of the project</t>
  </si>
  <si>
    <t>WEIGHTS for Score Calculation</t>
  </si>
  <si>
    <t xml:space="preserve">Does Not Support </t>
  </si>
  <si>
    <t>Supports with Exceptions</t>
  </si>
  <si>
    <t>Supports or N/A</t>
  </si>
  <si>
    <t>Guideline Importance Rankings 
WCAG 2.0 A &amp; AA</t>
  </si>
  <si>
    <t>Checks to make sure it matches the count in row 2</t>
  </si>
  <si>
    <t>Not Ranked</t>
  </si>
  <si>
    <t>Guideline Importance Rankings 
WCAG 2.1 A &amp; AA &amp; AAA</t>
  </si>
  <si>
    <t>Not ranked</t>
  </si>
  <si>
    <t>Guideline Importance Rankings 
WCAG 2.2 A &amp; AA &amp; AAA</t>
  </si>
  <si>
    <t>Parsing is Not included in WCAG 2.2. It is here  for the Findings page. There is a -1 in the calculation E186 to account for it.</t>
  </si>
  <si>
    <t xml:space="preserve">Primary Validation question Source: </t>
  </si>
  <si>
    <t xml:space="preserve"> </t>
  </si>
  <si>
    <t>Unique Test ID</t>
  </si>
  <si>
    <t>1.1.1 Non-Text Content</t>
  </si>
  <si>
    <t xml:space="preserve"> Informative images must contain alternative text describing the purpose or meaning of the image.</t>
  </si>
  <si>
    <t>Decorative images must have empty alternative text or be otherwise hidden from assistive technology. (alt, alt=” “, or role=”presentation” in cases).</t>
  </si>
  <si>
    <t>Interactive images must have alternative text describing the input's purpose. (ensure accessible name matches the functionality)</t>
  </si>
  <si>
    <t>Complex images (graphs, maps, charts) or images of text must have a text description of all relevant information.</t>
  </si>
  <si>
    <t>CAPTCHAs must be identified with alternative text. CAPTCHA descriptive text contains the purpose of the CAPTCHA.</t>
  </si>
  <si>
    <t>CAPTCHAs which require user input offer at least two different modalities (e.g. visual and auditory)</t>
  </si>
  <si>
    <t>Adjacent links navigating to the same destination must be combined into a single link.  No repetitive links.</t>
  </si>
  <si>
    <t xml:space="preserve"> Video and audio content or iFrames which present user-readable content require a title or description</t>
  </si>
  <si>
    <t>When CSS is disabled, all meaningful images remain.</t>
  </si>
  <si>
    <t>Software Only – The purpose and or function of a non-decorative image is properly conveyed in the Name property.</t>
  </si>
  <si>
    <t>Software Only – Decorative images have a ‘None’ Name property.</t>
  </si>
  <si>
    <t>Audio-only content is accompanied by a transcript. The location must be referenced in the accessible name of the audio content.</t>
  </si>
  <si>
    <t>Audio-only content is accompanied by an accurate and complete transcript.</t>
  </si>
  <si>
    <t>Video-only content supplies either a text transcript or audio description.  The location must be referenced in the accessible name of the video content.</t>
  </si>
  <si>
    <t>All video-only text descriptions are accurate and complete.</t>
  </si>
  <si>
    <t>All video-only files with audio descriptions, the descriptions are accurate and complete.</t>
  </si>
  <si>
    <t>Any animation in software has a description (text or audio). The location must be referenced in the accessible name of the text or audio content.</t>
  </si>
  <si>
    <t>Any text or audio description provided for animation in software is accurate and complete.</t>
  </si>
  <si>
    <t>All multimedia has caption support for audio.</t>
  </si>
  <si>
    <t>Multimedia captions are accurate, must include dialogue, the individual speaking, and any relevant audio information.</t>
  </si>
  <si>
    <t>Multimedia captions are in time with the dialogue and relevant sounds.</t>
  </si>
  <si>
    <t>Multimedia content must supply a text transcript OR an audio description.</t>
  </si>
  <si>
    <t>Multimedia is audio described and or has an alternative and the descriptions are accurate and complete.</t>
  </si>
  <si>
    <t>Multimedia is accurately and completely described and the audio description or alternative is timed correctly with the video.</t>
  </si>
  <si>
    <t>Live multimedia content must be captioned.  Captions must be accurate, must include dialogue, the individual speaking, and any relevant audio information.</t>
  </si>
  <si>
    <t>Multimedia content must supply an audio description, which accurately informs the user of any important visual information not already conveyed through audio.</t>
  </si>
  <si>
    <t>1.2.6.a</t>
  </si>
  <si>
    <t>1.2.7.a</t>
  </si>
  <si>
    <t>1.2.8.a</t>
  </si>
  <si>
    <t>1.2.9.a</t>
  </si>
  <si>
    <t>Visually grouped blocks of content must be organized by appropriate landmarks.</t>
  </si>
  <si>
    <t>Landmarks which are used more than once on a page are distinguishable from each other using ARIA</t>
  </si>
  <si>
    <t>All content which conveys information through presentation (e.g., bold, italics, emphasis etc...) has that information conveyed semantically or in text.</t>
  </si>
  <si>
    <t>Content which is visually presented as a heading or link must be a respective heading or link semantically.</t>
  </si>
  <si>
    <t>Programmatically identified heading levels match the visual hierarchy level.</t>
  </si>
  <si>
    <t>Page structure and semantics are implemented with HTML.  Page styling is implemented with CSS.</t>
  </si>
  <si>
    <t>Form controls must have labels associated with them programmatically</t>
  </si>
  <si>
    <t>Form controls as part of a group must be grouped together semantically.  The grouping must also be appropriately labeled.</t>
  </si>
  <si>
    <t>Data tables are used to present tabular data.  Data tables must include table headers, which are associated to the correct table cells through the scope attribute.</t>
  </si>
  <si>
    <t xml:space="preserve">All titled data tables have that title or description incorporated into the &lt;caption&gt; tag of the table. </t>
  </si>
  <si>
    <t xml:space="preserve">All complex data tables, each data cell within each complex data table is correctly associated programmatically with its appropriate headers in the correct header order. </t>
  </si>
  <si>
    <t>Layout tables must not include any table headers, captions, or summaries.  They should be marked with role="presentation"</t>
  </si>
  <si>
    <t>All elements with semantic roles contain all their required parent and child elements. (e.g. a "list" must contain "listitem")</t>
  </si>
  <si>
    <t>All content that has the visual appearance of a numbered list (order is important) is coded as an ordered list (ol).</t>
  </si>
  <si>
    <t>All content that has the visual appearance of a list in which the order is NOT important is coded as an unordered list (ul).</t>
  </si>
  <si>
    <t>All content that is coded as a description list (dl) (when groups of name-value pairs, for example: terms and definitions or questions and answers) is visually presented in the form of a list.</t>
  </si>
  <si>
    <t>All meaningful content must be available to assistive technology.</t>
  </si>
  <si>
    <t>1.3.1 Info and relationships</t>
  </si>
  <si>
    <t>All Alternate keyboard commands are permanently in text on screen OR are revealed upon hover AND those Alternate commands function as directed.</t>
  </si>
  <si>
    <t>The order which text is presented visually matches the order which text is presented programmatically (e.g., by a Screen Reader).</t>
  </si>
  <si>
    <t>Whitespace is not utilized to create text spacing within a word.  Whitespace is not utilized to create columns or tables visually in plain text.</t>
  </si>
  <si>
    <t>When CSS is disabled, all content continues in a logical order.</t>
  </si>
  <si>
    <t>When CSS is disabled, no content becomes unavailable, and no unintended content becomes visible</t>
  </si>
  <si>
    <t>Instructions for operating web-based content and cues for identifying content does not rely exclusively on color, shape, size, position, or sound. (Above/Below references allowed)</t>
  </si>
  <si>
    <t>When CSS is disabled, all original content remains legible.</t>
  </si>
  <si>
    <t>Content does not restrict its view and operation to a single display orientation, such as portrait or landscape, unless a specific display orientation is essential.</t>
  </si>
  <si>
    <t xml:space="preserve"> The purpose of any form input about the user is identified in code when the purpose is defined in HTML.  (Name and address autocomplete)</t>
  </si>
  <si>
    <t>1.3.6.a</t>
  </si>
  <si>
    <t>Color may not exclusively distinguish between plain text and interactive text without a 3:1 color contrast difference.
For any interactive text that is only identified by a color shift:
Ensure that the color contrast difference of the interactive text is a 3:1 color contrast difference from the surrounding text.
Ensure that the interactive text gains a different visual indicator when focused and hovered over.  Both must be true.</t>
  </si>
  <si>
    <t>Color may not exclusively identify content or distinguish differences in any content (e.g. Red items are invalid, Green items are valid)</t>
  </si>
  <si>
    <t>Website or application does not disrupt or disable user chosen accessibility settings in either the browser or user selected accessibility tools.</t>
  </si>
  <si>
    <t>Content may only scroll in one dimension (horizontal or vertical) at a width and height equivalent of 320x256 pixels or larger.  Excluded is content where a two-dimensional layout is necessary (video, data tables, maps, diagrams etc..) (magnified 400 percent without loss of content or functionality.)</t>
  </si>
  <si>
    <t xml:space="preserve">Active user interface components must meet a 3:1 color contrast ratio.  (This includes buttons, inputs, custom focus indicators, dropdowns, checkboxes, and radio buttons) </t>
  </si>
  <si>
    <t>Graphical objects (e.g. icons used as interactive components) which describe important content must meet a 3:1 color contrast ratio; except flags, real life imagery, branding, reference screencaps, and heatmaps.</t>
  </si>
  <si>
    <t>No content or functionality may be lost when text is set to: Line spacing of 1.5x font size, Letter Spacing at 0.12x font size, Word spacing at 0.16x font size, and paragraph spacing 2x the font size.</t>
  </si>
  <si>
    <t>Content generated by hover or focus can be dismissed without moving hover or focus.</t>
  </si>
  <si>
    <t>Content generated by hover or focus of an element can be hovered over without the content disappearing.</t>
  </si>
  <si>
    <t>Content generated by hover or focus of an element do not disappear until dismissed, is no longer valid, or hover or focus is removed.</t>
  </si>
  <si>
    <t>All audio that starts automatically and lasts more than three seconds has a mechanism to pause, stop or mute the audio source.</t>
  </si>
  <si>
    <t>Large-scale (24px or 19px bold) text must have a color contrast ratio of 3:1.  Logos, inactive components, and pure decoration excluded.</t>
  </si>
  <si>
    <t>Text that is less than 24px or 19px bold or less than must have a color contrast ratio of 4.5:1. Logos, inactive components, and pure decoration excluded.</t>
  </si>
  <si>
    <t>Text can be resized up to 200% without page content disappearing or losing functionality.</t>
  </si>
  <si>
    <t>Except for captions and images of text, text can be resized with user selected accessibility tool up to 200 percent without clipping of content, or loss of content or functionality.</t>
  </si>
  <si>
    <t>Images of text are not used when the same presentation can be made with native HTML/CSS.  Logos and branding are excluded.</t>
  </si>
  <si>
    <t>1.4.6.a</t>
  </si>
  <si>
    <t>All content that is meant to be seen (excluding logotypes and incidental), has a minimum CCA contrast ratio of 4.5:1 or an APCA Lc 60 (Lc 60 for text only).</t>
  </si>
  <si>
    <t>1.4.6.b</t>
  </si>
  <si>
    <t>Text that is less than 18-point or less than 14-point bold in size and weight and relevant (not incidental or logotype) images of text have a minimum CCA contrast ratio of 7:1 or an APCA Lc 75.</t>
  </si>
  <si>
    <t>1.4.7.a</t>
  </si>
  <si>
    <t>For prerecorded audio-only content that (1) contains primarily speech in the foreground, (2) is not an audio CAPTCHA or audio logo, and (3) is not vocalization intended to be primarily musical expression such as singing or rapping, at least one of the following is true:
No background, turn it off, or 20 dB less than primary.</t>
  </si>
  <si>
    <t>1.4.8.a</t>
  </si>
  <si>
    <t>User accessibility tool can increase all text spacing and line height to at least minimums without loss of content or functionality or there is a local mechanism that has the same abilities and at 200% magnification there is no loss of content or functionality, nor does it require two directions scrolling.</t>
  </si>
  <si>
    <t>1.4.9.a</t>
  </si>
  <si>
    <t>All interactive elements must be able to be navigated to and interacted with using a Keyboard only.</t>
  </si>
  <si>
    <t>Timing of keystrokes must not be required for interacting with any functionality (except when input requires path-dependent input).</t>
  </si>
  <si>
    <t>Functionality available when hovering with a cursor must be available to keyboard input.</t>
  </si>
  <si>
    <t>If alternative keyboard navigation is used within a grid-cell, then instructions are provided visually and semantically which function as instructed.</t>
  </si>
  <si>
    <t>Focus that enters any element must be able to leave that element (in, through, throughout, and out).  If the method requires more than ESC, Arrow Keys, or Tab, the user must be informed of the method.</t>
  </si>
  <si>
    <t>2.1.3.a</t>
  </si>
  <si>
    <t xml:space="preserve">All interactive interface components or functions can be accessed by the keyboard without exception, alternative method, or required path-dependent input. </t>
  </si>
  <si>
    <t>If any single-key shortcut exists then there is a mechanism exists to remap, or turn-off the shortcut, or is active on focus only.</t>
  </si>
  <si>
    <t>All users are alerted of all pending time-outs.</t>
  </si>
  <si>
    <t>When a time-out occurs, and the alert notification is available for at least twenty seconds.</t>
  </si>
  <si>
    <t>Any time-out occurs and users can request more time of at least ten times the original limit (20 seconds minimum means it can be extended to 200 seconds or 3 minutes and 20 seconds) or disable the timer or has a time limit of 20 hours or more.</t>
  </si>
  <si>
    <t>Any and all moving, blinking, scrolling, or updating content that is non-essential and lasts for more than five seconds has a mechanism to pause, stop, or hide that content change.</t>
  </si>
  <si>
    <t>All mechanisms to pause, stop or hide non-essential content that started automatically, is not the only content on the page, and lasts for more than five seconds function properly.</t>
  </si>
  <si>
    <t>2.2.3.a</t>
  </si>
  <si>
    <t>2.2.4.a</t>
  </si>
  <si>
    <t>2.2.5.a</t>
  </si>
  <si>
    <t>2.2.6.a</t>
  </si>
  <si>
    <t>Flashing area does not exceed 25 percent of any 10-degree visual field on the screen (Flashing area is contained to a maximum area 1/36 of the screen area).</t>
  </si>
  <si>
    <t>There are no more than three general flashes and no more than three red flashes within any one-second period.</t>
  </si>
  <si>
    <t>2.3.2.a</t>
  </si>
  <si>
    <t>2.3.3.a</t>
  </si>
  <si>
    <t>Content which repeats on multiple webpages has a mechanism of skipping over it.</t>
  </si>
  <si>
    <t>The mechanism that can be used to skip over the repeated content is available to the user prior to any repeated content.</t>
  </si>
  <si>
    <t>2.4.10.a</t>
  </si>
  <si>
    <t>A visual indication of focus is NOT entirely covered by other author created content.</t>
  </si>
  <si>
    <t>2.4.12.a</t>
  </si>
  <si>
    <t>When a user interface component receives keyboard focus, NO part of the component is hidden by author-created content).</t>
  </si>
  <si>
    <t>2.4.13.a</t>
  </si>
  <si>
    <t>Keyboard focus indicator area is equal to at least 2px thick area around the perimeter of the interactive button and the color contrast difference between the background and the focused and non-focused states are all at least 3:1 contrast ratio.</t>
  </si>
  <si>
    <t xml:space="preserve">There is a Page title in plain language (not code) within the &lt;title&gt; attribute. </t>
  </si>
  <si>
    <t>All pages have a title, which details the topic or purpose of the page.  Titles should be organized from most-specific to least-specific.</t>
  </si>
  <si>
    <t>Focus order should closely follow the visual layout and design of the page.</t>
  </si>
  <si>
    <t>Tabindex values must not interfere with the proper order of the page.</t>
  </si>
  <si>
    <t>Modals or any popup/flyout must gain focus and keep focus until dismissed.</t>
  </si>
  <si>
    <t>Focus moves to revealed content, or it is the next Tab stop and or instructions/ status are provided when focus does not move to revealed content.</t>
  </si>
  <si>
    <t>When triggered on hover, if dismissed keyboard focus moves past (beyond revealed content) dismissed content or keyboard focus moves into revealed content when not dismissed.</t>
  </si>
  <si>
    <t>Link destination is described by link text on its own or by link text programmatically associated with other text on the page (except where the destination is ambiguous to all users)</t>
  </si>
  <si>
    <t>Two or more mechanisms of finding a webpage are available, unless the page is accessed as part of a step in a process.</t>
  </si>
  <si>
    <t>Headings that exist accurately and concisely describe topic or purpose that follows it.</t>
  </si>
  <si>
    <t>Labels describe the purpose of the inputs they are associated with.</t>
  </si>
  <si>
    <t>All interactive components have a visible indication of the currently focused interactive component.</t>
  </si>
  <si>
    <t>A visual indication of focus occurs on the correct currently focused interactive component.</t>
  </si>
  <si>
    <t>2.4.8.a</t>
  </si>
  <si>
    <t>Information about the user's location within a set of Web pages is available. (breadcrumbs, current location indicator, etc.)</t>
  </si>
  <si>
    <t>2.4.9.a</t>
  </si>
  <si>
    <t>All functionality which uses multipoint, or path-based gestures can be operated with a single pointer without a path-based gesture, unless essential.</t>
  </si>
  <si>
    <t>Functionality operated with a single pointer must: Not fire on the down event, Fire on the up-event along with a way to abort or undo, Reverse the function on the up-event, or completing the function on the down event is essential.</t>
  </si>
  <si>
    <t>The accessible name of any label includes all of the visual label's text.</t>
  </si>
  <si>
    <t>Any functionality which is activated by device motion can be performed with a User interface component which does not require motion.</t>
  </si>
  <si>
    <t>Any functionality which is activated by device motion can be disabled.</t>
  </si>
  <si>
    <t>System level features which allow the user to disable motion actuation work as expected and are not disrupted or disabled.</t>
  </si>
  <si>
    <t>2.5.5.a</t>
  </si>
  <si>
    <t>The size of the target for pointer inputs is at least 44 by 44 CSS pixels except when: equivalent, inline, user agent control, essential.</t>
  </si>
  <si>
    <t>2.5.6.a</t>
  </si>
  <si>
    <t>All functionality that can be completed using dragging movements can also be achieved by a single pointer without dragging (specifically using only clicks from a pointer device or taps).</t>
  </si>
  <si>
    <t xml:space="preserve">All pointer inputs target size area are at least 24 by 24 CSS pixels, or a listed exception applies. </t>
  </si>
  <si>
    <t>The default language of each page must be defined in the html tag.</t>
  </si>
  <si>
    <t>All text (content, image descriptions, form labels, etc.) in a different language than the page default is coded with the correct lang code for the different language used; aside from Proper names, technical terms, words without a defined language, and words which are part of the vernacular of the immediate surrounding text.</t>
  </si>
  <si>
    <t>3.1.3.a</t>
  </si>
  <si>
    <t>3.1.4.a</t>
  </si>
  <si>
    <t>3.1.5.a</t>
  </si>
  <si>
    <t>When text requires reading ability more advanced than the lower secondary education level after removal of proper names and titles, supplemental content, or a version that does not require reading ability more advanced than the lower secondary education level, is available</t>
  </si>
  <si>
    <t>3.1.6.a</t>
  </si>
  <si>
    <t>When any interactive component gains focus (keyboard or mouse), it does NOT trigger a change in context.</t>
  </si>
  <si>
    <t>When the setting or value of a User Interface component is changed, that does not trigger a change of context unless the user is informed of the behavior beforehand.</t>
  </si>
  <si>
    <t>Navigations which are utilized on multiple pages keep the same relative order on all pages, unless the user initiates the change. (Items can be removed or added, but they must maintain the same order relative to each other)</t>
  </si>
  <si>
    <t>Any components with similar functionality used on multiple pages must be labeled identically and function identically. (e.g. a header Search field must be labeled the same on all pages)</t>
  </si>
  <si>
    <t>When the link text plus context is fully equivalent, then the two links navigate to the same destination, or the two user controls execute the same function.</t>
  </si>
  <si>
    <t>3.2.5.a</t>
  </si>
  <si>
    <t xml:space="preserve">All web pages with repeated help mechanisms, those help mechanisms occur in the same order relative to other page content. </t>
  </si>
  <si>
    <t xml:space="preserve">There is an alert whenever an input error is detected through validation. </t>
  </si>
  <si>
    <t>Alerts are immediately perceived by screen reader AT users.</t>
  </si>
  <si>
    <t>Detected input error alerts provide both the incorrect field and describe the error in text.</t>
  </si>
  <si>
    <t>Visible labels or instructions are available for all inputs and input groupings.</t>
  </si>
  <si>
    <t>Labels describe any required fields or required formatting requirements.  (e.g. If a MM/DD/YYYY format is required)</t>
  </si>
  <si>
    <t>For all form fields, the TITLE attribute is NOT the sole visual means of providing information (i.e., there is additional screen text or visual context).</t>
  </si>
  <si>
    <t xml:space="preserve"> If an input error was detected due to a blank input on a required field, the user is informed of the fields which were left blank in the error message.</t>
  </si>
  <si>
    <t>Detected input error, when correction is known, provides specific format or value range.</t>
  </si>
  <si>
    <t>All forms that cause a legal commitment or financial obligation are either reversible, validated, or have a mechanism to confirm and correct the information prior to submission.</t>
  </si>
  <si>
    <t>3.3.5.a</t>
  </si>
  <si>
    <t>3.3.6.a</t>
  </si>
  <si>
    <t>For Web pages that require the user to submit information, at least one of the following is true: reversible, checked, or confirmed.</t>
  </si>
  <si>
    <t>Information previously entered by or provided to the user when required to enter again is offered as auto populated or user selected list or is a valid listed exception.</t>
  </si>
  <si>
    <t xml:space="preserve">All authentication fields allow the paste function in those fields. </t>
  </si>
  <si>
    <t xml:space="preserve">All cognitive function tests required for any step in an authentication process have provided at least one of the four listed alternative options. </t>
  </si>
  <si>
    <t>3.3.9.a</t>
  </si>
  <si>
    <t>A cognitive function test (such as remembering a password or solving a puzzle) is not required for any step in an authentication process unless that step provides at least one of the following: alternative, mechanism to assist.</t>
  </si>
  <si>
    <t>Elements have proper start and end tags, are nested correctly, and do not contain duplicate or inappropriate attributes.</t>
  </si>
  <si>
    <t>The extension tool used finds NO parsing errors and no duplicate ids.</t>
  </si>
  <si>
    <t>Element IDs do not repeat more than once per page.</t>
  </si>
  <si>
    <t>All elements have appropriate accessible names and ARIA roles assigned.</t>
  </si>
  <si>
    <t>All custom functionality has the appropriate ARIA features for states, properties, and values implemented (e.g. aria-expanded, aria-haspopup)</t>
  </si>
  <si>
    <t xml:space="preserve">All multi-state components, native HTML and custom functionality, continually provide accurate, complete, and unambiguous Name, Role, and State (value) information.  </t>
  </si>
  <si>
    <t>Status messages which change without a page reload notify users of assistive technologies without requiring focus.</t>
  </si>
  <si>
    <t>Cornell Web Accessibility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</si>
</sst>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37" x14ac:knownFonts="1">
    <font>
      <sz val="11"/>
      <color theme="1"/>
      <name val="Calibri"/>
      <family val="2"/>
      <scheme val="minor"/>
    </font>
    <font>
      <u/>
      <sz val="11"/>
      <color theme="10"/>
      <name val="Calibri"/>
      <family val="2"/>
      <scheme val="minor"/>
    </font>
    <font>
      <sz val="12"/>
      <color theme="1"/>
      <name val="Arial"/>
      <family val="2"/>
    </font>
    <font>
      <sz val="11"/>
      <color theme="1"/>
      <name val="Calibri"/>
      <family val="2"/>
      <scheme val="minor"/>
    </font>
    <font>
      <b/>
      <sz val="12"/>
      <color theme="0"/>
      <name val="Arial"/>
      <family val="2"/>
    </font>
    <font>
      <b/>
      <sz val="18"/>
      <color theme="1"/>
      <name val="Calibri"/>
      <family val="2"/>
    </font>
    <font>
      <b/>
      <sz val="22"/>
      <color theme="0"/>
      <name val="Calibri"/>
      <family val="2"/>
      <scheme val="minor"/>
    </font>
    <font>
      <sz val="8"/>
      <name val="Calibri"/>
      <family val="2"/>
      <scheme val="minor"/>
    </font>
    <font>
      <b/>
      <sz val="18"/>
      <color theme="0"/>
      <name val="Georgia Pro"/>
      <family val="1"/>
    </font>
    <font>
      <sz val="12"/>
      <color theme="1"/>
      <name val="Georgia Pro"/>
      <family val="1"/>
    </font>
    <font>
      <b/>
      <i/>
      <sz val="18"/>
      <name val="Georgia Pro"/>
      <family val="1"/>
    </font>
    <font>
      <b/>
      <sz val="12"/>
      <color theme="1"/>
      <name val="Georgia Pro"/>
      <family val="1"/>
    </font>
    <font>
      <sz val="12"/>
      <color theme="0"/>
      <name val="Georgia Pro"/>
      <family val="1"/>
    </font>
    <font>
      <b/>
      <sz val="12"/>
      <color theme="0"/>
      <name val="Georgia Pro"/>
      <family val="1"/>
    </font>
    <font>
      <b/>
      <sz val="14"/>
      <color theme="0"/>
      <name val="Georgia Pro"/>
      <family val="1"/>
    </font>
    <font>
      <sz val="14"/>
      <name val="Georgia Pro"/>
      <family val="1"/>
    </font>
    <font>
      <sz val="14"/>
      <color theme="1"/>
      <name val="Georgia Pro"/>
      <family val="1"/>
    </font>
    <font>
      <b/>
      <sz val="18"/>
      <color theme="1"/>
      <name val="Georgia Pro"/>
      <family val="1"/>
    </font>
    <font>
      <b/>
      <sz val="16"/>
      <color theme="1"/>
      <name val="Georgia Pro"/>
      <family val="1"/>
    </font>
    <font>
      <b/>
      <i/>
      <sz val="16"/>
      <color theme="1"/>
      <name val="Georgia Pro"/>
      <family val="1"/>
    </font>
    <font>
      <sz val="18"/>
      <color theme="1"/>
      <name val="Georgia Pro"/>
      <family val="1"/>
    </font>
    <font>
      <sz val="11"/>
      <color theme="1"/>
      <name val="Georgia Pro"/>
      <family val="1"/>
    </font>
    <font>
      <sz val="16"/>
      <color theme="1"/>
      <name val="Georgia Pro"/>
      <family val="1"/>
    </font>
    <font>
      <sz val="16"/>
      <name val="Georgia Pro"/>
      <family val="1"/>
    </font>
    <font>
      <b/>
      <sz val="20"/>
      <color theme="0"/>
      <name val="Georgia Pro"/>
      <family val="1"/>
    </font>
    <font>
      <b/>
      <sz val="11"/>
      <color theme="1"/>
      <name val="Georgia Pro"/>
      <family val="1"/>
    </font>
    <font>
      <u/>
      <sz val="11"/>
      <color theme="10"/>
      <name val="Georgia Pro"/>
      <family val="1"/>
    </font>
    <font>
      <b/>
      <sz val="16"/>
      <color theme="0"/>
      <name val="Georgia Pro"/>
      <family val="1"/>
    </font>
    <font>
      <u/>
      <sz val="12"/>
      <color theme="10"/>
      <name val="Georgia Pro"/>
      <family val="1"/>
    </font>
    <font>
      <sz val="13"/>
      <color rgb="FF000000"/>
      <name val="Georgia Pro"/>
      <family val="1"/>
    </font>
    <font>
      <sz val="22"/>
      <color theme="1"/>
      <name val="Georgia Pro"/>
      <family val="1"/>
    </font>
    <font>
      <u/>
      <sz val="20"/>
      <color theme="10"/>
      <name val="Georgia Pro"/>
      <family val="1"/>
    </font>
    <font>
      <b/>
      <sz val="14"/>
      <color theme="1"/>
      <name val="Georgia Pro"/>
      <family val="1"/>
    </font>
    <font>
      <sz val="10"/>
      <color theme="1"/>
      <name val="Georgia Pro"/>
      <family val="1"/>
    </font>
    <font>
      <sz val="14"/>
      <color theme="1" tint="4.9989318521683403E-2"/>
      <name val="Georgia Pro"/>
      <family val="1"/>
    </font>
    <font>
      <b/>
      <sz val="28"/>
      <color theme="0"/>
      <name val="Georgia Pro"/>
      <family val="1"/>
    </font>
    <font>
      <u/>
      <sz val="16"/>
      <color theme="10"/>
      <name val="Georgia Pro"/>
      <family val="1"/>
    </font>
  </fonts>
  <fills count="16">
    <fill>
      <patternFill patternType="none"/>
    </fill>
    <fill>
      <patternFill patternType="gray125"/>
    </fill>
    <fill>
      <patternFill patternType="solid">
        <fgColor theme="9" tint="0.79998168889431442"/>
        <bgColor indexed="64"/>
      </patternFill>
    </fill>
    <fill>
      <patternFill patternType="solid">
        <fgColor rgb="FFEFF6EA"/>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rgb="FFFF7575"/>
        <bgColor indexed="64"/>
      </patternFill>
    </fill>
    <fill>
      <patternFill patternType="solid">
        <fgColor rgb="FFEE972E"/>
        <bgColor indexed="64"/>
      </patternFill>
    </fill>
    <fill>
      <patternFill patternType="solid">
        <fgColor rgb="FFFFE699"/>
        <bgColor indexed="64"/>
      </patternFill>
    </fill>
    <fill>
      <patternFill patternType="solid">
        <fgColor rgb="FF8FF1FB"/>
        <bgColor indexed="64"/>
      </patternFill>
    </fill>
    <fill>
      <patternFill patternType="solid">
        <fgColor theme="4" tint="0.79998168889431442"/>
        <bgColor indexed="64"/>
      </patternFill>
    </fill>
    <fill>
      <patternFill patternType="solid">
        <fgColor rgb="FF1B066A"/>
        <bgColor indexed="64"/>
      </patternFill>
    </fill>
    <fill>
      <patternFill patternType="solid">
        <fgColor rgb="FF1B066A"/>
        <bgColor theme="1"/>
      </patternFill>
    </fill>
    <fill>
      <patternFill patternType="solid">
        <fgColor rgb="FF1B066A"/>
        <bgColor theme="4"/>
      </patternFill>
    </fill>
    <fill>
      <patternFill patternType="solid">
        <fgColor theme="4" tint="0.79998168889431442"/>
        <bgColor theme="4" tint="0.7999816888943144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theme="4"/>
      </left>
      <right/>
      <top style="thin">
        <color indexed="64"/>
      </top>
      <bottom/>
      <diagonal/>
    </border>
    <border>
      <left style="thin">
        <color indexed="64"/>
      </left>
      <right/>
      <top/>
      <bottom/>
      <diagonal/>
    </border>
  </borders>
  <cellStyleXfs count="4">
    <xf numFmtId="0" fontId="0" fillId="0" borderId="0"/>
    <xf numFmtId="0" fontId="1"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173">
    <xf numFmtId="0" fontId="0" fillId="0" borderId="0" xfId="0"/>
    <xf numFmtId="0" fontId="0" fillId="0" borderId="0" xfId="0" applyAlignment="1">
      <alignment horizontal="center"/>
    </xf>
    <xf numFmtId="0" fontId="1" fillId="0" borderId="0" xfId="1"/>
    <xf numFmtId="0" fontId="2" fillId="0" borderId="0" xfId="0" applyFont="1" applyAlignment="1">
      <alignment horizontal="left" vertical="center"/>
    </xf>
    <xf numFmtId="43" fontId="5" fillId="0" borderId="0" xfId="3" applyFont="1" applyBorder="1" applyAlignment="1">
      <alignment vertical="center" wrapText="1"/>
    </xf>
    <xf numFmtId="0" fontId="4" fillId="0" borderId="0" xfId="0" applyFont="1" applyAlignment="1">
      <alignment horizontal="center" vertical="center"/>
    </xf>
    <xf numFmtId="0" fontId="2" fillId="0" borderId="0" xfId="0" applyFont="1" applyAlignment="1">
      <alignment horizontal="center"/>
    </xf>
    <xf numFmtId="0" fontId="6" fillId="0" borderId="0" xfId="0" applyFont="1"/>
    <xf numFmtId="0" fontId="8" fillId="12" borderId="4" xfId="0" applyFont="1" applyFill="1" applyBorder="1" applyAlignment="1">
      <alignment horizontal="center" vertical="center"/>
    </xf>
    <xf numFmtId="0" fontId="8" fillId="12" borderId="5" xfId="0" applyFont="1" applyFill="1" applyBorder="1" applyAlignment="1">
      <alignment horizontal="center" vertical="center"/>
    </xf>
    <xf numFmtId="0" fontId="9" fillId="0" borderId="1" xfId="0" applyFont="1" applyBorder="1" applyAlignment="1">
      <alignment vertical="center" wrapText="1"/>
    </xf>
    <xf numFmtId="164" fontId="10" fillId="0" borderId="1" xfId="2" applyNumberFormat="1" applyFont="1" applyBorder="1" applyAlignment="1">
      <alignment horizontal="center" vertical="center" wrapText="1"/>
    </xf>
    <xf numFmtId="0" fontId="8" fillId="13" borderId="1" xfId="0" applyFont="1" applyFill="1" applyBorder="1" applyAlignment="1">
      <alignment horizontal="left" vertical="center"/>
    </xf>
    <xf numFmtId="0" fontId="8" fillId="13" borderId="1" xfId="0" applyFont="1" applyFill="1" applyBorder="1" applyAlignment="1">
      <alignment horizontal="center" vertical="center"/>
    </xf>
    <xf numFmtId="0" fontId="12" fillId="12" borderId="1" xfId="0" applyFont="1" applyFill="1" applyBorder="1" applyAlignment="1">
      <alignment vertical="center" wrapText="1"/>
    </xf>
    <xf numFmtId="0" fontId="13" fillId="12" borderId="1" xfId="0" applyFont="1" applyFill="1" applyBorder="1" applyAlignment="1">
      <alignment vertical="center" wrapText="1"/>
    </xf>
    <xf numFmtId="0" fontId="13" fillId="12" borderId="3" xfId="0" applyFont="1" applyFill="1" applyBorder="1" applyAlignment="1">
      <alignment vertical="center" wrapText="1"/>
    </xf>
    <xf numFmtId="0" fontId="14" fillId="12" borderId="1" xfId="0" applyFont="1" applyFill="1" applyBorder="1" applyAlignment="1">
      <alignment vertical="center" wrapText="1"/>
    </xf>
    <xf numFmtId="1" fontId="15"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1" fontId="18" fillId="4" borderId="1" xfId="3" applyNumberFormat="1" applyFont="1" applyFill="1" applyBorder="1" applyAlignment="1">
      <alignment horizontal="center" vertical="center"/>
    </xf>
    <xf numFmtId="1" fontId="18" fillId="4" borderId="3" xfId="3" applyNumberFormat="1" applyFont="1" applyFill="1" applyBorder="1" applyAlignment="1">
      <alignment horizontal="center" vertical="center"/>
    </xf>
    <xf numFmtId="164" fontId="19" fillId="0" borderId="1" xfId="2" applyNumberFormat="1" applyFont="1" applyBorder="1" applyAlignment="1">
      <alignment horizontal="center"/>
    </xf>
    <xf numFmtId="0" fontId="13" fillId="12" borderId="1" xfId="0" applyFont="1" applyFill="1" applyBorder="1"/>
    <xf numFmtId="0" fontId="8" fillId="12" borderId="8" xfId="0" applyFont="1" applyFill="1" applyBorder="1" applyAlignment="1">
      <alignment horizontal="center" vertical="center"/>
    </xf>
    <xf numFmtId="0" fontId="8" fillId="14" borderId="2"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4" borderId="8" xfId="0" applyFont="1" applyFill="1" applyBorder="1" applyAlignment="1">
      <alignment horizontal="center" vertical="center" wrapText="1"/>
    </xf>
    <xf numFmtId="0" fontId="21" fillId="0" borderId="0" xfId="0" applyFont="1"/>
    <xf numFmtId="0" fontId="16" fillId="0" borderId="1" xfId="0" applyFont="1" applyBorder="1" applyAlignment="1">
      <alignment horizontal="center"/>
    </xf>
    <xf numFmtId="0" fontId="21" fillId="3" borderId="0" xfId="0" applyFont="1" applyFill="1" applyAlignment="1">
      <alignment horizontal="center"/>
    </xf>
    <xf numFmtId="0" fontId="9" fillId="5" borderId="1" xfId="0" applyFont="1" applyFill="1" applyBorder="1"/>
    <xf numFmtId="0" fontId="8" fillId="12" borderId="1" xfId="0" applyFont="1" applyFill="1" applyBorder="1" applyAlignment="1">
      <alignment horizontal="center"/>
    </xf>
    <xf numFmtId="14" fontId="9" fillId="3" borderId="1" xfId="0" applyNumberFormat="1" applyFont="1" applyFill="1" applyBorder="1" applyAlignment="1">
      <alignment horizontal="center"/>
    </xf>
    <xf numFmtId="0" fontId="11" fillId="0" borderId="7" xfId="0" applyFont="1" applyBorder="1" applyAlignment="1">
      <alignment horizontal="center"/>
    </xf>
    <xf numFmtId="0" fontId="11" fillId="0" borderId="1" xfId="0" applyFont="1" applyBorder="1" applyAlignment="1">
      <alignment horizontal="center"/>
    </xf>
    <xf numFmtId="0" fontId="21" fillId="3" borderId="0" xfId="0" applyFont="1" applyFill="1" applyAlignment="1">
      <alignment horizontal="center" wrapText="1"/>
    </xf>
    <xf numFmtId="0" fontId="25" fillId="0" borderId="0" xfId="0" applyFont="1" applyAlignment="1">
      <alignment horizontal="center"/>
    </xf>
    <xf numFmtId="0" fontId="21" fillId="3" borderId="1" xfId="0" applyFont="1" applyFill="1" applyBorder="1" applyAlignment="1">
      <alignment horizontal="center" wrapText="1"/>
    </xf>
    <xf numFmtId="0" fontId="9" fillId="5" borderId="1" xfId="0" applyFont="1" applyFill="1" applyBorder="1" applyAlignment="1">
      <alignment wrapText="1"/>
    </xf>
    <xf numFmtId="14" fontId="9" fillId="3" borderId="1" xfId="0" applyNumberFormat="1" applyFont="1" applyFill="1" applyBorder="1" applyAlignment="1">
      <alignment horizontal="center" wrapText="1"/>
    </xf>
    <xf numFmtId="0" fontId="9" fillId="3" borderId="1" xfId="0" applyFont="1" applyFill="1" applyBorder="1" applyAlignment="1">
      <alignment horizontal="center"/>
    </xf>
    <xf numFmtId="164" fontId="9" fillId="3" borderId="1" xfId="0" applyNumberFormat="1" applyFont="1" applyFill="1" applyBorder="1" applyAlignment="1">
      <alignment horizontal="center"/>
    </xf>
    <xf numFmtId="0" fontId="9" fillId="0" borderId="1" xfId="0" applyFont="1" applyBorder="1" applyAlignment="1">
      <alignment horizontal="center"/>
    </xf>
    <xf numFmtId="0" fontId="21" fillId="0" borderId="1" xfId="0" applyFont="1" applyBorder="1" applyAlignment="1">
      <alignment horizontal="center" wrapText="1"/>
    </xf>
    <xf numFmtId="0" fontId="21" fillId="0" borderId="1" xfId="0" applyFont="1" applyBorder="1" applyAlignment="1">
      <alignment horizontal="center"/>
    </xf>
    <xf numFmtId="165" fontId="21" fillId="0" borderId="1" xfId="0" applyNumberFormat="1" applyFont="1" applyBorder="1" applyAlignment="1">
      <alignment horizontal="center"/>
    </xf>
    <xf numFmtId="0" fontId="8" fillId="12" borderId="4"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12" borderId="1" xfId="0" applyFont="1" applyFill="1" applyBorder="1"/>
    <xf numFmtId="0" fontId="8" fillId="12" borderId="1" xfId="0" applyFont="1" applyFill="1" applyBorder="1" applyAlignment="1">
      <alignment wrapText="1"/>
    </xf>
    <xf numFmtId="0" fontId="9" fillId="3" borderId="1" xfId="0" applyFont="1" applyFill="1" applyBorder="1" applyAlignment="1">
      <alignment wrapText="1"/>
    </xf>
    <xf numFmtId="0" fontId="9" fillId="3" borderId="1" xfId="0" applyFont="1" applyFill="1" applyBorder="1"/>
    <xf numFmtId="165" fontId="9" fillId="0" borderId="1" xfId="0" applyNumberFormat="1" applyFont="1" applyBorder="1" applyAlignment="1">
      <alignment horizontal="center"/>
    </xf>
    <xf numFmtId="0" fontId="28" fillId="3" borderId="1" xfId="1" applyFont="1" applyFill="1" applyBorder="1" applyAlignment="1">
      <alignment wrapText="1"/>
    </xf>
    <xf numFmtId="0" fontId="9" fillId="3" borderId="0" xfId="0" applyFont="1" applyFill="1"/>
    <xf numFmtId="0" fontId="9" fillId="3" borderId="0" xfId="0" applyFont="1" applyFill="1" applyAlignment="1">
      <alignment wrapText="1"/>
    </xf>
    <xf numFmtId="164" fontId="9" fillId="3" borderId="1" xfId="0" applyNumberFormat="1" applyFont="1" applyFill="1" applyBorder="1" applyAlignment="1">
      <alignment horizontal="center" wrapText="1"/>
    </xf>
    <xf numFmtId="0" fontId="24" fillId="12" borderId="0" xfId="0" applyFont="1" applyFill="1" applyAlignment="1">
      <alignment horizontal="center"/>
    </xf>
    <xf numFmtId="49" fontId="9" fillId="0" borderId="1" xfId="0" applyNumberFormat="1" applyFont="1" applyBorder="1" applyAlignment="1">
      <alignment horizontal="center"/>
    </xf>
    <xf numFmtId="0" fontId="9" fillId="0" borderId="1" xfId="0" applyFont="1" applyBorder="1" applyAlignment="1">
      <alignment horizontal="center" wrapText="1"/>
    </xf>
    <xf numFmtId="165" fontId="9" fillId="0" borderId="1" xfId="0" applyNumberFormat="1" applyFont="1" applyBorder="1" applyAlignment="1">
      <alignment horizontal="center" wrapText="1"/>
    </xf>
    <xf numFmtId="0" fontId="9" fillId="0" borderId="0" xfId="0" applyFont="1" applyAlignment="1">
      <alignment wrapText="1"/>
    </xf>
    <xf numFmtId="0" fontId="9" fillId="0" borderId="0" xfId="0" applyFont="1" applyAlignment="1">
      <alignment vertical="center"/>
    </xf>
    <xf numFmtId="0" fontId="21" fillId="0" borderId="0" xfId="0" applyFont="1" applyAlignment="1">
      <alignment vertical="center"/>
    </xf>
    <xf numFmtId="0" fontId="29" fillId="0" borderId="0" xfId="0" applyFont="1" applyAlignment="1">
      <alignment vertical="center"/>
    </xf>
    <xf numFmtId="0" fontId="26" fillId="0" borderId="0" xfId="1" applyFont="1" applyAlignment="1">
      <alignment vertical="center"/>
    </xf>
    <xf numFmtId="0" fontId="20" fillId="0" borderId="1" xfId="0" applyFont="1" applyBorder="1" applyAlignment="1">
      <alignment horizontal="center"/>
    </xf>
    <xf numFmtId="0" fontId="21" fillId="0" borderId="1" xfId="0" applyFont="1" applyBorder="1"/>
    <xf numFmtId="0" fontId="16" fillId="2" borderId="1" xfId="0" applyFont="1" applyFill="1" applyBorder="1" applyAlignment="1">
      <alignment horizontal="center" vertical="center"/>
    </xf>
    <xf numFmtId="0" fontId="16" fillId="0" borderId="1" xfId="0" applyFont="1" applyBorder="1" applyAlignment="1">
      <alignment horizontal="center" vertical="center" wrapText="1"/>
    </xf>
    <xf numFmtId="0" fontId="18" fillId="0" borderId="0" xfId="0" applyFont="1" applyAlignment="1">
      <alignment vertical="center"/>
    </xf>
    <xf numFmtId="0" fontId="22" fillId="2" borderId="1" xfId="0" applyFont="1" applyFill="1" applyBorder="1" applyAlignment="1">
      <alignment horizontal="center" vertical="center"/>
    </xf>
    <xf numFmtId="0" fontId="28" fillId="0" borderId="7" xfId="1" applyFont="1" applyBorder="1"/>
    <xf numFmtId="1" fontId="9" fillId="0" borderId="2" xfId="0" applyNumberFormat="1" applyFont="1" applyBorder="1" applyAlignment="1">
      <alignment horizontal="center"/>
    </xf>
    <xf numFmtId="0" fontId="9" fillId="0" borderId="2" xfId="0" applyFont="1" applyBorder="1" applyAlignment="1">
      <alignment horizontal="center"/>
    </xf>
    <xf numFmtId="0" fontId="28" fillId="0" borderId="11" xfId="1" applyFont="1" applyBorder="1"/>
    <xf numFmtId="0" fontId="9" fillId="0" borderId="3" xfId="0" applyFont="1" applyBorder="1" applyAlignment="1">
      <alignment horizontal="center"/>
    </xf>
    <xf numFmtId="0" fontId="28" fillId="0" borderId="0" xfId="1" applyFont="1" applyFill="1" applyBorder="1"/>
    <xf numFmtId="0" fontId="9" fillId="0" borderId="0" xfId="0" applyFont="1" applyAlignment="1">
      <alignment horizontal="center"/>
    </xf>
    <xf numFmtId="0" fontId="30" fillId="0" borderId="0" xfId="0" applyFont="1" applyAlignment="1">
      <alignment horizontal="center"/>
    </xf>
    <xf numFmtId="1" fontId="9" fillId="0" borderId="1" xfId="0" applyNumberFormat="1" applyFont="1" applyBorder="1" applyAlignment="1">
      <alignment horizontal="center"/>
    </xf>
    <xf numFmtId="0" fontId="26" fillId="0" borderId="7" xfId="1" applyFont="1" applyBorder="1"/>
    <xf numFmtId="0" fontId="28" fillId="0" borderId="0" xfId="1" applyFont="1" applyBorder="1"/>
    <xf numFmtId="0" fontId="28" fillId="15" borderId="7" xfId="1" applyFont="1" applyFill="1" applyBorder="1"/>
    <xf numFmtId="0" fontId="9" fillId="15" borderId="1" xfId="0" applyFont="1" applyFill="1" applyBorder="1" applyAlignment="1">
      <alignment horizontal="center"/>
    </xf>
    <xf numFmtId="1" fontId="9" fillId="0" borderId="3" xfId="0" applyNumberFormat="1" applyFont="1" applyBorder="1" applyAlignment="1">
      <alignment horizontal="center"/>
    </xf>
    <xf numFmtId="0" fontId="8" fillId="12" borderId="8" xfId="0" applyFont="1" applyFill="1" applyBorder="1" applyAlignment="1">
      <alignment horizontal="center"/>
    </xf>
    <xf numFmtId="0" fontId="8" fillId="12" borderId="2" xfId="0" applyFont="1" applyFill="1" applyBorder="1" applyAlignment="1">
      <alignment horizontal="center"/>
    </xf>
    <xf numFmtId="0" fontId="8" fillId="12" borderId="2" xfId="0" applyFont="1" applyFill="1" applyBorder="1" applyAlignment="1">
      <alignment horizontal="center" wrapText="1"/>
    </xf>
    <xf numFmtId="0" fontId="8" fillId="12" borderId="9" xfId="0" applyFont="1" applyFill="1" applyBorder="1" applyAlignment="1">
      <alignment horizontal="center" wrapText="1"/>
    </xf>
    <xf numFmtId="0" fontId="20" fillId="0" borderId="10" xfId="0" applyFont="1" applyBorder="1" applyAlignment="1">
      <alignment horizontal="center"/>
    </xf>
    <xf numFmtId="0" fontId="20" fillId="0" borderId="12" xfId="0" applyFont="1" applyBorder="1" applyAlignment="1">
      <alignment horizontal="center"/>
    </xf>
    <xf numFmtId="0" fontId="8" fillId="12" borderId="8" xfId="0" applyFont="1" applyFill="1" applyBorder="1" applyAlignment="1">
      <alignment horizontal="center" wrapText="1"/>
    </xf>
    <xf numFmtId="0" fontId="21" fillId="0" borderId="0" xfId="0" applyFont="1" applyAlignment="1">
      <alignment wrapText="1"/>
    </xf>
    <xf numFmtId="0" fontId="31" fillId="0" borderId="0" xfId="1" applyFont="1"/>
    <xf numFmtId="0" fontId="17" fillId="0" borderId="0" xfId="0" applyFont="1" applyAlignment="1">
      <alignment horizontal="center"/>
    </xf>
    <xf numFmtId="1" fontId="32" fillId="0" borderId="0" xfId="0" applyNumberFormat="1" applyFont="1"/>
    <xf numFmtId="2" fontId="21" fillId="0" borderId="0" xfId="0" applyNumberFormat="1" applyFont="1" applyAlignment="1">
      <alignment horizontal="center"/>
    </xf>
    <xf numFmtId="0" fontId="26" fillId="0" borderId="0" xfId="1" applyFont="1"/>
    <xf numFmtId="165" fontId="21" fillId="0" borderId="0" xfId="0" applyNumberFormat="1" applyFont="1" applyAlignment="1">
      <alignment horizontal="center" wrapText="1"/>
    </xf>
    <xf numFmtId="0" fontId="21" fillId="0" borderId="0" xfId="0" applyFont="1" applyAlignment="1">
      <alignment horizontal="center"/>
    </xf>
    <xf numFmtId="0" fontId="26" fillId="0" borderId="1" xfId="1" applyFont="1" applyBorder="1" applyAlignment="1">
      <alignment horizontal="center" vertical="center"/>
    </xf>
    <xf numFmtId="0" fontId="26" fillId="0" borderId="1" xfId="1" applyFont="1" applyBorder="1" applyAlignment="1">
      <alignment horizontal="center"/>
    </xf>
    <xf numFmtId="0" fontId="21" fillId="0" borderId="3" xfId="0" applyFont="1" applyBorder="1" applyAlignment="1">
      <alignment horizontal="center"/>
    </xf>
    <xf numFmtId="0" fontId="26" fillId="0" borderId="3" xfId="1" applyFont="1" applyBorder="1" applyAlignment="1">
      <alignment horizontal="center"/>
    </xf>
    <xf numFmtId="0" fontId="32" fillId="0" borderId="0" xfId="0" applyFont="1"/>
    <xf numFmtId="0" fontId="25" fillId="0" borderId="0" xfId="0" applyFont="1"/>
    <xf numFmtId="0" fontId="26" fillId="0" borderId="0" xfId="1" applyFont="1" applyBorder="1"/>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2" fillId="0" borderId="1" xfId="0" applyFont="1" applyBorder="1" applyAlignment="1">
      <alignment horizontal="center" vertical="center"/>
    </xf>
    <xf numFmtId="0" fontId="9" fillId="0" borderId="0" xfId="0" applyFont="1"/>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1" fillId="0" borderId="1" xfId="0" applyFont="1" applyBorder="1" applyAlignment="1">
      <alignment horizontal="center" vertical="center"/>
    </xf>
    <xf numFmtId="0" fontId="9" fillId="0" borderId="1" xfId="0" applyFont="1" applyBorder="1" applyAlignment="1">
      <alignment wrapText="1"/>
    </xf>
    <xf numFmtId="0" fontId="13" fillId="6" borderId="15" xfId="0" applyFont="1" applyFill="1" applyBorder="1" applyAlignment="1">
      <alignment vertical="center"/>
    </xf>
    <xf numFmtId="0" fontId="13" fillId="14" borderId="5"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9" fillId="0" borderId="10" xfId="0" applyFont="1" applyBorder="1" applyAlignment="1">
      <alignment horizontal="center" vertical="center"/>
    </xf>
    <xf numFmtId="0" fontId="20" fillId="0" borderId="1" xfId="0" applyFont="1" applyBorder="1" applyAlignment="1">
      <alignment horizontal="center" wrapText="1"/>
    </xf>
    <xf numFmtId="0" fontId="13" fillId="0" borderId="0" xfId="0" applyFont="1" applyAlignment="1">
      <alignment horizontal="center" vertical="center" wrapText="1"/>
    </xf>
    <xf numFmtId="0" fontId="18" fillId="7" borderId="1" xfId="0" applyFont="1" applyFill="1" applyBorder="1" applyAlignment="1">
      <alignment horizontal="center" wrapText="1"/>
    </xf>
    <xf numFmtId="0" fontId="18" fillId="8" borderId="1" xfId="0" applyFont="1" applyFill="1" applyBorder="1" applyAlignment="1">
      <alignment horizontal="center"/>
    </xf>
    <xf numFmtId="0" fontId="18" fillId="9" borderId="1" xfId="0" applyFont="1" applyFill="1" applyBorder="1" applyAlignment="1">
      <alignment horizontal="center"/>
    </xf>
    <xf numFmtId="0" fontId="18" fillId="10" borderId="1" xfId="0" applyFont="1" applyFill="1" applyBorder="1" applyAlignment="1">
      <alignment horizontal="center"/>
    </xf>
    <xf numFmtId="0" fontId="18" fillId="0" borderId="1" xfId="0" applyFont="1" applyBorder="1" applyAlignment="1">
      <alignment horizontal="center"/>
    </xf>
    <xf numFmtId="0" fontId="9" fillId="0" borderId="0" xfId="0" applyFont="1" applyAlignment="1">
      <alignment horizontal="center" vertical="center"/>
    </xf>
    <xf numFmtId="0" fontId="25" fillId="7" borderId="1" xfId="0" applyFont="1" applyFill="1" applyBorder="1" applyAlignment="1">
      <alignment horizontal="center"/>
    </xf>
    <xf numFmtId="0" fontId="25" fillId="8" borderId="1" xfId="0" applyFont="1" applyFill="1" applyBorder="1" applyAlignment="1">
      <alignment horizontal="center"/>
    </xf>
    <xf numFmtId="0" fontId="25" fillId="9" borderId="1" xfId="0" applyFont="1" applyFill="1" applyBorder="1" applyAlignment="1">
      <alignment horizontal="center"/>
    </xf>
    <xf numFmtId="0" fontId="25" fillId="10" borderId="1" xfId="0" applyFont="1" applyFill="1" applyBorder="1" applyAlignment="1">
      <alignment horizontal="center"/>
    </xf>
    <xf numFmtId="49" fontId="9" fillId="0" borderId="3" xfId="0" applyNumberFormat="1" applyFont="1" applyBorder="1" applyAlignment="1">
      <alignment horizontal="center"/>
    </xf>
    <xf numFmtId="0" fontId="9" fillId="0" borderId="3" xfId="0" applyFont="1" applyBorder="1" applyAlignment="1">
      <alignment horizontal="center" wrapText="1"/>
    </xf>
    <xf numFmtId="165" fontId="21" fillId="0" borderId="3" xfId="0" applyNumberFormat="1" applyFont="1" applyBorder="1" applyAlignment="1">
      <alignment horizontal="center"/>
    </xf>
    <xf numFmtId="0" fontId="14" fillId="12" borderId="7" xfId="0" applyFont="1" applyFill="1" applyBorder="1" applyAlignment="1">
      <alignment vertical="center" wrapText="1"/>
    </xf>
    <xf numFmtId="0" fontId="16" fillId="0" borderId="1" xfId="3" applyNumberFormat="1" applyFont="1" applyBorder="1" applyAlignment="1">
      <alignment horizontal="center" vertical="center"/>
    </xf>
    <xf numFmtId="0" fontId="16" fillId="0" borderId="0" xfId="3" quotePrefix="1" applyNumberFormat="1" applyFont="1" applyAlignment="1">
      <alignment horizontal="center" vertical="center"/>
    </xf>
    <xf numFmtId="0" fontId="14" fillId="12" borderId="11" xfId="0" applyFont="1" applyFill="1" applyBorder="1" applyAlignment="1">
      <alignment vertical="center" wrapText="1"/>
    </xf>
    <xf numFmtId="0" fontId="15" fillId="0" borderId="3" xfId="0" applyFont="1" applyBorder="1" applyAlignment="1">
      <alignment horizontal="center" vertical="center"/>
    </xf>
    <xf numFmtId="0" fontId="32" fillId="0" borderId="0" xfId="3" applyNumberFormat="1" applyFont="1" applyAlignment="1">
      <alignment horizontal="center" vertical="center" wrapText="1"/>
    </xf>
    <xf numFmtId="0" fontId="15" fillId="0" borderId="1" xfId="3" applyNumberFormat="1" applyFont="1" applyFill="1" applyBorder="1" applyAlignment="1">
      <alignment horizontal="center" vertical="center"/>
    </xf>
    <xf numFmtId="0" fontId="14" fillId="12" borderId="1" xfId="0" applyFont="1" applyFill="1" applyBorder="1" applyAlignment="1">
      <alignment horizontal="center"/>
    </xf>
    <xf numFmtId="0" fontId="27" fillId="12" borderId="0" xfId="0" applyFont="1" applyFill="1" applyAlignment="1">
      <alignment horizontal="center" wrapText="1"/>
    </xf>
    <xf numFmtId="0" fontId="27" fillId="12" borderId="3" xfId="0" applyFont="1" applyFill="1" applyBorder="1" applyAlignment="1">
      <alignment horizontal="center" wrapText="1"/>
    </xf>
    <xf numFmtId="0" fontId="9" fillId="0" borderId="0" xfId="0" applyFont="1" applyAlignment="1">
      <alignment vertical="center" wrapText="1"/>
    </xf>
    <xf numFmtId="0" fontId="33" fillId="0" borderId="1" xfId="0" applyFont="1" applyBorder="1" applyAlignment="1">
      <alignment horizontal="center" vertical="center" wrapText="1"/>
    </xf>
    <xf numFmtId="165" fontId="34" fillId="0" borderId="1" xfId="0" applyNumberFormat="1" applyFont="1" applyBorder="1" applyAlignment="1">
      <alignment horizontal="center" vertical="center" wrapText="1"/>
    </xf>
    <xf numFmtId="0" fontId="11" fillId="0" borderId="1" xfId="0" applyFont="1" applyBorder="1" applyAlignment="1">
      <alignment wrapText="1"/>
    </xf>
    <xf numFmtId="0" fontId="24" fillId="0" borderId="0" xfId="0" applyFont="1" applyAlignment="1">
      <alignment horizontal="center"/>
    </xf>
    <xf numFmtId="0" fontId="8" fillId="12" borderId="1" xfId="0" applyFont="1" applyFill="1" applyBorder="1" applyAlignment="1">
      <alignment horizontal="center" wrapText="1"/>
    </xf>
    <xf numFmtId="0" fontId="22" fillId="0" borderId="0" xfId="0" applyFont="1"/>
    <xf numFmtId="0" fontId="36" fillId="0" borderId="0" xfId="1" applyFont="1"/>
    <xf numFmtId="0" fontId="8" fillId="12" borderId="7" xfId="0" applyFont="1" applyFill="1" applyBorder="1" applyAlignment="1">
      <alignment horizontal="center" vertical="center"/>
    </xf>
    <xf numFmtId="0" fontId="8" fillId="12" borderId="1" xfId="0" applyFont="1" applyFill="1" applyBorder="1" applyAlignment="1">
      <alignment horizontal="center" vertical="center"/>
    </xf>
    <xf numFmtId="0" fontId="21" fillId="0" borderId="1" xfId="0" applyFont="1" applyBorder="1" applyAlignment="1">
      <alignment vertical="center" wrapText="1"/>
    </xf>
    <xf numFmtId="49" fontId="9" fillId="3" borderId="1" xfId="0" applyNumberFormat="1" applyFont="1" applyFill="1" applyBorder="1" applyAlignment="1">
      <alignment horizontal="center"/>
    </xf>
    <xf numFmtId="0" fontId="22" fillId="0" borderId="1" xfId="0" applyFont="1" applyBorder="1" applyAlignment="1">
      <alignment horizontal="center" vertical="center" wrapText="1"/>
    </xf>
    <xf numFmtId="0" fontId="9" fillId="0" borderId="0" xfId="0" applyFont="1" applyProtection="1">
      <protection locked="0"/>
    </xf>
    <xf numFmtId="0" fontId="8" fillId="12" borderId="16" xfId="0" applyFont="1" applyFill="1" applyBorder="1" applyAlignment="1">
      <alignment horizontal="center"/>
    </xf>
    <xf numFmtId="0" fontId="8" fillId="12" borderId="0" xfId="0" applyFont="1" applyFill="1" applyAlignment="1">
      <alignment horizontal="center"/>
    </xf>
    <xf numFmtId="0" fontId="8" fillId="12" borderId="1" xfId="0" applyFont="1" applyFill="1" applyBorder="1" applyAlignment="1">
      <alignment horizontal="center"/>
    </xf>
    <xf numFmtId="0" fontId="8" fillId="12" borderId="10" xfId="0" applyFont="1" applyFill="1" applyBorder="1" applyAlignment="1">
      <alignment horizontal="center"/>
    </xf>
    <xf numFmtId="0" fontId="8" fillId="12" borderId="7" xfId="0" applyFont="1" applyFill="1" applyBorder="1" applyAlignment="1">
      <alignment horizontal="center"/>
    </xf>
    <xf numFmtId="0" fontId="24" fillId="12" borderId="9" xfId="0" applyFont="1" applyFill="1" applyBorder="1" applyAlignment="1">
      <alignment horizontal="center" wrapText="1"/>
    </xf>
    <xf numFmtId="0" fontId="24" fillId="12" borderId="14" xfId="0" applyFont="1" applyFill="1" applyBorder="1" applyAlignment="1">
      <alignment horizontal="center" wrapText="1"/>
    </xf>
    <xf numFmtId="0" fontId="22" fillId="11" borderId="13" xfId="0" applyFont="1" applyFill="1" applyBorder="1" applyAlignment="1">
      <alignment horizontal="center"/>
    </xf>
    <xf numFmtId="0" fontId="20" fillId="11" borderId="0" xfId="0" applyFont="1" applyFill="1" applyAlignment="1">
      <alignment horizontal="center"/>
    </xf>
    <xf numFmtId="0" fontId="35" fillId="12" borderId="1" xfId="0" applyFont="1" applyFill="1" applyBorder="1" applyAlignment="1">
      <alignment horizontal="center" vertical="center"/>
    </xf>
    <xf numFmtId="0" fontId="24" fillId="12" borderId="1" xfId="0" applyFont="1" applyFill="1" applyBorder="1" applyAlignment="1">
      <alignment horizontal="center" vertical="center"/>
    </xf>
  </cellXfs>
  <cellStyles count="4">
    <cellStyle name="Comma" xfId="3" builtinId="3"/>
    <cellStyle name="Hyperlink" xfId="1" builtinId="8"/>
    <cellStyle name="Normal" xfId="0" builtinId="0"/>
    <cellStyle name="Percent" xfId="2" builtinId="5"/>
  </cellStyles>
  <dxfs count="210">
    <dxf>
      <fill>
        <patternFill>
          <bgColor rgb="FF92D050"/>
        </patternFill>
      </fill>
    </dxf>
    <dxf>
      <font>
        <color auto="1"/>
      </font>
      <fill>
        <patternFill>
          <bgColor rgb="FFEE665C"/>
        </patternFill>
      </fill>
    </dxf>
    <dxf>
      <fill>
        <patternFill>
          <bgColor rgb="FF92D050"/>
        </patternFill>
      </fill>
    </dxf>
    <dxf>
      <font>
        <color auto="1"/>
      </font>
      <fill>
        <patternFill>
          <bgColor rgb="FFEE665C"/>
        </patternFill>
      </fill>
    </dxf>
    <dxf>
      <fill>
        <patternFill>
          <bgColor rgb="FF92D050"/>
        </patternFill>
      </fill>
    </dxf>
    <dxf>
      <font>
        <color auto="1"/>
      </font>
      <fill>
        <patternFill>
          <bgColor rgb="FFEE665C"/>
        </patternFill>
      </fill>
    </dxf>
    <dxf>
      <fill>
        <patternFill>
          <bgColor rgb="FFFF7575"/>
        </patternFill>
      </fill>
    </dxf>
    <dxf>
      <fill>
        <patternFill>
          <bgColor theme="7" tint="0.59996337778862885"/>
        </patternFill>
      </fill>
    </dxf>
    <dxf>
      <fill>
        <patternFill>
          <bgColor rgb="FFEE972E"/>
        </patternFill>
      </fill>
    </dxf>
    <dxf>
      <fill>
        <patternFill>
          <bgColor rgb="FFFF7575"/>
        </patternFill>
      </fill>
    </dxf>
    <dxf>
      <fill>
        <patternFill>
          <bgColor theme="7" tint="0.59996337778862885"/>
        </patternFill>
      </fill>
    </dxf>
    <dxf>
      <fill>
        <patternFill>
          <bgColor rgb="FFEE972E"/>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CCCC"/>
        </patternFill>
      </fill>
    </dxf>
    <dxf>
      <fill>
        <patternFill>
          <bgColor theme="7" tint="0.79998168889431442"/>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rgb="FFFFCCCC"/>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rgb="FFFFCCCC"/>
        </patternFill>
      </fill>
    </dxf>
    <dxf>
      <font>
        <color theme="1"/>
      </font>
      <fill>
        <patternFill>
          <bgColor rgb="FFE2EFDA"/>
        </patternFill>
      </fill>
    </dxf>
    <dxf>
      <fill>
        <patternFill>
          <bgColor rgb="FFFFE162"/>
        </patternFill>
      </fill>
    </dxf>
    <dxf>
      <fill>
        <patternFill>
          <bgColor rgb="FFFFCCCC"/>
        </patternFill>
      </fill>
    </dxf>
    <dxf>
      <fill>
        <patternFill>
          <bgColor theme="9" tint="0.79998168889431442"/>
        </patternFill>
      </fill>
    </dxf>
    <dxf>
      <fill>
        <patternFill>
          <bgColor rgb="FFFFF2CC"/>
        </patternFill>
      </fill>
    </dxf>
    <dxf>
      <fill>
        <patternFill>
          <bgColor rgb="FFFFCCCC"/>
        </patternFill>
      </fill>
    </dxf>
    <dxf>
      <fill>
        <patternFill>
          <bgColor rgb="FFFFCCCC"/>
        </patternFill>
      </fill>
    </dxf>
    <dxf>
      <font>
        <color auto="1"/>
      </font>
      <fill>
        <patternFill>
          <bgColor rgb="FFFFF2CC"/>
        </patternFill>
      </fill>
    </dxf>
    <dxf>
      <fill>
        <patternFill>
          <bgColor theme="7" tint="0.79998168889431442"/>
        </patternFill>
      </fill>
    </dxf>
    <dxf>
      <fill>
        <patternFill>
          <bgColor rgb="FFE2EFDA"/>
        </patternFill>
      </fill>
    </dxf>
    <dxf>
      <fill>
        <patternFill>
          <bgColor rgb="FFFFCCCC"/>
        </patternFill>
      </fill>
    </dxf>
    <dxf>
      <fill>
        <patternFill>
          <bgColor theme="7" tint="0.79998168889431442"/>
        </patternFill>
      </fill>
    </dxf>
    <dxf>
      <fill>
        <patternFill>
          <bgColor theme="7" tint="0.79998168889431442"/>
        </patternFill>
      </fill>
    </dxf>
    <dxf>
      <font>
        <color auto="1"/>
      </font>
      <fill>
        <patternFill>
          <bgColor rgb="FFE2EFDA"/>
        </patternFill>
      </fill>
    </dxf>
    <dxf>
      <fill>
        <patternFill>
          <bgColor rgb="FFFFCCCC"/>
        </patternFill>
      </fill>
    </dxf>
    <dxf>
      <font>
        <color auto="1"/>
      </font>
      <fill>
        <patternFill>
          <bgColor theme="7" tint="0.79998168889431442"/>
        </patternFill>
      </fill>
    </dxf>
    <dxf>
      <fill>
        <patternFill>
          <bgColor theme="7" tint="0.79998168889431442"/>
        </patternFill>
      </fill>
    </dxf>
    <dxf>
      <fill>
        <patternFill>
          <bgColor rgb="FFE2EFDA"/>
        </patternFill>
      </fill>
    </dxf>
    <dxf>
      <font>
        <strike val="0"/>
        <outline val="0"/>
        <shadow val="0"/>
        <vertAlign val="baseline"/>
        <name val="Georgia Pro"/>
        <family val="1"/>
        <scheme val="none"/>
      </font>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Georgia Pro"/>
        <family val="1"/>
        <scheme val="none"/>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numFmt numFmtId="30" formatCode="@"/>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vertAlign val="baseline"/>
        <name val="Georgia Pro"/>
        <family val="1"/>
        <scheme val="none"/>
      </font>
    </dxf>
    <dxf>
      <font>
        <b/>
        <i val="0"/>
        <strike val="0"/>
        <condense val="0"/>
        <extend val="0"/>
        <outline val="0"/>
        <shadow val="0"/>
        <u val="none"/>
        <vertAlign val="baseline"/>
        <sz val="20"/>
        <color theme="0"/>
        <name val="Georgia Pro"/>
        <family val="1"/>
        <scheme val="none"/>
      </font>
      <fill>
        <patternFill patternType="solid">
          <fgColor indexed="64"/>
          <bgColor rgb="FF1B066A"/>
        </patternFill>
      </fill>
      <alignment horizontal="center" vertical="bottom" textRotation="0" wrapText="0" indent="0" justifyLastLine="0" shrinkToFit="0" readingOrder="0"/>
    </dxf>
    <dxf>
      <font>
        <strike val="0"/>
        <outline val="0"/>
        <shadow val="0"/>
        <vertAlign val="baseline"/>
        <name val="Georgia Pro"/>
        <family val="1"/>
        <scheme val="none"/>
      </font>
      <alignment horizontal="center" vertical="bottom" textRotation="0" wrapText="0" indent="0" justifyLastLine="0" shrinkToFit="0" readingOrder="0"/>
    </dxf>
    <dxf>
      <font>
        <strike val="0"/>
        <outline val="0"/>
        <shadow val="0"/>
        <vertAlign val="baseline"/>
        <name val="Georgia Pro"/>
        <family val="1"/>
        <scheme val="none"/>
      </font>
      <alignment horizontal="center" vertical="bottom" textRotation="0" wrapText="0" indent="0" justifyLastLine="0" shrinkToFit="0" readingOrder="0"/>
    </dxf>
    <dxf>
      <font>
        <strike val="0"/>
        <outline val="0"/>
        <shadow val="0"/>
        <vertAlign val="baseline"/>
        <name val="Georgia Pro"/>
        <family val="1"/>
        <scheme val="none"/>
      </font>
      <alignment horizontal="center" vertical="bottom" textRotation="0" wrapText="0" indent="0" justifyLastLine="0" shrinkToFit="0" readingOrder="0"/>
    </dxf>
    <dxf>
      <font>
        <strike val="0"/>
        <outline val="0"/>
        <shadow val="0"/>
        <vertAlign val="baseline"/>
        <name val="Georgia Pro"/>
        <family val="1"/>
        <scheme val="none"/>
      </font>
      <alignment horizontal="center" vertical="bottom" textRotation="0" wrapText="0" indent="0" justifyLastLine="0" shrinkToFit="0" readingOrder="0"/>
    </dxf>
    <dxf>
      <font>
        <strike val="0"/>
        <outline val="0"/>
        <shadow val="0"/>
        <vertAlign val="baseline"/>
        <name val="Georgia Pro"/>
        <family val="1"/>
        <scheme val="none"/>
      </font>
      <alignment horizontal="center" vertical="bottom" textRotation="0" wrapText="0" indent="0" justifyLastLine="0" shrinkToFit="0" readingOrder="0"/>
    </dxf>
    <dxf>
      <font>
        <strike val="0"/>
        <outline val="0"/>
        <shadow val="0"/>
        <vertAlign val="baseline"/>
        <name val="Georgia Pro"/>
        <family val="1"/>
        <scheme val="none"/>
      </font>
      <alignment horizontal="center" vertical="bottom" textRotation="0" wrapText="0" indent="0" justifyLastLine="0" shrinkToFit="0" readingOrder="0"/>
    </dxf>
    <dxf>
      <font>
        <strike val="0"/>
        <outline val="0"/>
        <shadow val="0"/>
        <vertAlign val="baseline"/>
        <name val="Georgia Pro"/>
        <family val="1"/>
        <scheme val="none"/>
      </font>
      <alignment horizontal="center" vertical="bottom" textRotation="0" wrapText="0" indent="0" justifyLastLine="0" shrinkToFit="0" readingOrder="0"/>
    </dxf>
    <dxf>
      <font>
        <strike val="0"/>
        <outline val="0"/>
        <shadow val="0"/>
        <vertAlign val="baseline"/>
        <name val="Georgia Pro"/>
        <family val="1"/>
        <scheme val="none"/>
      </font>
      <alignment horizontal="center" vertical="bottom" textRotation="0" wrapText="0" indent="0" justifyLastLine="0" shrinkToFit="0" readingOrder="0"/>
    </dxf>
    <dxf>
      <font>
        <strike val="0"/>
        <outline val="0"/>
        <shadow val="0"/>
        <vertAlign val="baseline"/>
        <name val="Georgia Pro"/>
        <family val="1"/>
        <scheme val="none"/>
      </font>
      <alignment horizontal="center" vertical="bottom" textRotation="0" wrapText="0" indent="0" justifyLastLine="0" shrinkToFit="0" readingOrder="0"/>
    </dxf>
    <dxf>
      <font>
        <strike val="0"/>
        <outline val="0"/>
        <shadow val="0"/>
        <vertAlign val="baseline"/>
        <name val="Georgia Pro"/>
        <family val="1"/>
        <scheme val="none"/>
      </font>
      <alignment horizontal="center" vertical="bottom" textRotation="0" wrapText="0" indent="0" justifyLastLine="0" shrinkToFit="0" readingOrder="0"/>
    </dxf>
    <dxf>
      <font>
        <strike val="0"/>
        <outline val="0"/>
        <shadow val="0"/>
        <vertAlign val="baseline"/>
        <name val="Georgia Pro"/>
        <family val="1"/>
        <scheme val="none"/>
      </font>
      <alignment horizontal="center" vertical="bottom" textRotation="0" wrapText="0" indent="0" justifyLastLine="0" shrinkToFit="0" readingOrder="0"/>
    </dxf>
    <dxf>
      <font>
        <strike val="0"/>
        <outline val="0"/>
        <shadow val="0"/>
        <vertAlign val="baseline"/>
        <name val="Georgia Pro"/>
        <family val="1"/>
        <scheme val="none"/>
      </font>
      <alignment horizontal="center" vertical="bottom" textRotation="0" wrapText="0" indent="0" justifyLastLine="0" shrinkToFit="0" readingOrder="0"/>
    </dxf>
    <dxf>
      <font>
        <strike val="0"/>
        <outline val="0"/>
        <shadow val="0"/>
        <vertAlign val="baseline"/>
        <name val="Georgia Pro"/>
        <family val="1"/>
        <scheme val="none"/>
      </font>
      <alignment horizontal="center" vertical="bottom" textRotation="0" wrapText="0" indent="0" justifyLastLine="0" shrinkToFit="0" readingOrder="0"/>
    </dxf>
    <dxf>
      <font>
        <strike val="0"/>
        <outline val="0"/>
        <shadow val="0"/>
        <vertAlign val="baseline"/>
        <name val="Georgia Pro"/>
        <family val="1"/>
        <scheme val="none"/>
      </font>
      <alignment horizontal="center" vertical="bottom" textRotation="0" wrapText="0" indent="0" justifyLastLine="0" shrinkToFit="0" readingOrder="0"/>
    </dxf>
    <dxf>
      <font>
        <strike val="0"/>
        <outline val="0"/>
        <shadow val="0"/>
        <vertAlign val="baseline"/>
        <name val="Georgia Pro"/>
        <family val="1"/>
        <scheme val="none"/>
      </font>
      <alignment horizontal="center" vertical="bottom" textRotation="0" wrapText="0" indent="0" justifyLastLine="0" shrinkToFit="0" readingOrder="0"/>
    </dxf>
    <dxf>
      <font>
        <strike val="0"/>
        <outline val="0"/>
        <shadow val="0"/>
        <vertAlign val="baseline"/>
        <name val="Georgia Pro"/>
        <family val="1"/>
        <scheme val="none"/>
      </font>
      <numFmt numFmtId="165" formatCode="0.0"/>
      <alignment horizontal="center" vertical="bottom" textRotation="0" wrapText="1" indent="0" justifyLastLine="0" shrinkToFit="0" readingOrder="0"/>
    </dxf>
    <dxf>
      <font>
        <strike val="0"/>
        <outline val="0"/>
        <shadow val="0"/>
        <vertAlign val="baseline"/>
        <name val="Georgia Pro"/>
        <family val="1"/>
        <scheme val="none"/>
      </font>
      <alignment horizontal="general" vertical="bottom" textRotation="0" wrapText="1" indent="0" justifyLastLine="0" shrinkToFit="0" readingOrder="0"/>
    </dxf>
    <dxf>
      <font>
        <strike val="0"/>
        <outline val="0"/>
        <shadow val="0"/>
        <vertAlign val="baseline"/>
        <name val="Georgia Pro"/>
        <family val="1"/>
        <scheme val="none"/>
      </font>
    </dxf>
    <dxf>
      <font>
        <strike val="0"/>
        <outline val="0"/>
        <shadow val="0"/>
        <vertAlign val="baseline"/>
        <name val="Georgia Pro"/>
        <family val="1"/>
        <scheme val="none"/>
      </font>
    </dxf>
    <dxf>
      <font>
        <strike val="0"/>
        <outline val="0"/>
        <shadow val="0"/>
        <vertAlign val="baseline"/>
        <name val="Georgia Pro"/>
        <family val="1"/>
        <scheme val="none"/>
      </font>
      <numFmt numFmtId="2" formatCode="0.00"/>
      <alignment horizontal="center" vertical="bottom" textRotation="0" wrapText="0" indent="0" justifyLastLine="0" shrinkToFit="0" readingOrder="0"/>
    </dxf>
    <dxf>
      <border outline="0">
        <top style="thin">
          <color indexed="64"/>
        </top>
      </border>
    </dxf>
    <dxf>
      <font>
        <strike val="0"/>
        <outline val="0"/>
        <shadow val="0"/>
        <vertAlign val="baseline"/>
        <name val="Georgia Pro"/>
        <family val="1"/>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8"/>
        <color theme="0"/>
        <name val="Georgia Pro"/>
        <family val="1"/>
        <scheme val="none"/>
      </font>
      <fill>
        <patternFill patternType="solid">
          <fgColor indexed="64"/>
          <bgColor rgb="FF1B066A"/>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2"/>
        <color theme="10"/>
        <name val="Georgia Pro"/>
        <family val="1"/>
        <scheme val="none"/>
      </font>
      <fill>
        <patternFill patternType="solid">
          <fgColor theme="4" tint="0.79998168889431442"/>
          <bgColor theme="4" tint="0.79998168889431442"/>
        </patternFill>
      </fill>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strike val="0"/>
        <outline val="0"/>
        <shadow val="0"/>
        <vertAlign val="baseline"/>
        <name val="Georgia Pro"/>
        <family val="1"/>
        <scheme val="none"/>
      </font>
    </dxf>
    <dxf>
      <border outline="0">
        <bottom style="thin">
          <color indexed="64"/>
        </bottom>
      </border>
    </dxf>
    <dxf>
      <font>
        <b/>
        <i val="0"/>
        <strike val="0"/>
        <condense val="0"/>
        <extend val="0"/>
        <outline val="0"/>
        <shadow val="0"/>
        <u val="none"/>
        <vertAlign val="baseline"/>
        <sz val="18"/>
        <color theme="0"/>
        <name val="Georgia Pro"/>
        <family val="1"/>
        <scheme val="none"/>
      </font>
      <fill>
        <patternFill patternType="solid">
          <fgColor indexed="64"/>
          <bgColor rgb="FF1B066A"/>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8"/>
        <color theme="1"/>
        <name val="Georgia Pro"/>
        <family val="1"/>
        <scheme val="none"/>
      </font>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2"/>
        <color theme="10"/>
        <name val="Georgia Pro"/>
        <family val="1"/>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8"/>
        <color theme="0"/>
        <name val="Georgia Pro"/>
        <family val="1"/>
        <scheme val="none"/>
      </font>
      <fill>
        <patternFill patternType="solid">
          <fgColor indexed="64"/>
          <bgColor rgb="FF1B066A"/>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numFmt numFmtId="1" formatCode="0"/>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Georgia Pro"/>
        <family val="1"/>
        <scheme val="none"/>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8"/>
        <color theme="1"/>
        <name val="Georgia Pro"/>
        <family val="1"/>
        <scheme val="none"/>
      </font>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2"/>
        <color theme="10"/>
        <name val="Georgia Pro"/>
        <family val="1"/>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Georgia Pro"/>
        <family val="1"/>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8"/>
        <color theme="0"/>
        <name val="Georgia Pro"/>
        <family val="1"/>
        <scheme val="none"/>
      </font>
      <fill>
        <patternFill patternType="solid">
          <fgColor indexed="64"/>
          <bgColor rgb="FF1B066A"/>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theme="1"/>
        <name val="Georgia Pro"/>
        <family val="1"/>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4"/>
        <color theme="1"/>
        <name val="Georgia Pro"/>
        <family val="1"/>
        <scheme val="none"/>
      </font>
      <numFmt numFmtId="0" formatCode="Genera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1"/>
        <name val="Georgia Pro"/>
        <family val="1"/>
        <scheme val="none"/>
      </font>
      <numFmt numFmtId="0" formatCode="Genera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theme="0"/>
        <name val="Georgia Pro"/>
        <family val="1"/>
        <scheme val="none"/>
      </font>
      <fill>
        <patternFill patternType="solid">
          <fgColor indexed="64"/>
          <bgColor rgb="FF1B066A"/>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Georgia Pro"/>
        <family val="1"/>
        <scheme val="none"/>
      </font>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Georgia Pro"/>
        <family val="1"/>
        <scheme val="none"/>
      </font>
      <fill>
        <patternFill patternType="solid">
          <fgColor theme="4"/>
          <bgColor rgb="FF1B066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theme="1"/>
        <name val="Georgia Pro"/>
        <family val="1"/>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4"/>
        <color theme="1"/>
        <name val="Georgia Pro"/>
        <family val="1"/>
        <scheme val="none"/>
      </font>
      <numFmt numFmtId="0" formatCode="Genera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1"/>
        <name val="Georgia Pro"/>
        <family val="1"/>
        <scheme val="none"/>
      </font>
      <numFmt numFmtId="0" formatCode="Genera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theme="0"/>
        <name val="Georgia Pro"/>
        <family val="1"/>
        <scheme val="none"/>
      </font>
      <fill>
        <patternFill patternType="solid">
          <fgColor indexed="64"/>
          <bgColor rgb="FF1B066A"/>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Georgia Pro"/>
        <family val="1"/>
        <scheme val="none"/>
      </font>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Georgia Pro"/>
        <family val="1"/>
        <scheme val="none"/>
      </font>
      <fill>
        <patternFill patternType="solid">
          <fgColor theme="4"/>
          <bgColor rgb="FF1B066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theme="1"/>
        <name val="Georgia Pro"/>
        <family val="1"/>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4"/>
        <color theme="1"/>
        <name val="Georgia Pro"/>
        <family val="1"/>
        <scheme val="none"/>
      </font>
      <numFmt numFmtId="0" formatCode="Genera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1"/>
        <name val="Georgia Pro"/>
        <family val="1"/>
        <scheme val="none"/>
      </font>
      <numFmt numFmtId="0" formatCode="Genera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theme="0"/>
        <name val="Georgia Pro"/>
        <family val="1"/>
        <scheme val="none"/>
      </font>
      <fill>
        <patternFill patternType="solid">
          <fgColor indexed="64"/>
          <bgColor rgb="FF1B066A"/>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Georgia Pro"/>
        <family val="1"/>
        <scheme val="none"/>
      </font>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Georgia Pro"/>
        <family val="1"/>
        <scheme val="none"/>
      </font>
      <fill>
        <patternFill patternType="solid">
          <fgColor theme="4"/>
          <bgColor rgb="FF1B066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theme="1"/>
        <name val="Georgia Pro"/>
        <family val="1"/>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4"/>
        <color theme="1"/>
        <name val="Georgia Pro"/>
        <family val="1"/>
        <scheme val="none"/>
      </font>
      <numFmt numFmtId="0" formatCode="Genera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1"/>
        <name val="Georgia Pro"/>
        <family val="1"/>
        <scheme val="none"/>
      </font>
      <numFmt numFmtId="0" formatCode="Genera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theme="0"/>
        <name val="Georgia Pro"/>
        <family val="1"/>
        <scheme val="none"/>
      </font>
      <fill>
        <patternFill patternType="solid">
          <fgColor indexed="64"/>
          <bgColor rgb="FF1B066A"/>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Georgia Pro"/>
        <family val="1"/>
        <scheme val="none"/>
      </font>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Georgia Pro"/>
        <family val="1"/>
        <scheme val="none"/>
      </font>
      <fill>
        <patternFill patternType="solid">
          <fgColor theme="4"/>
          <bgColor rgb="FF1B066A"/>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EFF6EA"/>
      <color rgb="FF1B066A"/>
      <color rgb="FFFFF2CC"/>
      <color rgb="FFFFCCCC"/>
      <color rgb="FFFFFF66"/>
      <color rgb="FFCCFFCC"/>
      <color rgb="FFFFA2CA"/>
      <color rgb="FFFFE162"/>
      <color rgb="FFE2EFDA"/>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2.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0152D8C-0A69-4A94-8741-A84195B29A13}" name="Score127" displayName="Score127" ref="A1:D5" totalsRowShown="0" headerRowDxfId="209" dataDxfId="207" headerRowBorderDxfId="208" tableBorderDxfId="206" totalsRowBorderDxfId="205" dataCellStyle="Comma">
  <tableColumns count="4">
    <tableColumn id="1" xr3:uid="{9E743D68-2423-44D0-85F0-C0F39C291DBA}" name="WCAG 2.0 A &amp; AA SCORE" dataDxfId="204"/>
    <tableColumn id="3" xr3:uid="{86BE476D-5509-4956-BDF9-5F808D16BDA0}" name="Supports w/ Exceptions" dataDxfId="203" dataCellStyle="Comma"/>
    <tableColumn id="4" xr3:uid="{2AA60ED1-03E3-4E81-9491-D28BDB24F3F9}" name="Supports / Does Not Apply" dataDxfId="202" dataCellStyle="Comma"/>
    <tableColumn id="5" xr3:uid="{E38C597B-6FE2-485E-B59E-F144A9E3BA67}" name="Result" dataDxfId="201" dataCellStyle="Comma"/>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C5C1317-0219-49CE-A216-107BF025B397}" name="Score1279" displayName="Score1279" ref="A7:D11" totalsRowShown="0" headerRowDxfId="200" dataDxfId="198" headerRowBorderDxfId="199" tableBorderDxfId="197" totalsRowBorderDxfId="196" dataCellStyle="Comma">
  <tableColumns count="4">
    <tableColumn id="1" xr3:uid="{F16161F1-D3D3-4CA4-9E8C-15CCFA46541D}" name="WCAG 2.1 A &amp; AA SCORE" dataDxfId="195"/>
    <tableColumn id="3" xr3:uid="{5253A573-AB63-4403-8A6F-9FE06A5C57FA}" name="Supports w/ Exceptions" dataDxfId="194" dataCellStyle="Comma">
      <calculatedColumnFormula>'Findings Overview'!H11*'Validations List'!C113</calculatedColumnFormula>
    </tableColumn>
    <tableColumn id="4" xr3:uid="{8AD3E23D-14D6-447D-8FFD-CFB11088772B}" name="Supports / Does Not Apply" dataDxfId="193" dataCellStyle="Comma"/>
    <tableColumn id="5" xr3:uid="{5E48C9ED-F3B5-491E-910D-CB8279C74751}" name="Result" dataDxfId="192" dataCellStyle="Comma"/>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401EE4B-7C6A-43F4-B209-1C41C665C498}" name="Score12798" displayName="Score12798" ref="A13:D17" totalsRowShown="0" headerRowDxfId="191" dataDxfId="189" headerRowBorderDxfId="190" tableBorderDxfId="188" totalsRowBorderDxfId="187" dataCellStyle="Comma">
  <tableColumns count="4">
    <tableColumn id="1" xr3:uid="{081EFE9E-28F0-461A-AC3B-837E38DCEF5B}" name="WCAG 2.2 A &amp; AA SCORE" dataDxfId="186"/>
    <tableColumn id="3" xr3:uid="{E896F140-F289-4A26-9302-49EE1BC821B4}" name="Supports w/ Exceptions" dataDxfId="185" dataCellStyle="Comma">
      <calculatedColumnFormula>'Findings Overview'!H17*'Validations List'!C120</calculatedColumnFormula>
    </tableColumn>
    <tableColumn id="4" xr3:uid="{631BD96D-3227-4D71-B4A8-45F2D2A1F2FA}" name="Supports / Does Not Apply" dataDxfId="184" dataCellStyle="Comma"/>
    <tableColumn id="5" xr3:uid="{CFB94D68-B8FA-4B17-A638-9352CEC676AA}" name="Result" dataDxfId="183" dataCellStyle="Comma"/>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2D5319D-B4F8-40F8-8C61-62F365BDBF28}" name="Score1279811" displayName="Score1279811" ref="A19:D23" totalsRowShown="0" headerRowDxfId="182" dataDxfId="180" headerRowBorderDxfId="181" tableBorderDxfId="179" totalsRowBorderDxfId="178" dataCellStyle="Comma">
  <tableColumns count="4">
    <tableColumn id="1" xr3:uid="{9745B1B8-ADAD-447F-8B5D-A76FB66E2EA7}" name="WCAG AAA SCORE" dataDxfId="177"/>
    <tableColumn id="3" xr3:uid="{E9777B0A-8864-45AC-85C5-B9F76E82C774}" name="Supports w/ Exceptions" dataDxfId="176" dataCellStyle="Comma">
      <calculatedColumnFormula>'Findings Overview'!H24*'Validations List'!C127</calculatedColumnFormula>
    </tableColumn>
    <tableColumn id="4" xr3:uid="{6A7ED115-C553-473A-A3F0-B37E4E889CBF}" name="Supports / Does Not Apply" dataDxfId="175" dataCellStyle="Comma"/>
    <tableColumn id="5" xr3:uid="{609F97E2-30B9-46EB-BE92-9CA021005B6A}" name="Result" dataDxfId="174" dataCellStyle="Comma"/>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F089DC4-8193-47C4-A3A6-844648DA378D}" name="WCAG20results" displayName="WCAG20results" ref="A1:Z62" totalsRowShown="0" headerRowDxfId="173" dataDxfId="171" headerRowBorderDxfId="172" tableBorderDxfId="170" totalsRowBorderDxfId="169">
  <autoFilter ref="A1:Z62" xr:uid="{1F089DC4-8193-47C4-A3A6-844648DA378D}"/>
  <tableColumns count="26">
    <tableColumn id="1" xr3:uid="{0E3D7E49-B4AE-4DF2-9205-08C569AD83BB}" name="WCAG 2.0 SC" dataDxfId="168" dataCellStyle="Hyperlink"/>
    <tableColumn id="2" xr3:uid="{981DE4EF-B55C-4D21-BC9D-FD2FFBF9E98A}" name="Level" dataDxfId="167">
      <calculatedColumnFormula>IFERROR(VLOOKUP(A2,MasterTable[[#All],[WCAG guideline]:[2.2 Level]],4,FALSE), "Not found")</calculatedColumnFormula>
    </tableColumn>
    <tableColumn id="3" xr3:uid="{E1696854-7D81-4FE3-AAAB-4A51BF6A6756}" name="# Supports" dataDxfId="166"/>
    <tableColumn id="4" xr3:uid="{F93EEA07-B414-4A9A-89B2-3BBDB586AA42}" name="# Support w/ Exceptions" dataDxfId="165"/>
    <tableColumn id="5" xr3:uid="{94903597-8E48-464B-AB7F-8BAD81D67609}" name="# Does Not Support" dataDxfId="164"/>
    <tableColumn id="6" xr3:uid="{DBC76286-C4B1-465F-94EC-4F80CE3F879B}" name="# Does Not Apply" dataDxfId="163"/>
    <tableColumn id="7" xr3:uid="{76556BEC-204C-48B9-BAD8-6FC230E459FC}" name="# Not Tested" dataDxfId="162"/>
    <tableColumn id="8" xr3:uid="{7E19AF46-B6F4-4B3C-A53C-3CA8CD24298A}" name="Importance by Agency" dataDxfId="161"/>
    <tableColumn id="9" xr3:uid="{1B3EE1E8-D753-4AA7-AB3D-773992B8C446}" name="All related Disabilities" dataDxfId="160"/>
    <tableColumn id="10" xr3:uid="{50595313-F347-43F8-BAB1-064D8292E563}" name="Total Poss" dataDxfId="159"/>
    <tableColumn id="16" xr3:uid="{718710F1-57D6-4F40-8F43-9B365E7463A5}" name="Supports Value per" dataDxfId="158"/>
    <tableColumn id="17" xr3:uid="{2CF867B1-88D8-4C20-884E-F0C40A4F58E1}" name="Excepts Value per" dataDxfId="157"/>
    <tableColumn id="18" xr3:uid="{822D4887-C74B-4C15-8FF7-BFA591FC5A80}" name="Blindness" dataDxfId="156">
      <calculatedColumnFormula>IFERROR(IFERROR(VLOOKUP(A2,MasterTable[[#All],[WCAG guideline]:[Epilepsy]],6,FALSE)," ")*I2,0)</calculatedColumnFormula>
    </tableColumn>
    <tableColumn id="25" xr3:uid="{25FAE3A3-26EF-4975-9FDB-BA750FB20974}" name="B Poss" dataDxfId="155">
      <calculatedColumnFormula>IFERROR(IFERROR(VLOOKUP(A2,MasterTable[[#All],[WCAG guideline]:[Epilepsy]],6,FALSE)," ")*J2,0)</calculatedColumnFormula>
    </tableColumn>
    <tableColumn id="19" xr3:uid="{CF63FFC2-AD75-49F5-8507-87A4188D3965}" name="Low Vision" dataDxfId="154">
      <calculatedColumnFormula>IFERROR(IFERROR(VLOOKUP(A2,MasterTable[[#All],[WCAG guideline]:[Epilepsy]],7,FALSE)," ")*I2,0)</calculatedColumnFormula>
    </tableColumn>
    <tableColumn id="26" xr3:uid="{2DA56882-9D34-4A41-8E36-60A47A402787}" name="LV Poss" dataDxfId="153">
      <calculatedColumnFormula>IFERROR(IFERROR(VLOOKUP(A2,MasterTable[[#All],[WCAG guideline]:[Epilepsy]],7,FALSE)," ")*J2,0)</calculatedColumnFormula>
    </tableColumn>
    <tableColumn id="20" xr3:uid="{07D2CADB-A2A1-4B6F-8842-CF73ADA37B47}" name="Colorblindness" dataDxfId="152">
      <calculatedColumnFormula>IFERROR(IFERROR(VLOOKUP(A2,MasterTable[[#All],[WCAG guideline]:[Epilepsy]],8,FALSE)," ")*I2,0)</calculatedColumnFormula>
    </tableColumn>
    <tableColumn id="27" xr3:uid="{64087B2B-186C-443B-BA5B-9D5554623CAE}" name="CB Poss" dataDxfId="151">
      <calculatedColumnFormula>IFERROR(IFERROR(VLOOKUP(A2,MasterTable[[#All],[WCAG guideline]:[Epilepsy]],8,FALSE)," ")*J2,0)</calculatedColumnFormula>
    </tableColumn>
    <tableColumn id="21" xr3:uid="{0A43C269-F6F3-419A-838A-9CDE4D0685D0}" name="Hearing" dataDxfId="150">
      <calculatedColumnFormula>IFERROR(IFERROR(VLOOKUP(A2,MasterTable[[#All],[WCAG guideline]:[Epilepsy]],9,FALSE)," ")*I2,0)</calculatedColumnFormula>
    </tableColumn>
    <tableColumn id="28" xr3:uid="{8F541B31-E033-463B-A8E9-DBD84E2B3ABF}" name="Hear Poss" dataDxfId="149">
      <calculatedColumnFormula>IFERROR(IFERROR(VLOOKUP(A2,MasterTable[[#All],[WCAG guideline]:[Epilepsy]],9,FALSE)," ")*J2,0)</calculatedColumnFormula>
    </tableColumn>
    <tableColumn id="22" xr3:uid="{D822540E-BEBA-4DD0-A36D-015C3180B609}" name="Cognitive" dataDxfId="148">
      <calculatedColumnFormula>IFERROR(IFERROR(VLOOKUP(A2,MasterTable[[#All],[WCAG guideline]:[Epilepsy]],10,FALSE)," ")*I2,0)</calculatedColumnFormula>
    </tableColumn>
    <tableColumn id="29" xr3:uid="{5BED7D1E-EAAB-4B64-9DD4-7B9531916ED6}" name="Cog Poss" dataDxfId="147">
      <calculatedColumnFormula>IFERROR(IFERROR(VLOOKUP(A2,MasterTable[[#All],[WCAG guideline]:[Epilepsy]],10,FALSE)," ")*J2,0)</calculatedColumnFormula>
    </tableColumn>
    <tableColumn id="23" xr3:uid="{4987EF30-4F48-4BB1-9AE5-1934116E5633}" name="Motor" dataDxfId="146">
      <calculatedColumnFormula>IFERROR(IFERROR(VLOOKUP(A2,MasterTable[[#All],[WCAG guideline]:[Epilepsy]],11,FALSE)," ")*I2,0)</calculatedColumnFormula>
    </tableColumn>
    <tableColumn id="30" xr3:uid="{72245F98-C872-410A-AA30-70A8A4B4472E}" name="Motor Poss" dataDxfId="145">
      <calculatedColumnFormula>IFERROR(IFERROR(VLOOKUP(A2,MasterTable[[#All],[WCAG guideline]:[Epilepsy]],11,FALSE)," ")*J2,0)</calculatedColumnFormula>
    </tableColumn>
    <tableColumn id="24" xr3:uid="{E225F0A7-0B32-4A6B-ABB9-66D102EA2718}" name="Epilepsy" dataDxfId="144">
      <calculatedColumnFormula>IFERROR(IFERROR(VLOOKUP(A2,MasterTable[[#All],[WCAG guideline]:[Epilepsy]],12,FALSE)," ")*I2,0)</calculatedColumnFormula>
    </tableColumn>
    <tableColumn id="31" xr3:uid="{1C1525F7-5151-4B4F-87F2-1817F11E128E}" name="Ep Poss" dataDxfId="143">
      <calculatedColumnFormula>IFERROR(IFERROR(VLOOKUP(A2,MasterTable[[#All],[WCAG guideline]:[Epilepsy]],12,FALSE)," ")*J2,0)</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5A3055-B1A4-463C-9BDD-DA5C5AD1185F}" name="WCAG21results" displayName="WCAG21results" ref="A65:Z82" totalsRowShown="0" headerRowDxfId="142" dataDxfId="140" headerRowBorderDxfId="141" tableBorderDxfId="139" totalsRowBorderDxfId="138">
  <autoFilter ref="A65:Z82" xr:uid="{235A3055-B1A4-463C-9BDD-DA5C5AD1185F}"/>
  <tableColumns count="26">
    <tableColumn id="1" xr3:uid="{18E7A4D4-FEC4-493A-B36A-7BD01D7908C5}" name="Unique WCAG 2.1 SC" dataDxfId="137" dataCellStyle="Hyperlink"/>
    <tableColumn id="2" xr3:uid="{B88625F2-96D3-4328-8F89-5771754F9F48}" name="Level" dataDxfId="136">
      <calculatedColumnFormula>IFERROR(VLOOKUP(A66,MasterTable[[#All],[WCAG guideline]:[2.2 Level]],4,FALSE), "Not found")</calculatedColumnFormula>
    </tableColumn>
    <tableColumn id="3" xr3:uid="{B9EC7A2D-D427-446E-839E-601F79A30A69}" name="# Supports" dataDxfId="135"/>
    <tableColumn id="4" xr3:uid="{BC68AF9D-C7D4-4502-9128-6B9A785309F9}" name="# Support w/ Exceptions" dataDxfId="134">
      <calculatedColumnFormula>COUNTIFS('Custom Test Script'!B56:B254,"*"&amp;'Findings Breakdown'!A66&amp;"*",'Custom Test Script'!D56:D254,'Validations List'!A160)+COUNTIFS('Report Entry'!D80:D216,"*"&amp;'Findings Breakdown'!A66&amp;"*",'Report Entry'!B80:B216,'Validations List'!A160)</calculatedColumnFormula>
    </tableColumn>
    <tableColumn id="5" xr3:uid="{F90A222F-A920-48AF-8E64-5B63B0AA7853}" name="# Does Not Support" dataDxfId="133">
      <calculatedColumnFormula>COUNTIFS('Custom Test Script'!B56:B254,"*"&amp;'Findings Breakdown'!A66&amp;"*",'Custom Test Script'!D56:D254,'Validations List'!A159)+COUNTIFS('Report Entry'!D80:D216,"*"&amp;'Findings Breakdown'!A66&amp;"*",'Report Entry'!B80:B216,'Validations List'!A159)</calculatedColumnFormula>
    </tableColumn>
    <tableColumn id="6" xr3:uid="{BEEA006D-F8F0-4ED9-85BF-A55ACCCE501D}" name="# Does Not Apply" dataDxfId="132">
      <calculatedColumnFormula>COUNTIFS('Custom Test Script'!B56:B254,"*"&amp;'Findings Breakdown'!A66&amp;"*",'Custom Test Script'!D56:D254,'Validations List'!A162)+COUNTIFS('Report Entry'!D80:D216,"*"&amp;'Findings Breakdown'!A66&amp;"*",'Report Entry'!B80:B216,'Validations List'!A162)</calculatedColumnFormula>
    </tableColumn>
    <tableColumn id="7" xr3:uid="{D46A9CB8-A480-49A6-A026-8EB4FF9E0EE1}" name="# Not Tested" dataDxfId="131">
      <calculatedColumnFormula>COUNTIFS('Custom Test Script'!B56:B254,"*"&amp;'Findings Breakdown'!A66&amp;"*",'Custom Test Script'!D56:D254,'Validations List'!A163)+COUNTIFS('Report Entry'!D80:D216,"*"&amp;'Findings Breakdown'!A66&amp;"*",'Report Entry'!B80:B216,'Validations List'!A163)</calculatedColumnFormula>
    </tableColumn>
    <tableColumn id="8" xr3:uid="{CAA9E787-05AB-4770-8DD2-7BB00178C54B}" name="Importance by Agency" dataDxfId="130"/>
    <tableColumn id="9" xr3:uid="{5A20CFC3-3D9D-428F-AF4D-C58527368922}" name="All related Disabilities" dataDxfId="129">
      <calculatedColumnFormula>IFERROR(WCAG21results[[#This Row],['# Support w/ Exceptions]]*WCAG21results[[#This Row],[Exceptions Value per2]]+(WCAG21results[[#This Row],['# Supports]]+WCAG21results[[#This Row],['# Does Not Apply]])*WCAG21results[[#This Row],[Supports Value per]]," ")</calculatedColumnFormula>
    </tableColumn>
    <tableColumn id="10" xr3:uid="{DEC7948A-69A6-4743-BFE9-5E5DB440EDA3}" name="Total possible" dataDxfId="128">
      <calculatedColumnFormula>IFERROR(MasterTable[[#This Row],['# Custom Test questions]]*WCAG21results[[#This Row],[Supports Value per]]," ")</calculatedColumnFormula>
    </tableColumn>
    <tableColumn id="11" xr3:uid="{B92FF3EA-EB1B-4877-944D-6B35272BE9B5}" name="Supports Value per" dataDxfId="127"/>
    <tableColumn id="12" xr3:uid="{A0C3C7EF-B5FF-4E8B-8C22-587767B87E09}" name="Exceptions Value per2" dataDxfId="126"/>
    <tableColumn id="13" xr3:uid="{F74F19E8-E6D4-48B7-AED3-55B327A436DB}" name="Blindness" dataDxfId="125"/>
    <tableColumn id="14" xr3:uid="{FB1F78D4-1433-4A30-8554-7C31FF4427A3}" name="B Poss" dataDxfId="124"/>
    <tableColumn id="15" xr3:uid="{D1FD273C-495D-4C6A-B369-886C7089F108}" name="Low Vision" dataDxfId="123"/>
    <tableColumn id="16" xr3:uid="{606332A7-7D53-4EA9-9DF7-81C4482BE783}" name="LV Poss" dataDxfId="122"/>
    <tableColumn id="17" xr3:uid="{CFD064BD-F8E3-4A89-8EEC-411B44346354}" name="Colorblindness" dataDxfId="121"/>
    <tableColumn id="18" xr3:uid="{32508759-D81B-4BE6-A53C-36470CEABEC0}" name="CB Poss" dataDxfId="120"/>
    <tableColumn id="19" xr3:uid="{242D668A-49FE-4542-9F92-22A75EA4825D}" name="Hearing" dataDxfId="119"/>
    <tableColumn id="20" xr3:uid="{ACA53FEA-FD00-41C1-807C-B8C9EC624434}" name="Hear Poss" dataDxfId="118"/>
    <tableColumn id="21" xr3:uid="{C3683656-A2D4-424E-868F-FEE09F8EB4DD}" name="Cognitive" dataDxfId="117"/>
    <tableColumn id="22" xr3:uid="{728A0FDC-1BFA-49F8-A259-ABCC08A09A24}" name="Cog Poss" dataDxfId="116"/>
    <tableColumn id="23" xr3:uid="{2362E63F-4B65-4E3A-8D2B-2A1BB7D82AEB}" name="Motor" dataDxfId="115"/>
    <tableColumn id="24" xr3:uid="{354F5AF9-EBBE-4932-9F3D-6AA0F2C738D0}" name="Motor Poss" dataDxfId="114"/>
    <tableColumn id="25" xr3:uid="{64C46E8E-0290-4F5B-8249-14A48870445E}" name="Epilepsy" dataDxfId="113"/>
    <tableColumn id="26" xr3:uid="{B7CFC9D6-7130-4891-A17F-D83CEC455072}" name="Ep Poss" dataDxfId="11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FBACA4C-EDFA-4B67-810D-487CC90196F2}" name="WCAG22results" displayName="WCAG22results" ref="A85:Z94" totalsRowShown="0" headerRowDxfId="111" dataDxfId="109" headerRowBorderDxfId="110" tableBorderDxfId="108">
  <autoFilter ref="A85:Z94" xr:uid="{7FBACA4C-EDFA-4B67-810D-487CC90196F2}"/>
  <tableColumns count="26">
    <tableColumn id="1" xr3:uid="{6D373C05-624B-4CA6-AD40-FCFDD2C78547}" name="Unique WCAG 2.2 SC" dataDxfId="107" dataCellStyle="Hyperlink"/>
    <tableColumn id="2" xr3:uid="{5E16FC1B-0ED0-42C4-8E65-4BD73E9E74E0}" name="Level" dataDxfId="106">
      <calculatedColumnFormula>IFERROR(VLOOKUP(A86,MasterTable[[#All],[WCAG guideline]:[2.2 Level]],4,FALSE), "Not found")</calculatedColumnFormula>
    </tableColumn>
    <tableColumn id="3" xr3:uid="{52033F93-64F8-4FC8-AF57-ACACF5B3141A}" name="# Supports" dataDxfId="105"/>
    <tableColumn id="4" xr3:uid="{99E849E1-EC4D-4846-8373-CE0E782D036A}" name="# Support w/ Exceptions" dataDxfId="104"/>
    <tableColumn id="5" xr3:uid="{E0E0F30F-6468-4C1B-92E9-05FDF1976030}" name="# Does Not Support" dataDxfId="103"/>
    <tableColumn id="6" xr3:uid="{C204E696-10EF-4557-8609-4D6425431C0B}" name="# Does Not Apply" dataDxfId="102"/>
    <tableColumn id="7" xr3:uid="{427E8ED3-D9B8-42F8-A66F-F1E1F574BFBC}" name="# Not Tested" dataDxfId="101"/>
    <tableColumn id="8" xr3:uid="{D3FEF695-7151-4C98-B81E-40CB613FBFF7}" name="Importance by Agency" dataDxfId="100"/>
    <tableColumn id="9" xr3:uid="{83CD18A2-8F86-4C28-8F9B-85CAD39CDAE5}" name="All related Disabilities" dataDxfId="99">
      <calculatedColumnFormula>IFERROR(WCAG22results[[#This Row],['# Support w/ Exceptions]]*WCAG22results[[#This Row],[Exceptions Value per2]]+(WCAG22results[[#This Row],['# Supports]]+WCAG22results[[#This Row],['# Does Not Apply]])*WCAG22results[[#This Row],[Supports Value per]]," ")</calculatedColumnFormula>
    </tableColumn>
    <tableColumn id="10" xr3:uid="{D92649A0-6B47-49E9-8451-3FC3A437957D}" name="Total possible" dataDxfId="98">
      <calculatedColumnFormula>IFERROR('Validations List'!I56*WCAG22results[[#This Row],[Supports Value per]]," ")</calculatedColumnFormula>
    </tableColumn>
    <tableColumn id="11" xr3:uid="{70E90BBD-0C54-491D-8722-BA5F9DD9538D}" name="Supports Value per" dataDxfId="97"/>
    <tableColumn id="12" xr3:uid="{3A44BF2A-4871-4278-BDCD-001E62E3B148}" name="Exceptions Value per2" dataDxfId="96"/>
    <tableColumn id="13" xr3:uid="{94FC37F2-057B-421D-B934-39DFB6D1E313}" name="Blindness" dataDxfId="95">
      <calculatedColumnFormula>IFERROR(IFERROR(VLOOKUP(A86,MasterTable[[#All],[WCAG guideline]:[Epilepsy]],6,FALSE)," ")*I86,0)</calculatedColumnFormula>
    </tableColumn>
    <tableColumn id="14" xr3:uid="{F20516CF-7B8F-4558-92FB-B0E3F881D19A}" name="B Poss" dataDxfId="94">
      <calculatedColumnFormula>IFERROR(IFERROR(VLOOKUP(A86,MasterTable[[#All],[WCAG guideline]:[Epilepsy]],6,FALSE)," ")*J86,0)</calculatedColumnFormula>
    </tableColumn>
    <tableColumn id="15" xr3:uid="{2477D8EC-C7D9-4FAC-A7D7-2FFDA55EBDA7}" name="Low Vision" dataDxfId="93">
      <calculatedColumnFormula>IFERROR(IFERROR(VLOOKUP(A86,MasterTable[[#All],[WCAG guideline]:[Epilepsy]],7,FALSE)," ")*I86,0)</calculatedColumnFormula>
    </tableColumn>
    <tableColumn id="16" xr3:uid="{5DE64856-159D-40A3-9425-2C7920EF728D}" name="LV Poss" dataDxfId="92">
      <calculatedColumnFormula>IFERROR(IFERROR(VLOOKUP(A86,MasterTable[[#All],[WCAG guideline]:[Epilepsy]],7,FALSE)," ")*J86,0)</calculatedColumnFormula>
    </tableColumn>
    <tableColumn id="17" xr3:uid="{49CE949F-F829-4F82-AEA2-8B8A94750117}" name="Colorblindness" dataDxfId="91">
      <calculatedColumnFormula>IFERROR(IFERROR(VLOOKUP(A86,MasterTable[[#All],[WCAG guideline]:[Epilepsy]],8,FALSE)," ")*I86,0)</calculatedColumnFormula>
    </tableColumn>
    <tableColumn id="18" xr3:uid="{F3A0E39C-05A4-4195-9D11-DF46C4BDE829}" name="CB Poss" dataDxfId="90">
      <calculatedColumnFormula>IFERROR(IFERROR(VLOOKUP(A86,MasterTable[[#All],[WCAG guideline]:[Epilepsy]],8,FALSE)," ")*J86,0)</calculatedColumnFormula>
    </tableColumn>
    <tableColumn id="19" xr3:uid="{553012F8-C8AC-4DB8-A47C-EB56DB865ED8}" name="Hearing" dataDxfId="89">
      <calculatedColumnFormula>IFERROR(IFERROR(VLOOKUP(A86,MasterTable[[#All],[WCAG guideline]:[Epilepsy]],9,FALSE)," ")*I86,0)</calculatedColumnFormula>
    </tableColumn>
    <tableColumn id="20" xr3:uid="{3C815FA2-4A32-45B0-8B87-47411FF849BC}" name="Hear Poss" dataDxfId="88">
      <calculatedColumnFormula>IFERROR(IFERROR(VLOOKUP(A86,MasterTable[[#All],[WCAG guideline]:[Epilepsy]],9,FALSE)," ")*J86,0)</calculatedColumnFormula>
    </tableColumn>
    <tableColumn id="21" xr3:uid="{0AFD4016-99E5-4176-866A-4DE20C0DD757}" name="Cognitive" dataDxfId="87">
      <calculatedColumnFormula>IFERROR(IFERROR(VLOOKUP(A86,MasterTable[[#All],[WCAG guideline]:[Epilepsy]],10,FALSE)," ")*I86,0)</calculatedColumnFormula>
    </tableColumn>
    <tableColumn id="22" xr3:uid="{CCCA1352-88C6-45D3-9731-FD36C96776DE}" name="Cog Poss" dataDxfId="86">
      <calculatedColumnFormula>IFERROR(IFERROR(VLOOKUP(A86,MasterTable[[#All],[WCAG guideline]:[Epilepsy]],10,FALSE)," ")*J86,0)</calculatedColumnFormula>
    </tableColumn>
    <tableColumn id="23" xr3:uid="{18F6CAA3-141F-45F9-9D14-C808A286B5EE}" name="Motor" dataDxfId="85">
      <calculatedColumnFormula>IFERROR(IFERROR(VLOOKUP(A86,MasterTable[[#All],[WCAG guideline]:[Epilepsy]],11,FALSE)," ")*I86,0)</calculatedColumnFormula>
    </tableColumn>
    <tableColumn id="24" xr3:uid="{0CF4438D-31F3-4BF8-A0B2-B63FEC010577}" name="Motor Poss" dataDxfId="84">
      <calculatedColumnFormula>IFERROR(IFERROR(VLOOKUP(A86,MasterTable[[#All],[WCAG guideline]:[Epilepsy]],11,FALSE)," ")*J86,0)</calculatedColumnFormula>
    </tableColumn>
    <tableColumn id="25" xr3:uid="{A28EAE5F-C94F-4AD7-B458-0083631B2B99}" name="Epilepsy" dataDxfId="83">
      <calculatedColumnFormula>IFERROR(IFERROR(VLOOKUP(A86,MasterTable[[#All],[WCAG guideline]:[Epilepsy]],12,FALSE)," ")*I86,0)</calculatedColumnFormula>
    </tableColumn>
    <tableColumn id="26" xr3:uid="{D42488BA-E36A-48E2-8009-33A579ECF2BA}" name="Ep Poss" dataDxfId="82">
      <calculatedColumnFormula>IFERROR(IFERROR(VLOOKUP(A86,MasterTable[[#All],[WCAG guideline]:[Epilepsy]],12,FALSE)," ")*J86,0)</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1114CF-C0FF-41D7-85CF-046F6648ADD3}" name="MasterTable" displayName="MasterTable" ref="C3:V90" totalsRowShown="0" headerRowDxfId="81" dataDxfId="79" headerRowBorderDxfId="80" tableBorderDxfId="78">
  <autoFilter ref="C3:V90" xr:uid="{DB1114CF-C0FF-41D7-85CF-046F6648ADD3}"/>
  <tableColumns count="20">
    <tableColumn id="1" xr3:uid="{E9095C54-326E-42D7-A70A-E7B30898815A}" name="SC Number" dataDxfId="77"/>
    <tableColumn id="2" xr3:uid="{4A957A78-B400-4A04-A224-4EDBE89E48B5}" name="SC Name" dataDxfId="76"/>
    <tableColumn id="3" xr3:uid="{9E1302FD-9C22-465B-92B0-B5838795EC8C}" name="WCAG guideline" dataDxfId="75" dataCellStyle="Hyperlink"/>
    <tableColumn id="4" xr3:uid="{B5E28B22-438E-4228-838A-D20D0F0FF0CB}" name="Success Criterion" dataDxfId="74"/>
    <tableColumn id="20" xr3:uid="{68D57870-9792-42E6-AB1F-3B623D0199A5}" name="Version" dataDxfId="73"/>
    <tableColumn id="5" xr3:uid="{8851B193-5592-47EF-A267-46F77BC6F020}" name="Level" dataDxfId="72"/>
    <tableColumn id="19" xr3:uid="{727DBC92-4038-4F30-982E-814725167651}" name="# Custom Test questions" dataDxfId="71">
      <calculatedColumnFormula>COUNTIF(CustomScript[[#All],[Related SC]],MasterTable[[#This Row],[WCAG guideline]])</calculatedColumnFormula>
    </tableColumn>
    <tableColumn id="6" xr3:uid="{5FD796C3-142F-4B91-BEE0-706290CF207A}" name="Blindness" dataDxfId="70"/>
    <tableColumn id="7" xr3:uid="{0C03644A-15D6-4CAE-8B54-2DA27E4C6011}" name="Low Vision" dataDxfId="69"/>
    <tableColumn id="8" xr3:uid="{C5A3100F-CFC5-455A-962D-4EE16BC1C18C}" name="Colorblindness" dataDxfId="68"/>
    <tableColumn id="9" xr3:uid="{18D879BD-2B37-4D2E-8CFA-DFC64687CEEC}" name="Hearing" dataDxfId="67"/>
    <tableColumn id="10" xr3:uid="{1862E271-40DA-46CE-A684-7A1A7798E476}" name="Cognitive" dataDxfId="66"/>
    <tableColumn id="11" xr3:uid="{BD340BCA-A5B7-4519-9FC3-2483A0747EC1}" name="Motor" dataDxfId="65"/>
    <tableColumn id="12" xr3:uid="{FD9589E1-D4A7-43BD-9E1B-0C803D98D5DB}" name="Epilepsy" dataDxfId="64"/>
    <tableColumn id="13" xr3:uid="{2F281F73-B5F8-4A5A-86F8-5E20EFA6E2D8}" name="2.0 Y/N" dataDxfId="63"/>
    <tableColumn id="14" xr3:uid="{9071B4DD-1418-4092-A954-652409470AF8}" name="2.0 Level" dataDxfId="62"/>
    <tableColumn id="15" xr3:uid="{F3C0B550-D500-4882-AC7A-7396D73B8CFB}" name="2.1 Y/N" dataDxfId="61"/>
    <tableColumn id="16" xr3:uid="{F4173C70-F8CE-4A76-893F-CD4F95933970}" name="2.1 Level" dataDxfId="60"/>
    <tableColumn id="17" xr3:uid="{88A5260F-7F1C-4F68-9442-CBEEBFC5C7D6}" name="2.2 Y/N" dataDxfId="59"/>
    <tableColumn id="18" xr3:uid="{F3990AF4-02B9-4379-8D48-768F6BA2FA15}" name="2.2 Level" dataDxfId="58"/>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D86D9E-96C1-41FA-87C6-2002E2839327}" name="CustomScript" displayName="CustomScript" ref="A226:F390" totalsRowShown="0" headerRowDxfId="57" dataDxfId="56" tableBorderDxfId="55">
  <autoFilter ref="A226:F390" xr:uid="{EDD86D9E-96C1-41FA-87C6-2002E2839327}"/>
  <sortState xmlns:xlrd2="http://schemas.microsoft.com/office/spreadsheetml/2017/richdata2" ref="A227:F390">
    <sortCondition ref="B226:B390"/>
  </sortState>
  <tableColumns count="6">
    <tableColumn id="8" xr3:uid="{EB136462-2EBA-4F24-8921-E3AD5CA6E49A}" name="Unique Test ID" dataDxfId="54"/>
    <tableColumn id="3" xr3:uid="{C3BE94D5-A6FA-4DCB-A4F7-6E192186A035}" name="Test #" dataDxfId="53"/>
    <tableColumn id="4" xr3:uid="{6747029D-4EEE-40AF-B8F4-53E4BFE08809}" name="Related SC" dataDxfId="52"/>
    <tableColumn id="5" xr3:uid="{742A2B42-833F-410F-AA3F-E7708A797870}" name="Validation" dataDxfId="51"/>
    <tableColumn id="6" xr3:uid="{4705D7C1-FAE9-42FC-89B5-ADC9176048EA}" name="Version" dataDxfId="50">
      <calculatedColumnFormula>IFERROR(VLOOKUP(C227,MasterTable[[#All],[WCAG guideline]:[2.2 Level]],3,FALSE), "Not found")</calculatedColumnFormula>
    </tableColumn>
    <tableColumn id="7" xr3:uid="{6152DCBD-6942-4967-9831-A96FBA34433E}" name="Level" dataDxfId="49">
      <calculatedColumnFormula>IFERROR(VLOOKUP(C227,MasterTable[[#All],[WCAG guideline]:[2.2 Level]],4,FALSE), "Not found")</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3.org/WAI/standards-guidelines/wcag/docs/" TargetMode="External"/><Relationship Id="rId2" Type="http://schemas.openxmlformats.org/officeDocument/2006/relationships/hyperlink" Target="https://www.w3.org/" TargetMode="External"/><Relationship Id="rId1" Type="http://schemas.openxmlformats.org/officeDocument/2006/relationships/hyperlink" Target="https://accessibility.cornell.edu/information-technology/web-accessibility/on-campus-web-accessibility-resources/" TargetMode="External"/><Relationship Id="rId6" Type="http://schemas.openxmlformats.org/officeDocument/2006/relationships/hyperlink" Target="https://a11yconcerns.com/" TargetMode="External"/><Relationship Id="rId5" Type="http://schemas.openxmlformats.org/officeDocument/2006/relationships/hyperlink" Target="https://www.deque.com/" TargetMode="External"/><Relationship Id="rId4" Type="http://schemas.openxmlformats.org/officeDocument/2006/relationships/hyperlink" Target="https://www.dhs.gov/trusted-test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6" Type="http://schemas.openxmlformats.org/officeDocument/2006/relationships/hyperlink" Target="https://www.w3.org/WAI/WCAG21/Understanding/focus-visible" TargetMode="External"/><Relationship Id="rId21" Type="http://schemas.openxmlformats.org/officeDocument/2006/relationships/hyperlink" Target="https://www.w3.org/WAI/WCAG21/Understanding/page-titled" TargetMode="External"/><Relationship Id="rId42" Type="http://schemas.openxmlformats.org/officeDocument/2006/relationships/hyperlink" Target="https://www.w3.org/WAI/WCAG21/Understanding/extended-audio-description-prerecorded" TargetMode="External"/><Relationship Id="rId47" Type="http://schemas.openxmlformats.org/officeDocument/2006/relationships/hyperlink" Target="https://www.w3.org/WAI/WCAG21/Understanding/visual-presentation" TargetMode="External"/><Relationship Id="rId63" Type="http://schemas.openxmlformats.org/officeDocument/2006/relationships/hyperlink" Target="https://www.w3.org/WAI/WCAG21/Understanding/captions-prerecorded" TargetMode="External"/><Relationship Id="rId68" Type="http://schemas.openxmlformats.org/officeDocument/2006/relationships/hyperlink" Target="https://www.w3.org/WAI/WCAG21/Understanding/sign-language-prerecorded" TargetMode="External"/><Relationship Id="rId84" Type="http://schemas.openxmlformats.org/officeDocument/2006/relationships/hyperlink" Target="https://www.w3.org/WAI/WCAG21/Understanding/sign-language-prerecorded" TargetMode="External"/><Relationship Id="rId89" Type="http://schemas.openxmlformats.org/officeDocument/2006/relationships/table" Target="../tables/table6.xml"/><Relationship Id="rId16" Type="http://schemas.openxmlformats.org/officeDocument/2006/relationships/hyperlink" Target="https://www.w3.org/WAI/WCAG21/Understanding/no-keyboard-trap" TargetMode="External"/><Relationship Id="rId11" Type="http://schemas.openxmlformats.org/officeDocument/2006/relationships/hyperlink" Target="https://www.w3.org/WAI/WCAG21/Understanding/audio-control" TargetMode="External"/><Relationship Id="rId32" Type="http://schemas.openxmlformats.org/officeDocument/2006/relationships/hyperlink" Target="https://www.w3.org/WAI/WCAG21/Understanding/consistent-identification" TargetMode="External"/><Relationship Id="rId37" Type="http://schemas.openxmlformats.org/officeDocument/2006/relationships/hyperlink" Target="https://www.w3.org/WAI/WCAG21/Understanding/error-suggestion" TargetMode="External"/><Relationship Id="rId53" Type="http://schemas.openxmlformats.org/officeDocument/2006/relationships/hyperlink" Target="https://www.w3.org/WAI/WCAG21/Understanding/location" TargetMode="External"/><Relationship Id="rId58" Type="http://schemas.openxmlformats.org/officeDocument/2006/relationships/hyperlink" Target="https://www.w3.org/WAI/WCAG21/Understanding/pronunciation" TargetMode="External"/><Relationship Id="rId74" Type="http://schemas.openxmlformats.org/officeDocument/2006/relationships/hyperlink" Target="https://www.w3.org/WAI/WCAG21/Understanding/info-and-relationships" TargetMode="External"/><Relationship Id="rId79" Type="http://schemas.openxmlformats.org/officeDocument/2006/relationships/hyperlink" Target="https://www.w3.org/WAI/WCAG21/Understanding/audio-only-and-video-only-prerecorded" TargetMode="External"/><Relationship Id="rId5" Type="http://schemas.openxmlformats.org/officeDocument/2006/relationships/hyperlink" Target="https://www.w3.org/WAI/WCAG21/Understanding/captions-live" TargetMode="External"/><Relationship Id="rId90" Type="http://schemas.openxmlformats.org/officeDocument/2006/relationships/table" Target="../tables/table7.xml"/><Relationship Id="rId14" Type="http://schemas.openxmlformats.org/officeDocument/2006/relationships/hyperlink" Target="https://www.w3.org/WAI/WCAG21/Understanding/images-of-text" TargetMode="External"/><Relationship Id="rId22" Type="http://schemas.openxmlformats.org/officeDocument/2006/relationships/hyperlink" Target="https://www.w3.org/WAI/WCAG21/Understanding/focus-order" TargetMode="External"/><Relationship Id="rId27" Type="http://schemas.openxmlformats.org/officeDocument/2006/relationships/hyperlink" Target="https://www.w3.org/WAI/WCAG21/Understanding/link-purpose-link-only" TargetMode="External"/><Relationship Id="rId30" Type="http://schemas.openxmlformats.org/officeDocument/2006/relationships/hyperlink" Target="https://www.w3.org/WAI/WCAG21/Understanding/on-focus" TargetMode="External"/><Relationship Id="rId35" Type="http://schemas.openxmlformats.org/officeDocument/2006/relationships/hyperlink" Target="https://www.w3.org/WAI/WCAG21/Understanding/error-identification" TargetMode="External"/><Relationship Id="rId43" Type="http://schemas.openxmlformats.org/officeDocument/2006/relationships/hyperlink" Target="https://www.w3.org/WAI/WCAG21/Understanding/media-alternative-prerecorded" TargetMode="External"/><Relationship Id="rId48" Type="http://schemas.openxmlformats.org/officeDocument/2006/relationships/hyperlink" Target="https://www.w3.org/WAI/WCAG21/Understanding/images-of-text-no-exception" TargetMode="External"/><Relationship Id="rId56" Type="http://schemas.openxmlformats.org/officeDocument/2006/relationships/hyperlink" Target="https://www.w3.org/WAI/WCAG21/Understanding/abbreviations" TargetMode="External"/><Relationship Id="rId64" Type="http://schemas.openxmlformats.org/officeDocument/2006/relationships/hyperlink" Target="https://www.w3.org/WAI/WCAG21/Understanding/audio-description-or-media-alternative-prerecorded" TargetMode="External"/><Relationship Id="rId69" Type="http://schemas.openxmlformats.org/officeDocument/2006/relationships/hyperlink" Target="https://www.w3.org/WAI/WCAG21/Understanding/extended-audio-description-prerecorded" TargetMode="External"/><Relationship Id="rId77" Type="http://schemas.openxmlformats.org/officeDocument/2006/relationships/hyperlink" Target="https://www.w3.org/WAI/WCAG21/Understanding/info-and-relationships" TargetMode="External"/><Relationship Id="rId8" Type="http://schemas.openxmlformats.org/officeDocument/2006/relationships/hyperlink" Target="https://www.w3.org/WAI/WCAG21/Understanding/meaningful-sequence" TargetMode="External"/><Relationship Id="rId51" Type="http://schemas.openxmlformats.org/officeDocument/2006/relationships/hyperlink" Target="https://www.w3.org/WAI/WCAG21/Understanding/re-authenticating" TargetMode="External"/><Relationship Id="rId72" Type="http://schemas.openxmlformats.org/officeDocument/2006/relationships/hyperlink" Target="https://www.w3.org/WAI/WCAG21/Understanding/info-and-relationships" TargetMode="External"/><Relationship Id="rId80" Type="http://schemas.openxmlformats.org/officeDocument/2006/relationships/hyperlink" Target="https://www.w3.org/WAI/WCAG21/Understanding/captions-prerecorded" TargetMode="External"/><Relationship Id="rId85" Type="http://schemas.openxmlformats.org/officeDocument/2006/relationships/hyperlink" Target="https://www.w3.org/WAI/WCAG21/Understanding/extended-audio-description-prerecorded" TargetMode="External"/><Relationship Id="rId3" Type="http://schemas.openxmlformats.org/officeDocument/2006/relationships/hyperlink" Target="https://www.w3.org/WAI/WCAG21/Understanding/captions-prerecorded" TargetMode="External"/><Relationship Id="rId12" Type="http://schemas.openxmlformats.org/officeDocument/2006/relationships/hyperlink" Target="https://www.w3.org/WAI/WCAG21/Understanding/contrast-minimum" TargetMode="External"/><Relationship Id="rId17" Type="http://schemas.openxmlformats.org/officeDocument/2006/relationships/hyperlink" Target="https://www.w3.org/WAI/WCAG21/Understanding/timing-adjustable" TargetMode="External"/><Relationship Id="rId25" Type="http://schemas.openxmlformats.org/officeDocument/2006/relationships/hyperlink" Target="https://www.w3.org/WAI/WCAG21/Understanding/headings-and-labels" TargetMode="External"/><Relationship Id="rId33" Type="http://schemas.openxmlformats.org/officeDocument/2006/relationships/hyperlink" Target="https://www.w3.org/WAI/WCAG21/Understanding/consistent-navigation" TargetMode="External"/><Relationship Id="rId38" Type="http://schemas.openxmlformats.org/officeDocument/2006/relationships/hyperlink" Target="https://www.w3.org/WAI/WCAG21/Understanding/error-prevention-legal-financial-data" TargetMode="External"/><Relationship Id="rId46" Type="http://schemas.openxmlformats.org/officeDocument/2006/relationships/hyperlink" Target="https://www.w3.org/WAI/WCAG21/Understanding/low-or-no-background-audio" TargetMode="External"/><Relationship Id="rId59" Type="http://schemas.openxmlformats.org/officeDocument/2006/relationships/hyperlink" Target="https://www.w3.org/WAI/WCAG21/Understanding/help" TargetMode="External"/><Relationship Id="rId67" Type="http://schemas.openxmlformats.org/officeDocument/2006/relationships/hyperlink" Target="https://www.w3.org/WAI/WCAG21/Understanding/info-and-relationships" TargetMode="External"/><Relationship Id="rId20" Type="http://schemas.openxmlformats.org/officeDocument/2006/relationships/hyperlink" Target="https://www.w3.org/WAI/WCAG21/Understanding/bypass-blocks" TargetMode="External"/><Relationship Id="rId41" Type="http://schemas.openxmlformats.org/officeDocument/2006/relationships/hyperlink" Target="https://www.w3.org/WAI/WCAG21/Understanding/sign-language-prerecorded" TargetMode="External"/><Relationship Id="rId54" Type="http://schemas.openxmlformats.org/officeDocument/2006/relationships/hyperlink" Target="https://www.w3.org/WAI/WCAG21/Understanding/section-headings" TargetMode="External"/><Relationship Id="rId62" Type="http://schemas.openxmlformats.org/officeDocument/2006/relationships/hyperlink" Target="https://www.w3.org/WAI/WCAG21/Understanding/audio-only-and-video-only-prerecorded" TargetMode="External"/><Relationship Id="rId70" Type="http://schemas.openxmlformats.org/officeDocument/2006/relationships/hyperlink" Target="https://www.w3.org/WAI/WCAG21/Understanding/media-alternative-prerecorded" TargetMode="External"/><Relationship Id="rId75" Type="http://schemas.openxmlformats.org/officeDocument/2006/relationships/hyperlink" Target="https://www.w3.org/WAI/WCAG21/Understanding/info-and-relationships" TargetMode="External"/><Relationship Id="rId83" Type="http://schemas.openxmlformats.org/officeDocument/2006/relationships/hyperlink" Target="https://www.w3.org/WAI/WCAG21/Understanding/audio-description-prerecorded" TargetMode="External"/><Relationship Id="rId88" Type="http://schemas.openxmlformats.org/officeDocument/2006/relationships/table" Target="../tables/table5.xml"/><Relationship Id="rId1" Type="http://schemas.openxmlformats.org/officeDocument/2006/relationships/hyperlink" Target="https://www.w3.org/WAI/WCAG21/Understanding/non-text-content" TargetMode="External"/><Relationship Id="rId6" Type="http://schemas.openxmlformats.org/officeDocument/2006/relationships/hyperlink" Target="https://www.w3.org/WAI/WCAG21/Understanding/audio-description-prerecorded" TargetMode="External"/><Relationship Id="rId15" Type="http://schemas.openxmlformats.org/officeDocument/2006/relationships/hyperlink" Target="https://www.w3.org/WAI/WCAG21/Understanding/keyboard" TargetMode="External"/><Relationship Id="rId23" Type="http://schemas.openxmlformats.org/officeDocument/2006/relationships/hyperlink" Target="https://www.w3.org/WAI/WCAG21/Understanding/link-purpose-in-context" TargetMode="External"/><Relationship Id="rId28" Type="http://schemas.openxmlformats.org/officeDocument/2006/relationships/hyperlink" Target="https://www.w3.org/WAI/WCAG21/Understanding/language-of-page" TargetMode="External"/><Relationship Id="rId36" Type="http://schemas.openxmlformats.org/officeDocument/2006/relationships/hyperlink" Target="https://www.w3.org/WAI/WCAG21/Understanding/labels-or-instructions" TargetMode="External"/><Relationship Id="rId49" Type="http://schemas.openxmlformats.org/officeDocument/2006/relationships/hyperlink" Target="https://www.w3.org/WAI/WCAG21/Understanding/no-timing" TargetMode="External"/><Relationship Id="rId57" Type="http://schemas.openxmlformats.org/officeDocument/2006/relationships/hyperlink" Target="https://www.w3.org/WAI/WCAG21/Understanding/reading-level" TargetMode="External"/><Relationship Id="rId10" Type="http://schemas.openxmlformats.org/officeDocument/2006/relationships/hyperlink" Target="https://www.w3.org/WAI/WCAG21/Understanding/use-of-color" TargetMode="External"/><Relationship Id="rId31" Type="http://schemas.openxmlformats.org/officeDocument/2006/relationships/hyperlink" Target="https://www.w3.org/WAI/WCAG21/Understanding/on-input" TargetMode="External"/><Relationship Id="rId44" Type="http://schemas.openxmlformats.org/officeDocument/2006/relationships/hyperlink" Target="https://www.w3.org/WAI/WCAG21/Understanding/audio-only-live" TargetMode="External"/><Relationship Id="rId52" Type="http://schemas.openxmlformats.org/officeDocument/2006/relationships/hyperlink" Target="https://www.w3.org/WAI/WCAG21/Understanding/three-flashes" TargetMode="External"/><Relationship Id="rId60" Type="http://schemas.openxmlformats.org/officeDocument/2006/relationships/hyperlink" Target="https://www.w3.org/WAI/WCAG21/Understanding/error-prevention-all" TargetMode="External"/><Relationship Id="rId65" Type="http://schemas.openxmlformats.org/officeDocument/2006/relationships/hyperlink" Target="https://www.w3.org/WAI/WCAG21/Understanding/non-text-contrast.html" TargetMode="External"/><Relationship Id="rId73" Type="http://schemas.openxmlformats.org/officeDocument/2006/relationships/hyperlink" Target="https://www.w3.org/WAI/WCAG21/Understanding/info-and-relationships" TargetMode="External"/><Relationship Id="rId78" Type="http://schemas.openxmlformats.org/officeDocument/2006/relationships/hyperlink" Target="https://www.w3.org/WAI/WCAG21/Understanding/non-text-content" TargetMode="External"/><Relationship Id="rId81" Type="http://schemas.openxmlformats.org/officeDocument/2006/relationships/hyperlink" Target="https://www.w3.org/WAI/WCAG21/Understanding/audio-description-or-media-alternative-prerecorded" TargetMode="External"/><Relationship Id="rId86" Type="http://schemas.openxmlformats.org/officeDocument/2006/relationships/hyperlink" Target="https://www.w3.org/WAI/WCAG21/Understanding/media-alternative-prerecorded" TargetMode="External"/><Relationship Id="rId4" Type="http://schemas.openxmlformats.org/officeDocument/2006/relationships/hyperlink" Target="https://www.w3.org/WAI/WCAG21/Understanding/audio-description-or-media-alternative-prerecorded" TargetMode="External"/><Relationship Id="rId9" Type="http://schemas.openxmlformats.org/officeDocument/2006/relationships/hyperlink" Target="https://www.w3.org/WAI/WCAG21/Understanding/sensory-characteristics" TargetMode="External"/><Relationship Id="rId13" Type="http://schemas.openxmlformats.org/officeDocument/2006/relationships/hyperlink" Target="https://www.w3.org/WAI/WCAG21/Understanding/resize-text" TargetMode="External"/><Relationship Id="rId18" Type="http://schemas.openxmlformats.org/officeDocument/2006/relationships/hyperlink" Target="https://www.w3.org/WAI/WCAG21/Understanding/pause-stop-hide" TargetMode="External"/><Relationship Id="rId39" Type="http://schemas.openxmlformats.org/officeDocument/2006/relationships/hyperlink" Target="https://www.w3.org/WAI/WCAG21/Understanding/parsing" TargetMode="External"/><Relationship Id="rId34" Type="http://schemas.openxmlformats.org/officeDocument/2006/relationships/hyperlink" Target="https://www.w3.org/WAI/WCAG21/Understanding/change-on-request" TargetMode="External"/><Relationship Id="rId50" Type="http://schemas.openxmlformats.org/officeDocument/2006/relationships/hyperlink" Target="https://www.w3.org/WAI/WCAG21/Understanding/interruptions" TargetMode="External"/><Relationship Id="rId55" Type="http://schemas.openxmlformats.org/officeDocument/2006/relationships/hyperlink" Target="https://www.w3.org/WAI/WCAG21/Understanding/unusual-words" TargetMode="External"/><Relationship Id="rId76" Type="http://schemas.openxmlformats.org/officeDocument/2006/relationships/hyperlink" Target="https://www.w3.org/WAI/WCAG21/Understanding/info-and-relationships" TargetMode="External"/><Relationship Id="rId7" Type="http://schemas.openxmlformats.org/officeDocument/2006/relationships/hyperlink" Target="https://www.w3.org/WAI/WCAG21/Understanding/info-and-relationships" TargetMode="External"/><Relationship Id="rId71" Type="http://schemas.openxmlformats.org/officeDocument/2006/relationships/hyperlink" Target="https://www.w3.org/WAI/WCAG21/Understanding/audio-only-live" TargetMode="External"/><Relationship Id="rId2" Type="http://schemas.openxmlformats.org/officeDocument/2006/relationships/hyperlink" Target="https://www.w3.org/WAI/WCAG21/Understanding/audio-only-and-video-only-prerecorded" TargetMode="External"/><Relationship Id="rId29" Type="http://schemas.openxmlformats.org/officeDocument/2006/relationships/hyperlink" Target="https://www.w3.org/WAI/WCAG21/Understanding/language-of-parts" TargetMode="External"/><Relationship Id="rId24" Type="http://schemas.openxmlformats.org/officeDocument/2006/relationships/hyperlink" Target="https://www.w3.org/WAI/WCAG21/Understanding/multiple-ways" TargetMode="External"/><Relationship Id="rId40" Type="http://schemas.openxmlformats.org/officeDocument/2006/relationships/hyperlink" Target="https://www.w3.org/WAI/WCAG21/Understanding/name-role-value" TargetMode="External"/><Relationship Id="rId45" Type="http://schemas.openxmlformats.org/officeDocument/2006/relationships/hyperlink" Target="https://www.w3.org/WAI/WCAG21/Understanding/contrast-enhanced" TargetMode="External"/><Relationship Id="rId66" Type="http://schemas.openxmlformats.org/officeDocument/2006/relationships/hyperlink" Target="https://www.w3.org/WAI/WCAG21/Understanding/audio-description-prerecorded" TargetMode="External"/><Relationship Id="rId87" Type="http://schemas.openxmlformats.org/officeDocument/2006/relationships/printerSettings" Target="../printerSettings/printerSettings7.bin"/><Relationship Id="rId61" Type="http://schemas.openxmlformats.org/officeDocument/2006/relationships/hyperlink" Target="https://www.w3.org/WAI/WCAG21/Understanding/non-text-content" TargetMode="External"/><Relationship Id="rId82" Type="http://schemas.openxmlformats.org/officeDocument/2006/relationships/hyperlink" Target="https://www.w3.org/WAI/WCAG21/Understanding/captions-live" TargetMode="External"/><Relationship Id="rId19" Type="http://schemas.openxmlformats.org/officeDocument/2006/relationships/hyperlink" Target="https://www.w3.org/WAI/WCAG21/Understanding/three-flashes-or-below-threshold"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www.w3.org/WAI/ARIA/apg/patterns/" TargetMode="External"/><Relationship Id="rId117" Type="http://schemas.openxmlformats.org/officeDocument/2006/relationships/table" Target="../tables/table8.xml"/><Relationship Id="rId21" Type="http://schemas.openxmlformats.org/officeDocument/2006/relationships/hyperlink" Target="https://dequeuniversity.com/rules/axe/4.1/href-no-hash" TargetMode="External"/><Relationship Id="rId42" Type="http://schemas.openxmlformats.org/officeDocument/2006/relationships/hyperlink" Target="https://www.w3.org/WAI/WCAG21/Understanding/images-of-text" TargetMode="External"/><Relationship Id="rId47" Type="http://schemas.openxmlformats.org/officeDocument/2006/relationships/hyperlink" Target="https://www.w3.org/WAI/WCAG21/Understanding/keyboard" TargetMode="External"/><Relationship Id="rId63" Type="http://schemas.openxmlformats.org/officeDocument/2006/relationships/hyperlink" Target="https://www.w3.org/WAI/WCAG22/Understanding/focus-not-obscured-enhanced" TargetMode="External"/><Relationship Id="rId68" Type="http://schemas.openxmlformats.org/officeDocument/2006/relationships/hyperlink" Target="https://www.w3.org/WAI/WCAG22/Understanding/unusual-words" TargetMode="External"/><Relationship Id="rId84" Type="http://schemas.openxmlformats.org/officeDocument/2006/relationships/hyperlink" Target="https://www.w3.org/WAI/WCAG21/Understanding/contrast-enhanced" TargetMode="External"/><Relationship Id="rId89" Type="http://schemas.openxmlformats.org/officeDocument/2006/relationships/hyperlink" Target="https://www.w3.org/WAI/WCAG21/Understanding/interruptions" TargetMode="External"/><Relationship Id="rId112" Type="http://schemas.openxmlformats.org/officeDocument/2006/relationships/hyperlink" Target="https://www.w3.org/WAI/WCAG22/Understanding/help" TargetMode="External"/><Relationship Id="rId16" Type="http://schemas.openxmlformats.org/officeDocument/2006/relationships/hyperlink" Target="https://dequeuniversity.com/checklists/web/audiovideo" TargetMode="External"/><Relationship Id="rId107" Type="http://schemas.openxmlformats.org/officeDocument/2006/relationships/hyperlink" Target="https://www.w3.org/WAI/WCAG22/Understanding/parsing" TargetMode="External"/><Relationship Id="rId11" Type="http://schemas.openxmlformats.org/officeDocument/2006/relationships/hyperlink" Target="https://www.dhs.gov/sites/default/files/publications/trusted_tester_test_process_v5_0_aug_16_2019.pdf" TargetMode="External"/><Relationship Id="rId32" Type="http://schemas.openxmlformats.org/officeDocument/2006/relationships/hyperlink" Target="https://www.w3.org/WAI/WCAG21/Understanding/audio-description-prerecorded" TargetMode="External"/><Relationship Id="rId37" Type="http://schemas.openxmlformats.org/officeDocument/2006/relationships/hyperlink" Target="https://www.w3.org/WAI/WCAG21/Understanding/identify-input-purpose" TargetMode="External"/><Relationship Id="rId53" Type="http://schemas.openxmlformats.org/officeDocument/2006/relationships/hyperlink" Target="https://www.w3.org/WAI/WCAG21/Understanding/bypass-blocks" TargetMode="External"/><Relationship Id="rId58" Type="http://schemas.openxmlformats.org/officeDocument/2006/relationships/hyperlink" Target="https://www.w3.org/WAI/WCAG21/Understanding/headings-and-labels" TargetMode="External"/><Relationship Id="rId74" Type="http://schemas.openxmlformats.org/officeDocument/2006/relationships/hyperlink" Target="https://www.w3.org/WAI/WCAG22/Understanding/consistent-navigation" TargetMode="External"/><Relationship Id="rId79" Type="http://schemas.openxmlformats.org/officeDocument/2006/relationships/hyperlink" Target="https://www.w3.org/WAI/WCAG21/Understanding/sign-language-prerecorded" TargetMode="External"/><Relationship Id="rId102" Type="http://schemas.openxmlformats.org/officeDocument/2006/relationships/hyperlink" Target="https://www.w3.org/WAI/WCAG22/Understanding/change-on-request" TargetMode="External"/><Relationship Id="rId5" Type="http://schemas.openxmlformats.org/officeDocument/2006/relationships/hyperlink" Target="https://www.w3schools.com/howto/howto_js_topnav_responsive.asp" TargetMode="External"/><Relationship Id="rId90" Type="http://schemas.openxmlformats.org/officeDocument/2006/relationships/hyperlink" Target="https://www.w3.org/WAI/WCAG21/Understanding/re-authenticating" TargetMode="External"/><Relationship Id="rId95" Type="http://schemas.openxmlformats.org/officeDocument/2006/relationships/hyperlink" Target="https://www.w3.org/WAI/WCAG22/Understanding/section-headings" TargetMode="External"/><Relationship Id="rId22" Type="http://schemas.openxmlformats.org/officeDocument/2006/relationships/hyperlink" Target="https://cauldron.dequelabs.com/components/Checkbox" TargetMode="External"/><Relationship Id="rId27" Type="http://schemas.openxmlformats.org/officeDocument/2006/relationships/hyperlink" Target="https://www.w3.org/WAI/ARIA/apg/patterns/" TargetMode="External"/><Relationship Id="rId43" Type="http://schemas.openxmlformats.org/officeDocument/2006/relationships/hyperlink" Target="https://www.w3.org/WAI/WCAG21/Understanding/reflow" TargetMode="External"/><Relationship Id="rId48" Type="http://schemas.openxmlformats.org/officeDocument/2006/relationships/hyperlink" Target="https://www.w3.org/WAI/WCAG21/Understanding/no-keyboard-trap" TargetMode="External"/><Relationship Id="rId64" Type="http://schemas.openxmlformats.org/officeDocument/2006/relationships/hyperlink" Target="https://www.w3.org/WAI/WCAG22/Understanding/pointer-gestures" TargetMode="External"/><Relationship Id="rId69" Type="http://schemas.openxmlformats.org/officeDocument/2006/relationships/hyperlink" Target="https://www.w3.org/WAI/WCAG22/Understanding/reading-level" TargetMode="External"/><Relationship Id="rId113" Type="http://schemas.openxmlformats.org/officeDocument/2006/relationships/hyperlink" Target="https://www.w3.org/WAI/WCAG22/Understanding/error-prevention-legal-financial-data" TargetMode="External"/><Relationship Id="rId118" Type="http://schemas.openxmlformats.org/officeDocument/2006/relationships/table" Target="../tables/table9.xml"/><Relationship Id="rId80" Type="http://schemas.openxmlformats.org/officeDocument/2006/relationships/hyperlink" Target="https://www.w3.org/WAI/WCAG21/Understanding/extended-audio-description-prerecorded" TargetMode="External"/><Relationship Id="rId85" Type="http://schemas.openxmlformats.org/officeDocument/2006/relationships/hyperlink" Target="https://www.w3.org/WAI/WCAG21/Understanding/low-or-no-background-audio" TargetMode="External"/><Relationship Id="rId12" Type="http://schemas.openxmlformats.org/officeDocument/2006/relationships/hyperlink" Target="https://www.w3schools.com/html/html_tables.asp" TargetMode="External"/><Relationship Id="rId17" Type="http://schemas.openxmlformats.org/officeDocument/2006/relationships/hyperlink" Target="https://dequeuniversity.com/checklists/web/audiovideo" TargetMode="External"/><Relationship Id="rId33" Type="http://schemas.openxmlformats.org/officeDocument/2006/relationships/hyperlink" Target="https://www.w3.org/WAI/WCAG21/Understanding/info-and-relationships" TargetMode="External"/><Relationship Id="rId38" Type="http://schemas.openxmlformats.org/officeDocument/2006/relationships/hyperlink" Target="https://www.w3.org/WAI/WCAG21/Understanding/use-of-color" TargetMode="External"/><Relationship Id="rId59" Type="http://schemas.openxmlformats.org/officeDocument/2006/relationships/hyperlink" Target="https://www.w3.org/WAI/WCAG21/Understanding/focus-visible" TargetMode="External"/><Relationship Id="rId103" Type="http://schemas.openxmlformats.org/officeDocument/2006/relationships/hyperlink" Target="https://www.w3.org/WAI/WCAG22/Understanding/consistent-help" TargetMode="External"/><Relationship Id="rId108" Type="http://schemas.openxmlformats.org/officeDocument/2006/relationships/hyperlink" Target="https://www.w3.org/WAI/WCAG22/Understanding/accessible-authentication-enhanced" TargetMode="External"/><Relationship Id="rId54" Type="http://schemas.openxmlformats.org/officeDocument/2006/relationships/hyperlink" Target="https://www.w3.org/WAI/WCAG21/Understanding/page-titled" TargetMode="External"/><Relationship Id="rId70" Type="http://schemas.openxmlformats.org/officeDocument/2006/relationships/hyperlink" Target="https://www.w3.org/WAI/WCAG22/Understanding/abbreviations" TargetMode="External"/><Relationship Id="rId75" Type="http://schemas.openxmlformats.org/officeDocument/2006/relationships/hyperlink" Target="https://www.w3.org/WAI/WCAG22/Understanding/consistent-identification" TargetMode="External"/><Relationship Id="rId91" Type="http://schemas.openxmlformats.org/officeDocument/2006/relationships/hyperlink" Target="https://www.w3.org/WAI/WCAG21/Understanding/timeouts" TargetMode="External"/><Relationship Id="rId96" Type="http://schemas.openxmlformats.org/officeDocument/2006/relationships/hyperlink" Target="https://www.w3.org/WAI/WCAG22/Understanding/pointer-cancellation" TargetMode="External"/><Relationship Id="rId1" Type="http://schemas.openxmlformats.org/officeDocument/2006/relationships/hyperlink" Target="https://www.w3schools.com/howto/howto_js_collapsible.asp" TargetMode="External"/><Relationship Id="rId6" Type="http://schemas.openxmlformats.org/officeDocument/2006/relationships/hyperlink" Target="https://www.w3.org/WAI/ARIA/apg/patterns/grid/" TargetMode="External"/><Relationship Id="rId23" Type="http://schemas.openxmlformats.org/officeDocument/2006/relationships/hyperlink" Target="https://cauldron.dequelabs.com/components/Checkbox" TargetMode="External"/><Relationship Id="rId28" Type="http://schemas.openxmlformats.org/officeDocument/2006/relationships/hyperlink" Target="https://www.w3.org/WAI/WCAG21/Understanding/audio-only-and-video-only-prerecorded" TargetMode="External"/><Relationship Id="rId49" Type="http://schemas.openxmlformats.org/officeDocument/2006/relationships/hyperlink" Target="https://www.w3.org/WAI/WCAG21/Understanding/timing-adjustable" TargetMode="External"/><Relationship Id="rId114" Type="http://schemas.openxmlformats.org/officeDocument/2006/relationships/hyperlink" Target="https://www.cdc.gov/ncbddd/disabilityandhealth/infographic-disability-impacts-all.html" TargetMode="External"/><Relationship Id="rId10" Type="http://schemas.openxmlformats.org/officeDocument/2006/relationships/hyperlink" Target="https://www.dhs.gov/sites/default/files/publications/trusted_tester_test_process_v5_0_aug_16_2019.pdf" TargetMode="External"/><Relationship Id="rId31" Type="http://schemas.openxmlformats.org/officeDocument/2006/relationships/hyperlink" Target="https://www.w3.org/WAI/WCAG21/Understanding/captions-live" TargetMode="External"/><Relationship Id="rId44" Type="http://schemas.openxmlformats.org/officeDocument/2006/relationships/hyperlink" Target="https://www.w3.org/WAI/WCAG21/Understanding/non-text-contrast" TargetMode="External"/><Relationship Id="rId52" Type="http://schemas.openxmlformats.org/officeDocument/2006/relationships/hyperlink" Target="https://www.w3.org/WAI/WCAG21/Understanding/three-flashes-or-below-threshold" TargetMode="External"/><Relationship Id="rId60" Type="http://schemas.openxmlformats.org/officeDocument/2006/relationships/hyperlink" Target="https://www.w3.org/WAI/WCAG22/Understanding/link-purpose-link-only" TargetMode="External"/><Relationship Id="rId65" Type="http://schemas.openxmlformats.org/officeDocument/2006/relationships/hyperlink" Target="https://www.w3.org/WAI/WCAG22/Understanding/motion-actuation" TargetMode="External"/><Relationship Id="rId73" Type="http://schemas.openxmlformats.org/officeDocument/2006/relationships/hyperlink" Target="https://www.w3.org/WAI/WCAG22/Understanding/on-input" TargetMode="External"/><Relationship Id="rId78" Type="http://schemas.openxmlformats.org/officeDocument/2006/relationships/hyperlink" Target="https://www.w3.org/WAI/WCAG22/Understanding/labels-or-instructions" TargetMode="External"/><Relationship Id="rId81" Type="http://schemas.openxmlformats.org/officeDocument/2006/relationships/hyperlink" Target="https://www.w3.org/WAI/WCAG21/Understanding/media-alternative-prerecorded" TargetMode="External"/><Relationship Id="rId86" Type="http://schemas.openxmlformats.org/officeDocument/2006/relationships/hyperlink" Target="https://www.w3.org/WAI/WCAG21/Understanding/visual-presentation" TargetMode="External"/><Relationship Id="rId94" Type="http://schemas.openxmlformats.org/officeDocument/2006/relationships/hyperlink" Target="https://www.w3.org/WAI/WCAG21/Understanding/location" TargetMode="External"/><Relationship Id="rId99" Type="http://schemas.openxmlformats.org/officeDocument/2006/relationships/hyperlink" Target="https://www.w3.org/WAI/WCAG22/Understanding/dragging-movements" TargetMode="External"/><Relationship Id="rId101" Type="http://schemas.openxmlformats.org/officeDocument/2006/relationships/hyperlink" Target="https://www.w3.org/WAI/WCAG22/Understanding/language-of-page" TargetMode="External"/><Relationship Id="rId4" Type="http://schemas.openxmlformats.org/officeDocument/2006/relationships/hyperlink" Target="https://www.w3schools.com/howto/howto_js_mobile_navbar.asp" TargetMode="External"/><Relationship Id="rId9" Type="http://schemas.openxmlformats.org/officeDocument/2006/relationships/hyperlink" Target="https://webaim.org/techniques/tables/" TargetMode="External"/><Relationship Id="rId13" Type="http://schemas.openxmlformats.org/officeDocument/2006/relationships/hyperlink" Target="https://www.w3schools.com/html/html_tables.asp" TargetMode="External"/><Relationship Id="rId18" Type="http://schemas.openxmlformats.org/officeDocument/2006/relationships/hyperlink" Target="https://www.w3docs.com/snippets/html/how-to-create-an-anchor-link-to-jump-to-a-specific-part-of-a-page.html" TargetMode="External"/><Relationship Id="rId39" Type="http://schemas.openxmlformats.org/officeDocument/2006/relationships/hyperlink" Target="https://www.w3.org/WAI/WCAG21/Understanding/audio-control" TargetMode="External"/><Relationship Id="rId109" Type="http://schemas.openxmlformats.org/officeDocument/2006/relationships/hyperlink" Target="https://www.w3.org/WAI/WCAG22/Understanding/accessible-authentication-minimum" TargetMode="External"/><Relationship Id="rId34" Type="http://schemas.openxmlformats.org/officeDocument/2006/relationships/hyperlink" Target="https://www.w3.org/WAI/WCAG21/Understanding/meaningful-sequence" TargetMode="External"/><Relationship Id="rId50" Type="http://schemas.openxmlformats.org/officeDocument/2006/relationships/hyperlink" Target="https://www.w3.org/WAI/WCAG21/Understanding/character-key-shortcuts" TargetMode="External"/><Relationship Id="rId55" Type="http://schemas.openxmlformats.org/officeDocument/2006/relationships/hyperlink" Target="https://www.w3.org/WAI/WCAG21/Understanding/focus-order" TargetMode="External"/><Relationship Id="rId76" Type="http://schemas.openxmlformats.org/officeDocument/2006/relationships/hyperlink" Target="https://www.w3.org/WAI/WCAG22/Understanding/error-identification" TargetMode="External"/><Relationship Id="rId97" Type="http://schemas.openxmlformats.org/officeDocument/2006/relationships/hyperlink" Target="https://www.w3.org/WAI/WCAG22/Understanding/label-in-name" TargetMode="External"/><Relationship Id="rId104" Type="http://schemas.openxmlformats.org/officeDocument/2006/relationships/hyperlink" Target="https://www.w3.org/WAI/WCAG21/Understanding/non-text-content" TargetMode="External"/><Relationship Id="rId7" Type="http://schemas.openxmlformats.org/officeDocument/2006/relationships/hyperlink" Target="https://www.w3.org/WAI/ARIA/apg/patterns/grid/" TargetMode="External"/><Relationship Id="rId71" Type="http://schemas.openxmlformats.org/officeDocument/2006/relationships/hyperlink" Target="https://www.w3.org/WAI/WCAG22/Understanding/pronunciation" TargetMode="External"/><Relationship Id="rId92" Type="http://schemas.openxmlformats.org/officeDocument/2006/relationships/hyperlink" Target="https://www.w3.org/WAI/WCAG21/Understanding/three-flashes" TargetMode="External"/><Relationship Id="rId2" Type="http://schemas.openxmlformats.org/officeDocument/2006/relationships/hyperlink" Target="https://www.deque.com/blog/text-links-practices-screen-readers/" TargetMode="External"/><Relationship Id="rId29" Type="http://schemas.openxmlformats.org/officeDocument/2006/relationships/hyperlink" Target="https://www.w3.org/WAI/WCAG21/Understanding/captions-prerecorded" TargetMode="External"/><Relationship Id="rId24" Type="http://schemas.openxmlformats.org/officeDocument/2006/relationships/hyperlink" Target="https://www.w3schools.com/howto/howto_css_switch.asp" TargetMode="External"/><Relationship Id="rId40" Type="http://schemas.openxmlformats.org/officeDocument/2006/relationships/hyperlink" Target="https://www.w3.org/WAI/WCAG21/Understanding/contrast-minimum" TargetMode="External"/><Relationship Id="rId45" Type="http://schemas.openxmlformats.org/officeDocument/2006/relationships/hyperlink" Target="https://www.w3.org/WAI/WCAG21/Understanding/content-on-hover-or-focus" TargetMode="External"/><Relationship Id="rId66" Type="http://schemas.openxmlformats.org/officeDocument/2006/relationships/hyperlink" Target="https://www.w3.org/WAI/WCAG22/Understanding/target-size-enhanced" TargetMode="External"/><Relationship Id="rId87" Type="http://schemas.openxmlformats.org/officeDocument/2006/relationships/hyperlink" Target="https://www.w3.org/WAI/WCAG21/Understanding/images-of-text-no-exception" TargetMode="External"/><Relationship Id="rId110" Type="http://schemas.openxmlformats.org/officeDocument/2006/relationships/hyperlink" Target="https://www.w3.org/WAI/WCAG22/Understanding/redundant-entry" TargetMode="External"/><Relationship Id="rId115" Type="http://schemas.openxmlformats.org/officeDocument/2006/relationships/hyperlink" Target="https://docs.google.com/document/d/1bSelTM5NpGmnMt61cb7U0ZVBPDfL2gb_03zAVa8gntk/edit?usp=sharing" TargetMode="External"/><Relationship Id="rId61" Type="http://schemas.openxmlformats.org/officeDocument/2006/relationships/hyperlink" Target="https://www.w3.org/WAI/WCAG22/Understanding/focus-not-obscured-minimum" TargetMode="External"/><Relationship Id="rId82" Type="http://schemas.openxmlformats.org/officeDocument/2006/relationships/hyperlink" Target="https://www.w3.org/WAI/WCAG21/Understanding/audio-only-live" TargetMode="External"/><Relationship Id="rId19" Type="http://schemas.openxmlformats.org/officeDocument/2006/relationships/hyperlink" Target="https://www.w3docs.com/snippets/html/how-to-create-an-anchor-link-to-jump-to-a-specific-part-of-a-page.html" TargetMode="External"/><Relationship Id="rId14" Type="http://schemas.openxmlformats.org/officeDocument/2006/relationships/hyperlink" Target="https://www.w3schools.com/howto/howto_html_download_link.asp" TargetMode="External"/><Relationship Id="rId30" Type="http://schemas.openxmlformats.org/officeDocument/2006/relationships/hyperlink" Target="https://www.w3.org/WAI/WCAG21/Understanding/audio-description-or-media-alternative-prerecorded" TargetMode="External"/><Relationship Id="rId35" Type="http://schemas.openxmlformats.org/officeDocument/2006/relationships/hyperlink" Target="https://www.w3.org/WAI/WCAG21/Understanding/sensory-characteristics" TargetMode="External"/><Relationship Id="rId56" Type="http://schemas.openxmlformats.org/officeDocument/2006/relationships/hyperlink" Target="https://www.w3.org/WAI/WCAG21/Understanding/link-purpose-in-context" TargetMode="External"/><Relationship Id="rId77" Type="http://schemas.openxmlformats.org/officeDocument/2006/relationships/hyperlink" Target="https://www.w3.org/WAI/WCAG22/Understanding/error-suggestion" TargetMode="External"/><Relationship Id="rId100" Type="http://schemas.openxmlformats.org/officeDocument/2006/relationships/hyperlink" Target="https://www.w3.org/WAI/WCAG22/Understanding/target-size-minimum" TargetMode="External"/><Relationship Id="rId105" Type="http://schemas.openxmlformats.org/officeDocument/2006/relationships/hyperlink" Target="https://www.w3.org/WAI/WCAG22/Understanding/status-messages.html" TargetMode="External"/><Relationship Id="rId8" Type="http://schemas.openxmlformats.org/officeDocument/2006/relationships/hyperlink" Target="https://webaim.org/techniques/tables/" TargetMode="External"/><Relationship Id="rId51" Type="http://schemas.openxmlformats.org/officeDocument/2006/relationships/hyperlink" Target="https://www.w3.org/WAI/WCAG21/Understanding/pause-stop-hide" TargetMode="External"/><Relationship Id="rId72" Type="http://schemas.openxmlformats.org/officeDocument/2006/relationships/hyperlink" Target="https://www.w3.org/WAI/WCAG22/Understanding/on-focus" TargetMode="External"/><Relationship Id="rId93" Type="http://schemas.openxmlformats.org/officeDocument/2006/relationships/hyperlink" Target="https://www.w3.org/WAI/WCAG21/Understanding/animation-from-interactions" TargetMode="External"/><Relationship Id="rId98" Type="http://schemas.openxmlformats.org/officeDocument/2006/relationships/hyperlink" Target="https://www.w3.org/WAI/WCAG22/Understanding/concurrent-input-mechanisms" TargetMode="External"/><Relationship Id="rId3" Type="http://schemas.openxmlformats.org/officeDocument/2006/relationships/hyperlink" Target="https://www.w3schools.com/tags/tag_button.asp" TargetMode="External"/><Relationship Id="rId25" Type="http://schemas.openxmlformats.org/officeDocument/2006/relationships/hyperlink" Target="https://www.w3schools.com/howto/howto_css_switch.asp" TargetMode="External"/><Relationship Id="rId46" Type="http://schemas.openxmlformats.org/officeDocument/2006/relationships/hyperlink" Target="https://www.w3.org/WAI/WCAG21/Understanding/text-spacing" TargetMode="External"/><Relationship Id="rId67" Type="http://schemas.openxmlformats.org/officeDocument/2006/relationships/hyperlink" Target="https://www.w3.org/WAI/WCAG22/Understanding/language-of-parts" TargetMode="External"/><Relationship Id="rId116" Type="http://schemas.openxmlformats.org/officeDocument/2006/relationships/printerSettings" Target="../printerSettings/printerSettings8.bin"/><Relationship Id="rId20" Type="http://schemas.openxmlformats.org/officeDocument/2006/relationships/hyperlink" Target="https://dequeuniversity.com/rules/axe/4.1/href-no-hash" TargetMode="External"/><Relationship Id="rId41" Type="http://schemas.openxmlformats.org/officeDocument/2006/relationships/hyperlink" Target="https://www.w3.org/WAI/WCAG21/Understanding/resize-text" TargetMode="External"/><Relationship Id="rId62" Type="http://schemas.openxmlformats.org/officeDocument/2006/relationships/hyperlink" Target="https://www.w3.org/WAI/WCAG22/Understanding/focus-appearance" TargetMode="External"/><Relationship Id="rId83" Type="http://schemas.openxmlformats.org/officeDocument/2006/relationships/hyperlink" Target="https://www.w3.org/WAI/WCAG21/Understanding/identify-purpose" TargetMode="External"/><Relationship Id="rId88" Type="http://schemas.openxmlformats.org/officeDocument/2006/relationships/hyperlink" Target="https://www.w3.org/WAI/WCAG21/Understanding/no-timing" TargetMode="External"/><Relationship Id="rId111" Type="http://schemas.openxmlformats.org/officeDocument/2006/relationships/hyperlink" Target="https://www.w3.org/WAI/WCAG22/Understanding/error-prevention-all" TargetMode="External"/><Relationship Id="rId15" Type="http://schemas.openxmlformats.org/officeDocument/2006/relationships/hyperlink" Target="https://www.w3schools.com/howto/howto_html_download_link.asp" TargetMode="External"/><Relationship Id="rId36" Type="http://schemas.openxmlformats.org/officeDocument/2006/relationships/hyperlink" Target="https://www.w3.org/WAI/WCAG21/Understanding/orientation" TargetMode="External"/><Relationship Id="rId57" Type="http://schemas.openxmlformats.org/officeDocument/2006/relationships/hyperlink" Target="https://www.w3.org/WAI/WCAG21/Understanding/multiple-ways" TargetMode="External"/><Relationship Id="rId106" Type="http://schemas.openxmlformats.org/officeDocument/2006/relationships/hyperlink" Target="https://www.w3.org/WAI/WCAG22/Understanding/name-role-val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755C2-2EAD-4D02-A24C-BBB44FAEC1DA}">
  <sheetPr>
    <tabColor theme="9" tint="0.59999389629810485"/>
  </sheetPr>
  <dimension ref="A1:M26"/>
  <sheetViews>
    <sheetView tabSelected="1" topLeftCell="A3" workbookViewId="0">
      <selection activeCell="A26" sqref="A26"/>
    </sheetView>
  </sheetViews>
  <sheetFormatPr defaultColWidth="8.88671875" defaultRowHeight="15.6" x14ac:dyDescent="0.3"/>
  <cols>
    <col min="1" max="1" width="20.88671875" style="114" customWidth="1"/>
    <col min="2" max="16384" width="8.88671875" style="114"/>
  </cols>
  <sheetData>
    <row r="1" spans="1:1" ht="118.95" customHeight="1" x14ac:dyDescent="0.3">
      <c r="A1" s="2" t="e" vm="1">
        <v>#VALUE!</v>
      </c>
    </row>
    <row r="2" spans="1:1" x14ac:dyDescent="0.3">
      <c r="A2" s="114" t="s">
        <v>0</v>
      </c>
    </row>
    <row r="3" spans="1:1" x14ac:dyDescent="0.3">
      <c r="A3" s="114" t="s">
        <v>1</v>
      </c>
    </row>
    <row r="4" spans="1:1" x14ac:dyDescent="0.3">
      <c r="A4" s="114" t="s">
        <v>2</v>
      </c>
    </row>
    <row r="5" spans="1:1" x14ac:dyDescent="0.3">
      <c r="A5" s="114" t="s">
        <v>3</v>
      </c>
    </row>
    <row r="6" spans="1:1" x14ac:dyDescent="0.3">
      <c r="A6" s="114" t="s">
        <v>4</v>
      </c>
    </row>
    <row r="7" spans="1:1" x14ac:dyDescent="0.3">
      <c r="A7" s="114" t="s">
        <v>5</v>
      </c>
    </row>
    <row r="8" spans="1:1" x14ac:dyDescent="0.3">
      <c r="A8" s="114" t="s">
        <v>6</v>
      </c>
    </row>
    <row r="9" spans="1:1" x14ac:dyDescent="0.3">
      <c r="A9" s="114" t="s">
        <v>7</v>
      </c>
    </row>
    <row r="10" spans="1:1" x14ac:dyDescent="0.3">
      <c r="A10" s="114" t="s">
        <v>8</v>
      </c>
    </row>
    <row r="11" spans="1:1" x14ac:dyDescent="0.3">
      <c r="A11" s="114" t="s">
        <v>9</v>
      </c>
    </row>
    <row r="12" spans="1:1" x14ac:dyDescent="0.3">
      <c r="A12" s="114" t="s">
        <v>10</v>
      </c>
    </row>
    <row r="13" spans="1:1" x14ac:dyDescent="0.3">
      <c r="A13" s="114" t="s">
        <v>11</v>
      </c>
    </row>
    <row r="14" spans="1:1" x14ac:dyDescent="0.3">
      <c r="A14" s="114" t="s">
        <v>12</v>
      </c>
    </row>
    <row r="15" spans="1:1" x14ac:dyDescent="0.3">
      <c r="A15" s="114" t="s">
        <v>13</v>
      </c>
    </row>
    <row r="16" spans="1:1" x14ac:dyDescent="0.3">
      <c r="A16" s="114" t="s">
        <v>14</v>
      </c>
    </row>
    <row r="17" spans="1:13" x14ac:dyDescent="0.3">
      <c r="A17" s="114" t="s">
        <v>15</v>
      </c>
    </row>
    <row r="18" spans="1:13" x14ac:dyDescent="0.3">
      <c r="A18" s="114" t="s">
        <v>16</v>
      </c>
    </row>
    <row r="19" spans="1:13" x14ac:dyDescent="0.3">
      <c r="A19" s="114" t="s">
        <v>17</v>
      </c>
    </row>
    <row r="20" spans="1:13" x14ac:dyDescent="0.3">
      <c r="A20" s="2" t="s">
        <v>961</v>
      </c>
    </row>
    <row r="22" spans="1:13" x14ac:dyDescent="0.3">
      <c r="A22" s="114" t="s">
        <v>18</v>
      </c>
      <c r="M22" s="161"/>
    </row>
    <row r="23" spans="1:13" x14ac:dyDescent="0.3">
      <c r="A23" s="2" t="s">
        <v>19</v>
      </c>
      <c r="M23" s="161"/>
    </row>
    <row r="24" spans="1:13" x14ac:dyDescent="0.3">
      <c r="A24" s="2" t="s">
        <v>20</v>
      </c>
    </row>
    <row r="25" spans="1:13" x14ac:dyDescent="0.3">
      <c r="A25" s="2" t="s">
        <v>21</v>
      </c>
    </row>
    <row r="26" spans="1:13" x14ac:dyDescent="0.3">
      <c r="A26" s="2" t="s">
        <v>22</v>
      </c>
    </row>
  </sheetData>
  <sheetProtection algorithmName="SHA-512" hashValue="Bokr85ChgDTLyl7veSQrfwdE40LW/PjZ0DIoQtrXme2b4lvmtK18vFIoxhtPAn8/geAWrJ1uiz2GU4aTYcXnEg==" saltValue="saTkFu/6mR6axu+3EojjFw==" spinCount="100000" sheet="1" objects="1" scenarios="1"/>
  <hyperlinks>
    <hyperlink ref="A20" r:id="rId1" xr:uid="{044F792A-B686-46C1-8706-3F733AE5DDE0}"/>
    <hyperlink ref="A23" r:id="rId2" xr:uid="{03B953AD-9036-45CA-BBF0-C19CCD84126F}"/>
    <hyperlink ref="A24" r:id="rId3" xr:uid="{3852DA88-4823-4796-BFFA-9D670B76A01A}"/>
    <hyperlink ref="A25" r:id="rId4" xr:uid="{CC1040C9-7FC2-4371-AA4D-CCCD5F2985BB}"/>
    <hyperlink ref="A26" r:id="rId5" xr:uid="{AC865CA8-B040-4539-9497-D1D29BA22F88}"/>
    <hyperlink ref="A1" r:id="rId6" display="https://a11yconcerns.com/" xr:uid="{630009A2-D9D8-4BD4-9EF6-BAF1145AC3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28937-11BD-4760-8FE5-B249BE2FACDC}">
  <sheetPr>
    <tabColor rgb="FFCC0000"/>
  </sheetPr>
  <dimension ref="A1:C26"/>
  <sheetViews>
    <sheetView topLeftCell="A3" zoomScaleNormal="100" workbookViewId="0">
      <selection activeCell="C12" sqref="C12"/>
    </sheetView>
  </sheetViews>
  <sheetFormatPr defaultRowHeight="14.4" x14ac:dyDescent="0.3"/>
  <cols>
    <col min="1" max="1" width="43.5546875" customWidth="1"/>
    <col min="2" max="2" width="134.88671875" customWidth="1"/>
    <col min="3" max="3" width="54.88671875" customWidth="1"/>
  </cols>
  <sheetData>
    <row r="1" spans="1:3" ht="50.1" customHeight="1" x14ac:dyDescent="0.3">
      <c r="A1" s="8" t="s">
        <v>23</v>
      </c>
      <c r="B1" s="9" t="s">
        <v>24</v>
      </c>
    </row>
    <row r="2" spans="1:3" ht="50.1" customHeight="1" x14ac:dyDescent="0.3">
      <c r="A2" s="17" t="s">
        <v>25</v>
      </c>
      <c r="B2" s="18" t="str">
        <f>'Report Entry'!B3</f>
        <v>Your Website</v>
      </c>
    </row>
    <row r="3" spans="1:3" ht="50.1" customHeight="1" x14ac:dyDescent="0.3">
      <c r="A3" s="17" t="s">
        <v>26</v>
      </c>
      <c r="B3" s="19">
        <f>'Report Entry'!B4</f>
        <v>45752</v>
      </c>
    </row>
    <row r="4" spans="1:3" ht="67.5" customHeight="1" x14ac:dyDescent="0.3">
      <c r="A4" s="17" t="s">
        <v>27</v>
      </c>
      <c r="B4" s="18" t="str">
        <f>'Report Entry'!B5</f>
        <v>exact urls
dark and light modes each page</v>
      </c>
    </row>
    <row r="5" spans="1:3" ht="49.5" customHeight="1" x14ac:dyDescent="0.3">
      <c r="A5" s="17" t="s">
        <v>28</v>
      </c>
      <c r="B5" s="18">
        <f>'Report Entry'!B6</f>
        <v>20</v>
      </c>
    </row>
    <row r="6" spans="1:3" ht="50.1" customHeight="1" x14ac:dyDescent="0.3">
      <c r="A6" s="17" t="s">
        <v>29</v>
      </c>
      <c r="B6" s="19" t="str">
        <f>'Report Entry'!B7</f>
        <v>Ron Schneidereit</v>
      </c>
    </row>
    <row r="7" spans="1:3" ht="50.1" customHeight="1" x14ac:dyDescent="0.3">
      <c r="A7" s="17" t="s">
        <v>30</v>
      </c>
      <c r="B7" s="20" t="str">
        <f>'Report Entry'!B8</f>
        <v>WCAG 2.2 A &amp; AA</v>
      </c>
    </row>
    <row r="8" spans="1:3" ht="50.1" hidden="1" customHeight="1" x14ac:dyDescent="0.3">
      <c r="A8" s="17" t="s">
        <v>31</v>
      </c>
      <c r="B8" s="20" t="e">
        <f>'Findings Breakdown'!#REF!</f>
        <v>#REF!</v>
      </c>
    </row>
    <row r="9" spans="1:3" ht="50.1" hidden="1" customHeight="1" x14ac:dyDescent="0.3">
      <c r="A9" s="17" t="s">
        <v>32</v>
      </c>
      <c r="B9" s="20" t="e">
        <f>#REF!</f>
        <v>#REF!</v>
      </c>
    </row>
    <row r="10" spans="1:3" ht="50.1" customHeight="1" x14ac:dyDescent="0.3">
      <c r="A10" s="17" t="s">
        <v>33</v>
      </c>
      <c r="B10" s="20" t="str">
        <f>'Report Entry'!B9</f>
        <v>mouse, keyboard only, NVDA, Helperbird, CSS disabler,
WAVE, Lighthouse, Google code inspection</v>
      </c>
    </row>
    <row r="11" spans="1:3" ht="70.2" customHeight="1" x14ac:dyDescent="0.3">
      <c r="A11" s="17" t="s">
        <v>34</v>
      </c>
      <c r="B11" s="20" t="str">
        <f>'Report Entry'!B10</f>
        <v>Windows 10 Enterprise ver. 21H2
Chrome Version 113.0.5672.127 (Official Build) (64-bit)
Desktop</v>
      </c>
    </row>
    <row r="12" spans="1:3" ht="50.1" customHeight="1" x14ac:dyDescent="0.3">
      <c r="A12" s="17" t="s">
        <v>35</v>
      </c>
      <c r="B12" s="18" t="str">
        <f>'Report Entry'!B12</f>
        <v>Yes</v>
      </c>
    </row>
    <row r="13" spans="1:3" ht="50.1" customHeight="1" x14ac:dyDescent="0.3">
      <c r="A13" s="17" t="s">
        <v>36</v>
      </c>
      <c r="B13" s="18" t="str">
        <f>'Report Entry'!B13</f>
        <v>????</v>
      </c>
    </row>
    <row r="14" spans="1:3" ht="50.1" hidden="1" customHeight="1" x14ac:dyDescent="0.3">
      <c r="A14" s="14" t="s">
        <v>37</v>
      </c>
      <c r="B14" s="11" t="str">
        <f>'Report Entry'!B14</f>
        <v>????</v>
      </c>
    </row>
    <row r="15" spans="1:3" ht="50.1" customHeight="1" x14ac:dyDescent="0.3">
      <c r="A15" s="15" t="s">
        <v>38</v>
      </c>
      <c r="B15" s="21">
        <f>'Empirical Scores'!D5</f>
        <v>0</v>
      </c>
      <c r="C15" s="4"/>
    </row>
    <row r="16" spans="1:3" ht="50.1" customHeight="1" x14ac:dyDescent="0.3">
      <c r="A16" s="16" t="s">
        <v>39</v>
      </c>
      <c r="B16" s="21">
        <f>'Empirical Scores'!D11</f>
        <v>0</v>
      </c>
      <c r="C16" s="3"/>
    </row>
    <row r="17" spans="1:3" ht="50.1" customHeight="1" x14ac:dyDescent="0.3">
      <c r="A17" s="16" t="s">
        <v>40</v>
      </c>
      <c r="B17" s="22">
        <f>'Empirical Scores'!D17</f>
        <v>0</v>
      </c>
      <c r="C17" s="3"/>
    </row>
    <row r="18" spans="1:3" ht="50.1" customHeight="1" x14ac:dyDescent="0.3">
      <c r="A18" s="16" t="s">
        <v>41</v>
      </c>
      <c r="B18" s="22" t="str">
        <f>IF('Report Entry'!C23&gt;=315,"High     "&amp;'Report Entry'!C23,IF('Report Entry'!C23&lt;=262.5,"Low     "&amp;'Report Entry'!C23,"Medium     "&amp;'Report Entry'!C23) )</f>
        <v>High     350</v>
      </c>
      <c r="C18" s="3"/>
    </row>
    <row r="19" spans="1:3" ht="39.9" customHeight="1" x14ac:dyDescent="0.3">
      <c r="A19" s="12" t="s">
        <v>42</v>
      </c>
      <c r="B19" s="13" t="s">
        <v>43</v>
      </c>
      <c r="C19" s="5"/>
    </row>
    <row r="20" spans="1:3" ht="39.9" customHeight="1" x14ac:dyDescent="0.35">
      <c r="A20" s="24" t="s">
        <v>44</v>
      </c>
      <c r="B20" s="23">
        <f>IFERROR((SUM(WCAG20results[Motor])+SUM(WCAG21results[Motor])+SUM(WCAG22results[Motor]))/(SUM(WCAG20results[Motor Poss])+SUM(WCAG21results[Motor Poss])+SUM(WCAG22results[Motor Poss])),0)</f>
        <v>0</v>
      </c>
      <c r="C20" s="6"/>
    </row>
    <row r="21" spans="1:3" ht="39.9" customHeight="1" x14ac:dyDescent="0.35">
      <c r="A21" s="24" t="s">
        <v>45</v>
      </c>
      <c r="B21" s="23">
        <f>IFERROR((SUM(WCAG20results[Cognitive])+SUM(WCAG21results[Cognitive])+SUM(WCAG22results[Cognitive]))/(SUM(WCAG20results[Cog Poss])+SUM(WCAG21results[Cog Poss])+SUM(WCAG22results[Cog Poss])),0)</f>
        <v>0</v>
      </c>
      <c r="C21" s="6"/>
    </row>
    <row r="22" spans="1:3" ht="39.9" customHeight="1" x14ac:dyDescent="0.35">
      <c r="A22" s="24" t="s">
        <v>46</v>
      </c>
      <c r="B22" s="23">
        <f>IFERROR((SUM(WCAG20results[Low Vision])+SUM(WCAG21results[Low Vision])+SUM(WCAG22results[Low Vision]))/(SUM(WCAG20results[LV Poss])+SUM(WCAG21results[LV Poss])+SUM(WCAG22results[LV Poss])),0)</f>
        <v>0</v>
      </c>
      <c r="C22" s="6"/>
    </row>
    <row r="23" spans="1:3" ht="39.9" customHeight="1" x14ac:dyDescent="0.35">
      <c r="A23" s="24" t="s">
        <v>47</v>
      </c>
      <c r="B23" s="23">
        <f>IFERROR((SUM(WCAG20results[Hearing])+SUM(WCAG21results[Hearing])+SUM(WCAG22results[Hearing]))/(SUM(WCAG20results[Hear Poss])+SUM(WCAG21results[Hear Poss])+SUM(WCAG22results[Hear Poss])),0)</f>
        <v>0</v>
      </c>
      <c r="C23" s="6"/>
    </row>
    <row r="24" spans="1:3" ht="39.9" customHeight="1" x14ac:dyDescent="0.35">
      <c r="A24" s="24" t="s">
        <v>48</v>
      </c>
      <c r="B24" s="23">
        <f>IFERROR((SUM(WCAG20results[Colorblindness])+SUM(WCAG21results[Colorblindness])+SUM(WCAG22results[Colorblindness]))/(SUM(WCAG20results[CB Poss])+SUM(WCAG21results[CB Poss])+SUM(WCAG22results[CB Poss])),0)</f>
        <v>0</v>
      </c>
      <c r="C24" s="6"/>
    </row>
    <row r="25" spans="1:3" ht="39.9" customHeight="1" x14ac:dyDescent="0.35">
      <c r="A25" s="24" t="s">
        <v>49</v>
      </c>
      <c r="B25" s="23">
        <f>IFERROR((SUM(WCAG20results[Blindness])+SUM(WCAG21results[Blindness])+SUM(WCAG22results[Blindness]))/(SUM(WCAG20results[B Poss])+SUM(WCAG21results[B Poss])+SUM(WCAG22results[B Poss])),0)</f>
        <v>0</v>
      </c>
      <c r="C25" s="6"/>
    </row>
    <row r="26" spans="1:3" ht="39.9" customHeight="1" x14ac:dyDescent="0.35">
      <c r="A26" s="24" t="s">
        <v>50</v>
      </c>
      <c r="B26" s="23">
        <f>IFERROR((SUM(WCAG20results[Epilepsy])+SUM(WCAG21results[Epilepsy])+SUM(WCAG22results[Epilepsy]))/(SUM(WCAG20results[Ep Poss])+SUM(WCAG21results[Ep Poss])+SUM(WCAG22results[Ep Poss])),0)</f>
        <v>0</v>
      </c>
      <c r="C26" s="6"/>
    </row>
  </sheetData>
  <sheetProtection algorithmName="SHA-512" hashValue="GFyKHeJxYGHawQbkSx1U93Zro+ULgQAi2gnfdcHpFVH6xqKBZMXAJ2zxdkXURYju8M2MUF4RYiZyrXCu61xNrw==" saltValue="KKl9QHKBVod95jSY5KB9uA==" spinCount="100000" sheet="1" objects="1" scenarios="1"/>
  <conditionalFormatting sqref="B15">
    <cfRule type="cellIs" dxfId="48" priority="13" operator="greaterThanOrEqual">
      <formula>15615</formula>
    </cfRule>
    <cfRule type="cellIs" dxfId="47" priority="14" operator="between">
      <formula>13012.5</formula>
      <formula>15615</formula>
    </cfRule>
    <cfRule type="cellIs" dxfId="46" priority="15" operator="equal">
      <formula>13012.5</formula>
    </cfRule>
    <cfRule type="cellIs" dxfId="45" priority="16" operator="lessThan">
      <formula>13012.5</formula>
    </cfRule>
  </conditionalFormatting>
  <conditionalFormatting sqref="B16">
    <cfRule type="cellIs" dxfId="44" priority="7" operator="greaterThanOrEqual">
      <formula>17100</formula>
    </cfRule>
    <cfRule type="cellIs" dxfId="43" priority="8" operator="between">
      <formula>14250</formula>
      <formula>17100</formula>
    </cfRule>
    <cfRule type="cellIs" dxfId="42" priority="9" operator="equal">
      <formula>14250</formula>
    </cfRule>
    <cfRule type="cellIs" dxfId="41" priority="10" operator="lessThan">
      <formula>14250</formula>
    </cfRule>
  </conditionalFormatting>
  <conditionalFormatting sqref="B17">
    <cfRule type="cellIs" dxfId="40" priority="22" operator="greaterThanOrEqual">
      <formula>17595</formula>
    </cfRule>
    <cfRule type="cellIs" dxfId="39" priority="23" operator="between">
      <formula>14662.5</formula>
      <formula>17595</formula>
    </cfRule>
    <cfRule type="cellIs" dxfId="38" priority="24" operator="equal">
      <formula>14662.5</formula>
    </cfRule>
    <cfRule type="cellIs" dxfId="37" priority="25" operator="lessThan">
      <formula>14662.5</formula>
    </cfRule>
  </conditionalFormatting>
  <conditionalFormatting sqref="B20:B26">
    <cfRule type="cellIs" dxfId="33" priority="19" operator="lessThanOrEqual">
      <formula>0.74999</formula>
    </cfRule>
    <cfRule type="cellIs" dxfId="32" priority="20" operator="between">
      <formula>0.74999</formula>
      <formula>0.89999999</formula>
    </cfRule>
    <cfRule type="cellIs" dxfId="31" priority="21" operator="greaterThanOrEqual">
      <formula>0.9</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2" operator="containsText" id="{8C6D6B2A-BAF8-4B94-A434-FC41A07F0AEC}">
            <xm:f>NOT(ISERROR(SEARCH("Low",B18)))</xm:f>
            <xm:f>"Low"</xm:f>
            <x14:dxf>
              <fill>
                <patternFill>
                  <bgColor rgb="FFFFCCCC"/>
                </patternFill>
              </fill>
            </x14:dxf>
          </x14:cfRule>
          <x14:cfRule type="containsText" priority="3" operator="containsText" id="{03B91C33-D9EE-46B1-BD1A-6C375A389509}">
            <xm:f>NOT(ISERROR(SEARCH("Medium",B18)))</xm:f>
            <xm:f>"Medium"</xm:f>
            <x14:dxf>
              <fill>
                <patternFill>
                  <bgColor rgb="FFFFF2CC"/>
                </patternFill>
              </fill>
            </x14:dxf>
          </x14:cfRule>
          <x14:cfRule type="containsText" priority="4" operator="containsText" id="{4731E754-CA6F-4C69-B021-8FF77B174433}">
            <xm:f>NOT(ISERROR(SEARCH("High",B18)))</xm:f>
            <xm:f>"High"</xm:f>
            <x14:dxf>
              <fill>
                <patternFill>
                  <bgColor theme="9" tint="0.79998168889431442"/>
                </patternFill>
              </fill>
            </x14:dxf>
          </x14:cfRule>
          <xm:sqref>B18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E32BA95-DFE6-4536-956C-38BC17EA5025}">
          <x14:formula1>
            <xm:f>'Validations List'!$J$3:$P$3</xm:f>
          </x14:formula1>
          <xm:sqref>A20:A26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2A629-11FA-4529-B8CB-1CCBBACFC990}">
  <sheetPr>
    <tabColor rgb="FFC00000"/>
  </sheetPr>
  <dimension ref="A1:D23"/>
  <sheetViews>
    <sheetView workbookViewId="0">
      <selection activeCell="A14" sqref="A14"/>
    </sheetView>
  </sheetViews>
  <sheetFormatPr defaultRowHeight="14.4" x14ac:dyDescent="0.3"/>
  <cols>
    <col min="1" max="1" width="64.6640625" customWidth="1"/>
    <col min="2" max="2" width="36.44140625" customWidth="1"/>
    <col min="3" max="3" width="33.6640625" customWidth="1"/>
    <col min="4" max="4" width="38.6640625" customWidth="1"/>
  </cols>
  <sheetData>
    <row r="1" spans="1:4" ht="60" customHeight="1" x14ac:dyDescent="0.3">
      <c r="A1" s="25" t="s">
        <v>51</v>
      </c>
      <c r="B1" s="26" t="s">
        <v>52</v>
      </c>
      <c r="C1" s="27" t="s">
        <v>53</v>
      </c>
      <c r="D1" s="28" t="s">
        <v>54</v>
      </c>
    </row>
    <row r="2" spans="1:4" ht="40.200000000000003" customHeight="1" x14ac:dyDescent="0.3">
      <c r="A2" s="138" t="s">
        <v>55</v>
      </c>
      <c r="B2" s="139">
        <f>'Findings Overview'!G4*'Validations List'!C113</f>
        <v>0</v>
      </c>
      <c r="C2" s="139">
        <f>'Findings Overview'!G3*'Validations List'!D113+'Findings Overview'!G6*'Validations List'!D113</f>
        <v>0</v>
      </c>
      <c r="D2" s="140"/>
    </row>
    <row r="3" spans="1:4" ht="40.200000000000003" customHeight="1" x14ac:dyDescent="0.3">
      <c r="A3" s="138" t="s">
        <v>56</v>
      </c>
      <c r="B3" s="139">
        <f>'Findings Overview'!H4*'Validations List'!C114</f>
        <v>0</v>
      </c>
      <c r="C3" s="139">
        <f>'Findings Overview'!H3*'Validations List'!D114+'Findings Overview'!H6*'Validations List'!D114</f>
        <v>0</v>
      </c>
      <c r="D3" s="140"/>
    </row>
    <row r="4" spans="1:4" ht="40.200000000000003" customHeight="1" x14ac:dyDescent="0.3">
      <c r="A4" s="138" t="s">
        <v>57</v>
      </c>
      <c r="B4" s="139">
        <f>'Findings Overview'!I4*'Validations List'!C115</f>
        <v>0</v>
      </c>
      <c r="C4" s="139">
        <f>'Findings Overview'!I3*'Validations List'!D115+'Findings Overview'!I6*'Validations List'!D115</f>
        <v>0</v>
      </c>
      <c r="D4" s="140"/>
    </row>
    <row r="5" spans="1:4" ht="40.200000000000003" customHeight="1" x14ac:dyDescent="0.3">
      <c r="A5" s="141" t="s">
        <v>58</v>
      </c>
      <c r="B5" s="142">
        <f>SUM(B2:B4)</f>
        <v>0</v>
      </c>
      <c r="C5" s="144">
        <f>SUM(C2:C4)</f>
        <v>0</v>
      </c>
      <c r="D5" s="143">
        <f>SUM(B5+C5)</f>
        <v>0</v>
      </c>
    </row>
    <row r="6" spans="1:4" ht="15" customHeight="1" x14ac:dyDescent="0.3">
      <c r="A6" s="29"/>
      <c r="B6" s="29"/>
      <c r="C6" s="29"/>
      <c r="D6" s="29"/>
    </row>
    <row r="7" spans="1:4" ht="60" customHeight="1" x14ac:dyDescent="0.3">
      <c r="A7" s="25" t="s">
        <v>59</v>
      </c>
      <c r="B7" s="26" t="s">
        <v>52</v>
      </c>
      <c r="C7" s="27" t="s">
        <v>53</v>
      </c>
      <c r="D7" s="28" t="s">
        <v>54</v>
      </c>
    </row>
    <row r="8" spans="1:4" ht="40.200000000000003" customHeight="1" x14ac:dyDescent="0.3">
      <c r="A8" s="138" t="s">
        <v>55</v>
      </c>
      <c r="B8" s="139">
        <f>'Findings Overview'!G12*'Validations List'!C113</f>
        <v>0</v>
      </c>
      <c r="C8" s="139">
        <f>'Findings Overview'!G11*'Validations List'!D113+'Findings Overview'!G14*'Validations List'!D113</f>
        <v>0</v>
      </c>
      <c r="D8" s="140"/>
    </row>
    <row r="9" spans="1:4" ht="40.200000000000003" customHeight="1" x14ac:dyDescent="0.3">
      <c r="A9" s="138" t="s">
        <v>56</v>
      </c>
      <c r="B9" s="139">
        <f>'Findings Overview'!H12*'Validations List'!C114</f>
        <v>0</v>
      </c>
      <c r="C9" s="139">
        <f>'Findings Overview'!H11*'Validations List'!D114+'Findings Overview'!H14*'Validations List'!D114</f>
        <v>0</v>
      </c>
      <c r="D9" s="140"/>
    </row>
    <row r="10" spans="1:4" ht="40.200000000000003" customHeight="1" x14ac:dyDescent="0.3">
      <c r="A10" s="138" t="s">
        <v>57</v>
      </c>
      <c r="B10" s="139">
        <f>'Findings Overview'!I12*'Validations List'!C115</f>
        <v>0</v>
      </c>
      <c r="C10" s="139">
        <f>'Findings Overview'!I11*'Validations List'!D115+'Findings Overview'!I14*'Validations List'!D115</f>
        <v>0</v>
      </c>
      <c r="D10" s="140"/>
    </row>
    <row r="11" spans="1:4" ht="40.200000000000003" customHeight="1" x14ac:dyDescent="0.3">
      <c r="A11" s="141" t="s">
        <v>58</v>
      </c>
      <c r="B11" s="142">
        <f>SUM(B8:B10)</f>
        <v>0</v>
      </c>
      <c r="C11" s="144">
        <f>SUM(C8:C10)</f>
        <v>0</v>
      </c>
      <c r="D11" s="143">
        <f>SUM(B11+C11)</f>
        <v>0</v>
      </c>
    </row>
    <row r="12" spans="1:4" ht="13.2" customHeight="1" x14ac:dyDescent="0.3">
      <c r="A12" s="29"/>
      <c r="B12" s="29"/>
      <c r="C12" s="29"/>
      <c r="D12" s="29"/>
    </row>
    <row r="13" spans="1:4" ht="62.4" customHeight="1" x14ac:dyDescent="0.3">
      <c r="A13" s="25" t="s">
        <v>60</v>
      </c>
      <c r="B13" s="26" t="s">
        <v>52</v>
      </c>
      <c r="C13" s="27" t="s">
        <v>53</v>
      </c>
      <c r="D13" s="28" t="s">
        <v>54</v>
      </c>
    </row>
    <row r="14" spans="1:4" ht="40.200000000000003" customHeight="1" x14ac:dyDescent="0.3">
      <c r="A14" s="138" t="s">
        <v>55</v>
      </c>
      <c r="B14" s="139">
        <f>'Findings Overview'!G20*'Validations List'!C113</f>
        <v>0</v>
      </c>
      <c r="C14" s="139">
        <f>'Findings Overview'!G19*'Validations List'!D113+'Findings Overview'!G22*'Validations List'!D113</f>
        <v>0</v>
      </c>
      <c r="D14" s="140"/>
    </row>
    <row r="15" spans="1:4" ht="40.200000000000003" customHeight="1" x14ac:dyDescent="0.3">
      <c r="A15" s="138" t="s">
        <v>56</v>
      </c>
      <c r="B15" s="139">
        <f>'Findings Overview'!H20*'Validations List'!C114</f>
        <v>0</v>
      </c>
      <c r="C15" s="139">
        <f>'Findings Overview'!H19*'Validations List'!D114+'Findings Overview'!H22*'Validations List'!D114</f>
        <v>0</v>
      </c>
      <c r="D15" s="140"/>
    </row>
    <row r="16" spans="1:4" ht="34.200000000000003" customHeight="1" x14ac:dyDescent="0.3">
      <c r="A16" s="138" t="s">
        <v>57</v>
      </c>
      <c r="B16" s="139">
        <f>'Findings Overview'!I20*'Validations List'!C115</f>
        <v>0</v>
      </c>
      <c r="C16" s="139">
        <f>'Findings Overview'!I19*'Validations List'!D115+'Findings Overview'!I22*'Validations List'!D115</f>
        <v>0</v>
      </c>
      <c r="D16" s="140"/>
    </row>
    <row r="17" spans="1:4" ht="37.200000000000003" customHeight="1" x14ac:dyDescent="0.3">
      <c r="A17" s="141" t="s">
        <v>58</v>
      </c>
      <c r="B17" s="142">
        <f>SUM(B14:B16)</f>
        <v>0</v>
      </c>
      <c r="C17" s="142">
        <f>SUM(C14:C16)</f>
        <v>0</v>
      </c>
      <c r="D17" s="143">
        <f>SUM(B17+C17)</f>
        <v>0</v>
      </c>
    </row>
    <row r="18" spans="1:4" x14ac:dyDescent="0.3">
      <c r="A18" s="29"/>
      <c r="B18" s="29"/>
      <c r="C18" s="29"/>
      <c r="D18" s="29"/>
    </row>
    <row r="19" spans="1:4" ht="45.6" x14ac:dyDescent="0.3">
      <c r="A19" s="25" t="s">
        <v>61</v>
      </c>
      <c r="B19" s="26" t="s">
        <v>52</v>
      </c>
      <c r="C19" s="27" t="s">
        <v>53</v>
      </c>
      <c r="D19" s="28" t="s">
        <v>54</v>
      </c>
    </row>
    <row r="20" spans="1:4" ht="31.2" customHeight="1" x14ac:dyDescent="0.3">
      <c r="A20" s="138" t="s">
        <v>55</v>
      </c>
      <c r="B20" s="139">
        <f>'Findings Overview'!G28*'Validations List'!C113</f>
        <v>0</v>
      </c>
      <c r="C20" s="139">
        <f>'Findings Overview'!G27*'Validations List'!D113+'Findings Overview'!G30*'Validations List'!D113</f>
        <v>0</v>
      </c>
      <c r="D20" s="140"/>
    </row>
    <row r="21" spans="1:4" ht="31.2" customHeight="1" x14ac:dyDescent="0.3">
      <c r="A21" s="138" t="s">
        <v>56</v>
      </c>
      <c r="B21" s="139">
        <f>'Findings Overview'!H28*'Validations List'!C114</f>
        <v>0</v>
      </c>
      <c r="C21" s="139">
        <f>'Findings Overview'!H27*'Validations List'!D114+'Findings Overview'!H30*'Validations List'!D114</f>
        <v>0</v>
      </c>
      <c r="D21" s="140"/>
    </row>
    <row r="22" spans="1:4" ht="34.200000000000003" customHeight="1" x14ac:dyDescent="0.3">
      <c r="A22" s="138" t="s">
        <v>57</v>
      </c>
      <c r="B22" s="139">
        <f>'Findings Overview'!I28*'Validations List'!C115</f>
        <v>0</v>
      </c>
      <c r="C22" s="139">
        <f>'Findings Overview'!I27*'Validations List'!D115+'Findings Overview'!I30*'Validations List'!D115</f>
        <v>0</v>
      </c>
      <c r="D22" s="140"/>
    </row>
    <row r="23" spans="1:4" ht="40.200000000000003" customHeight="1" x14ac:dyDescent="0.3">
      <c r="A23" s="141" t="s">
        <v>58</v>
      </c>
      <c r="B23" s="142">
        <f>SUM(B20:B22)</f>
        <v>0</v>
      </c>
      <c r="C23" s="142">
        <f>SUM(C20:C22)</f>
        <v>0</v>
      </c>
      <c r="D23" s="143">
        <f>SUM(B23+C23)</f>
        <v>0</v>
      </c>
    </row>
  </sheetData>
  <sheetProtection algorithmName="SHA-512" hashValue="l+XFrJVLKQ5nU49KZvyubJULgNSnH6EPGmIAA8yP7LFEriS/xZ0+xRYDSBbVR7AraTDR1QWlde84e2j5fu2S3A==" saltValue="j3tZvsniSrXjb+iQQhZ8gQ==" spinCount="100000" sheet="1" objects="1" scenarios="1"/>
  <conditionalFormatting sqref="D5">
    <cfRule type="cellIs" dxfId="30" priority="5" operator="lessThan">
      <formula>13012.5</formula>
    </cfRule>
    <cfRule type="cellIs" dxfId="29" priority="6" operator="equal">
      <formula>13012.5</formula>
    </cfRule>
    <cfRule type="cellIs" dxfId="28" priority="7" operator="between">
      <formula>13012.5</formula>
      <formula>15615</formula>
    </cfRule>
    <cfRule type="cellIs" dxfId="27" priority="8" operator="greaterThanOrEqual">
      <formula>15615</formula>
    </cfRule>
  </conditionalFormatting>
  <conditionalFormatting sqref="D11">
    <cfRule type="cellIs" dxfId="26" priority="9" operator="lessThan">
      <formula>14250</formula>
    </cfRule>
    <cfRule type="cellIs" dxfId="25" priority="10" operator="equal">
      <formula>14250</formula>
    </cfRule>
    <cfRule type="cellIs" dxfId="24" priority="11" operator="between">
      <formula>14250</formula>
      <formula>17100</formula>
    </cfRule>
    <cfRule type="cellIs" dxfId="23" priority="12" operator="greaterThanOrEqual">
      <formula>17100</formula>
    </cfRule>
  </conditionalFormatting>
  <conditionalFormatting sqref="D17">
    <cfRule type="cellIs" dxfId="22" priority="1" operator="greaterThanOrEqual">
      <formula>17595</formula>
    </cfRule>
    <cfRule type="cellIs" dxfId="21" priority="2" operator="equal">
      <formula>14662.5</formula>
    </cfRule>
    <cfRule type="cellIs" dxfId="20" priority="3" operator="between">
      <formula>14662.5</formula>
      <formula>17595</formula>
    </cfRule>
    <cfRule type="cellIs" dxfId="19" priority="4" operator="lessThan">
      <formula>14662.5</formula>
    </cfRule>
  </conditionalFormatting>
  <pageMargins left="0.7" right="0.7" top="0.75" bottom="0.75" header="0.3" footer="0.3"/>
  <ignoredErrors>
    <ignoredError sqref="B8 B10:B11 B14:B17 B20:B23" calculatedColumn="1"/>
  </ignoredErrors>
  <tableParts count="4">
    <tablePart r:id="rId1"/>
    <tablePart r:id="rId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9BA891C7-41CF-453D-A60A-FE6D47A9B7F7}">
          <x14:formula1>
            <xm:f>'Validations List'!$A$120:$C$120</xm:f>
          </x14:formula1>
          <xm:sqref>A2:A4 A8:A10 A14:A16 A20:A22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80AFF-E1B7-4D68-A549-A4A3EAAEFF09}">
  <sheetPr>
    <tabColor rgb="FFC00000"/>
  </sheetPr>
  <dimension ref="A1:J31"/>
  <sheetViews>
    <sheetView workbookViewId="0">
      <selection activeCell="L13" sqref="L13"/>
    </sheetView>
  </sheetViews>
  <sheetFormatPr defaultRowHeight="14.4" x14ac:dyDescent="0.3"/>
  <cols>
    <col min="1" max="1" width="37.44140625" customWidth="1"/>
    <col min="2" max="2" width="12.6640625" customWidth="1"/>
    <col min="3" max="3" width="14.33203125" customWidth="1"/>
    <col min="4" max="4" width="13.88671875" customWidth="1"/>
    <col min="5" max="5" width="13.44140625" customWidth="1"/>
    <col min="6" max="6" width="25.33203125" customWidth="1"/>
    <col min="7" max="7" width="27.5546875" customWidth="1"/>
    <col min="8" max="8" width="26.5546875" customWidth="1"/>
    <col min="9" max="9" width="19.88671875" customWidth="1"/>
  </cols>
  <sheetData>
    <row r="1" spans="1:10" ht="28.8" x14ac:dyDescent="0.55000000000000004">
      <c r="A1" s="162" t="s">
        <v>62</v>
      </c>
      <c r="B1" s="163"/>
      <c r="C1" s="162" t="s">
        <v>63</v>
      </c>
      <c r="D1" s="163"/>
      <c r="E1" s="163"/>
      <c r="F1" s="163"/>
      <c r="G1" s="162" t="s">
        <v>64</v>
      </c>
      <c r="H1" s="163"/>
      <c r="I1" s="163"/>
      <c r="J1" s="7"/>
    </row>
    <row r="2" spans="1:10" ht="30" customHeight="1" x14ac:dyDescent="0.35">
      <c r="A2" s="145" t="s">
        <v>65</v>
      </c>
      <c r="B2" s="30" t="s">
        <v>66</v>
      </c>
      <c r="C2" s="30" t="s">
        <v>67</v>
      </c>
      <c r="D2" s="30" t="s">
        <v>68</v>
      </c>
      <c r="E2" s="30" t="s">
        <v>69</v>
      </c>
      <c r="F2" s="30" t="s">
        <v>70</v>
      </c>
      <c r="G2" s="30" t="s">
        <v>71</v>
      </c>
      <c r="H2" s="30" t="s">
        <v>56</v>
      </c>
      <c r="I2" s="30" t="s">
        <v>57</v>
      </c>
      <c r="J2" s="1"/>
    </row>
    <row r="3" spans="1:10" ht="30" customHeight="1" x14ac:dyDescent="0.35">
      <c r="A3" s="145" t="s">
        <v>72</v>
      </c>
      <c r="B3" s="30">
        <f>SUMIF('Findings Breakdown'!B2:B62,"&lt;&gt;AAA",'Findings Breakdown'!C2:C62)</f>
        <v>0</v>
      </c>
      <c r="C3" s="30">
        <f>COUNTIFS('Report Entry'!I26:I207,"2.0",'Report Entry'!J26:J207, "&lt;&gt;AAA",'Report Entry'!B26:B207,'Findings Overview'!A3,'Report Entry'!C26:C207,'Findings Overview'!C2)+COUNTIFS('Custom Test Script'!J2:J200,"2.0",'Custom Test Script'!K2:K200, "&lt;&gt;AAA",'Custom Test Script'!D2:D200,'Findings Overview'!A3,'Custom Test Script'!E2:E200,'Findings Overview'!C2)</f>
        <v>0</v>
      </c>
      <c r="D3" s="30">
        <f>COUNTIFS('Report Entry'!I26:I207,"2.0",'Report Entry'!J26:J207, "&lt;&gt;AAA",'Report Entry'!B26:B207,'Findings Overview'!A3,'Report Entry'!C26:C207,'Findings Overview'!D2)+COUNTIFS('Custom Test Script'!J2:J200,"2.0",'Custom Test Script'!K2:K200, "&lt;&gt;AAA",'Custom Test Script'!D2:D200,'Findings Overview'!A3,'Custom Test Script'!E2:E200,'Findings Overview'!D2)</f>
        <v>0</v>
      </c>
      <c r="E3" s="30">
        <f>COUNTIFS('Report Entry'!I26:I207,"2.0",'Report Entry'!J26:J207, "&lt;&gt;AAA",'Report Entry'!B26:B207,'Findings Overview'!A3,'Report Entry'!C26:C207,'Findings Overview'!E2)+COUNTIFS('Custom Test Script'!J2:J200,"2.0",'Custom Test Script'!K2:K200, "&lt;&gt;AAA",'Custom Test Script'!D2:D200,'Findings Overview'!A3,'Custom Test Script'!E2:E200,'Findings Overview'!E2)</f>
        <v>0</v>
      </c>
      <c r="F3" s="30">
        <f>COUNTIFS('Report Entry'!I26:I207,"2.0",'Report Entry'!J26:J207, "&lt;&gt;AAA",'Report Entry'!B26:B207,'Findings Overview'!A3,'Report Entry'!C26:C207,'Findings Overview'!F2)+COUNTIFS('Custom Test Script'!J2:J200,"2.0",'Custom Test Script'!K2:K200, "&lt;&gt;AAA",'Custom Test Script'!D2:D200,'Findings Overview'!A3,'Custom Test Script'!E2:E200,'Findings Overview'!F2)</f>
        <v>0</v>
      </c>
      <c r="G3" s="30">
        <f>SUMIFS('Findings Breakdown'!C2:C62,'Findings Breakdown'!B2:B62,"&lt;&gt;AAA",'Findings Breakdown'!H2:H62,'Findings Overview'!G2)</f>
        <v>0</v>
      </c>
      <c r="H3" s="30">
        <f>SUMIFS('Findings Breakdown'!C2:C62,'Findings Breakdown'!B2:B62,"&lt;&gt;AAA",'Findings Breakdown'!H2:H62,'Findings Overview'!H2)</f>
        <v>0</v>
      </c>
      <c r="I3" s="30">
        <f>SUMIFS('Findings Breakdown'!C2:C62,'Findings Breakdown'!B2:B62,"&lt;&gt;AAA",'Findings Breakdown'!H2:H62,'Findings Overview'!I2)</f>
        <v>0</v>
      </c>
    </row>
    <row r="4" spans="1:10" ht="30" customHeight="1" x14ac:dyDescent="0.35">
      <c r="A4" s="145" t="s">
        <v>73</v>
      </c>
      <c r="B4" s="30">
        <f>SUMIF('Findings Breakdown'!B2:B62,"&lt;&gt;AAA",'Findings Breakdown'!D2:D62)</f>
        <v>0</v>
      </c>
      <c r="C4" s="30">
        <f>COUNTIFS('Report Entry'!I26:I207,"2.0",'Report Entry'!J26:J207, "&lt;&gt;AAA",'Report Entry'!B26:B207,'Findings Overview'!A4,'Report Entry'!C26:C207,'Findings Overview'!C2)+COUNTIFS('Custom Test Script'!J2:J200,"2.0",'Custom Test Script'!K2:K200, "&lt;&gt;AAA",'Custom Test Script'!D2:D200,'Findings Overview'!A4,'Custom Test Script'!E2:E200,'Findings Overview'!C2)</f>
        <v>0</v>
      </c>
      <c r="D4" s="30">
        <f>COUNTIFS('Report Entry'!I26:I207,"2.0",'Report Entry'!J26:J207, "&lt;&gt;AAA",'Report Entry'!B26:B207,'Findings Overview'!A4,'Report Entry'!C26:C207,'Findings Overview'!D2)+COUNTIFS('Custom Test Script'!J2:J200,"2.0",'Custom Test Script'!K2:K200, "&lt;&gt;AAA",'Custom Test Script'!D2:D200,'Findings Overview'!A4,'Custom Test Script'!E2:E200,'Findings Overview'!D2)</f>
        <v>0</v>
      </c>
      <c r="E4" s="30">
        <f>COUNTIFS('Report Entry'!I26:I207,"2.0",'Report Entry'!J26:J207, "&lt;&gt;AAA",'Report Entry'!B26:B207,'Findings Overview'!A4,'Report Entry'!C26:C207,'Findings Overview'!E2)+COUNTIFS('Custom Test Script'!J2:J200,"2.0",'Custom Test Script'!K2:K200, "&lt;&gt;AAA",'Custom Test Script'!D2:D200,'Findings Overview'!A4,'Custom Test Script'!E2:E200,'Findings Overview'!E2)</f>
        <v>0</v>
      </c>
      <c r="F4" s="30">
        <f>COUNTIFS('Report Entry'!I26:I207,"2.0",'Report Entry'!J26:J207, "&lt;&gt;AAA",'Report Entry'!B26:B207,'Findings Overview'!A4,'Report Entry'!C26:C207,'Findings Overview'!F2)+COUNTIFS('Custom Test Script'!J2:J200,"2.0",'Custom Test Script'!K2:K200, "&lt;&gt;AAA",'Custom Test Script'!D2:D200,'Findings Overview'!A4,'Custom Test Script'!E2:E200,'Findings Overview'!F2)</f>
        <v>0</v>
      </c>
      <c r="G4" s="30">
        <f>SUMIFS('Findings Breakdown'!D2:D62,'Findings Breakdown'!B2:B62,"&lt;&gt;AAA",'Findings Breakdown'!H2:H62,'Findings Overview'!G2)</f>
        <v>0</v>
      </c>
      <c r="H4" s="30">
        <f>SUMIFS('Findings Breakdown'!D2:D62,'Findings Breakdown'!B2:B62,"&lt;&gt;AAA",'Findings Breakdown'!H2:H62,'Findings Overview'!H2)</f>
        <v>0</v>
      </c>
      <c r="I4" s="30">
        <f>SUMIFS('Findings Breakdown'!D2:D62,'Findings Breakdown'!B2:B62,"&lt;&gt;AAA",'Findings Breakdown'!H2:H62,'Findings Overview'!I2)</f>
        <v>0</v>
      </c>
    </row>
    <row r="5" spans="1:10" ht="30" customHeight="1" x14ac:dyDescent="0.35">
      <c r="A5" s="145" t="s">
        <v>74</v>
      </c>
      <c r="B5" s="30">
        <f>SUMIF('Findings Breakdown'!B2:B62,"&lt;&gt;AAA",'Findings Breakdown'!E2:E62)</f>
        <v>0</v>
      </c>
      <c r="C5" s="30">
        <f>COUNTIFS('Report Entry'!I26:I207,"2.0",'Report Entry'!J26:J207, "&lt;&gt;AAA",'Report Entry'!B26:B207,'Findings Overview'!A5,'Report Entry'!C26:C207,'Findings Overview'!C2)+COUNTIFS('Custom Test Script'!J2:J200,"2.0",'Custom Test Script'!K2:K200, "&lt;&gt;AAA",'Custom Test Script'!D2:D200,'Findings Overview'!A5,'Custom Test Script'!E2:E200,'Findings Overview'!C2)</f>
        <v>0</v>
      </c>
      <c r="D5" s="30">
        <f>COUNTIFS('Report Entry'!I26:I207,"2.0",'Report Entry'!J26:J207, "&lt;&gt;AAA",'Report Entry'!B26:B207,'Findings Overview'!A5,'Report Entry'!C26:C207,'Findings Overview'!D2)+COUNTIFS('Custom Test Script'!J2:J200,"2.0",'Custom Test Script'!K2:K200, "&lt;&gt;AAA",'Custom Test Script'!D2:D200,'Findings Overview'!A5,'Custom Test Script'!E2:E200,'Findings Overview'!D2)</f>
        <v>0</v>
      </c>
      <c r="E5" s="30">
        <f>COUNTIFS('Report Entry'!I26:I207,"2.0",'Report Entry'!J26:J207, "&lt;&gt;AAA",'Report Entry'!B26:B207,'Findings Overview'!A5,'Report Entry'!C26:C207,'Findings Overview'!E2)+COUNTIFS('Custom Test Script'!J2:J200,"2.0",'Custom Test Script'!K2:K200, "&lt;&gt;AAA",'Custom Test Script'!D2:D200,'Findings Overview'!A5,'Custom Test Script'!E2:E200,'Findings Overview'!E2)</f>
        <v>0</v>
      </c>
      <c r="F5" s="30">
        <f>COUNTIFS('Report Entry'!I26:I207,"2.0",'Report Entry'!J26:J207, "&lt;&gt;AAA",'Report Entry'!B26:B207,'Findings Overview'!A5,'Report Entry'!C26:C207,'Findings Overview'!F2)+COUNTIFS('Custom Test Script'!J2:J200,"2.0",'Custom Test Script'!K2:K200, "&lt;&gt;AAA",'Custom Test Script'!D2:D200,'Findings Overview'!A5,'Custom Test Script'!E2:E200,'Findings Overview'!F2)</f>
        <v>0</v>
      </c>
      <c r="G5" s="30">
        <f>SUMIFS('Findings Breakdown'!E2:E62,'Findings Breakdown'!B2:B62,"&lt;&gt;AAA",'Findings Breakdown'!H2:H62,'Findings Overview'!G2)</f>
        <v>0</v>
      </c>
      <c r="H5" s="30">
        <f>SUMIFS('Findings Breakdown'!E2:E62,'Findings Breakdown'!B2:B62,"&lt;&gt;AAA",'Findings Breakdown'!H2:H62,'Findings Overview'!H2)</f>
        <v>0</v>
      </c>
      <c r="I5" s="30">
        <f>SUMIFS('Findings Breakdown'!E2:E62,'Findings Breakdown'!B2:B62,"&lt;&gt;AAA",'Findings Breakdown'!H2:H62,'Findings Overview'!I2)</f>
        <v>0</v>
      </c>
    </row>
    <row r="6" spans="1:10" ht="30" customHeight="1" x14ac:dyDescent="0.35">
      <c r="A6" s="145" t="s">
        <v>75</v>
      </c>
      <c r="B6" s="30">
        <f>SUMIF('Findings Breakdown'!B2:B62,"&lt;&gt;AAA",'Findings Breakdown'!F2:F62)</f>
        <v>0</v>
      </c>
      <c r="C6" s="30">
        <f>COUNTIFS('Report Entry'!I26:I207,"2.0",'Report Entry'!J26:J207, "&lt;&gt;AAA",'Report Entry'!B26:B207,'Findings Overview'!A6,'Report Entry'!C26:C207,'Findings Overview'!C2)+COUNTIFS('Custom Test Script'!J2:J200,"2.0",'Custom Test Script'!K2:K200, "&lt;&gt;AAA",'Custom Test Script'!D2:D200,'Findings Overview'!A6,'Custom Test Script'!E2:E200,'Findings Overview'!C2)</f>
        <v>0</v>
      </c>
      <c r="D6" s="30">
        <f>COUNTIFS('Report Entry'!I26:I207,"2.0",'Report Entry'!J26:J207, "&lt;&gt;AAA",'Report Entry'!B26:B207,'Findings Overview'!A6,'Report Entry'!C26:C207,'Findings Overview'!D2)+COUNTIFS('Custom Test Script'!J2:J200,"2.0",'Custom Test Script'!K2:K200, "&lt;&gt;AAA",'Custom Test Script'!D2:D200,'Findings Overview'!A6,'Custom Test Script'!E2:E200,'Findings Overview'!D2)</f>
        <v>0</v>
      </c>
      <c r="E6" s="30">
        <f>COUNTIFS('Report Entry'!I26:I207,"2.0",'Report Entry'!J26:J207, "&lt;&gt;AAA",'Report Entry'!B26:B207,'Findings Overview'!A6,'Report Entry'!C26:C207,'Findings Overview'!E2)+COUNTIFS('Custom Test Script'!J2:J200,"2.0",'Custom Test Script'!K2:K200, "&lt;&gt;AAA",'Custom Test Script'!D2:D200,'Findings Overview'!A6,'Custom Test Script'!E2:E200,'Findings Overview'!E2)</f>
        <v>0</v>
      </c>
      <c r="F6" s="30">
        <f>COUNTIFS('Report Entry'!I26:I207,"2.0",'Report Entry'!J26:J207, "&lt;&gt;AAA",'Report Entry'!B26:B207,'Findings Overview'!A6,'Report Entry'!C26:C207,'Findings Overview'!F2)+COUNTIFS('Custom Test Script'!J2:J200,"2.0",'Custom Test Script'!K2:K200, "&lt;&gt;AAA",'Custom Test Script'!D2:D200,'Findings Overview'!A6,'Custom Test Script'!E2:E200,'Findings Overview'!F2)</f>
        <v>0</v>
      </c>
      <c r="G6" s="30">
        <f>SUMIFS('Findings Breakdown'!F2:F62,'Findings Breakdown'!B2:B62,"&lt;&gt;AAA",'Findings Breakdown'!H2:H62,'Findings Overview'!G2)</f>
        <v>0</v>
      </c>
      <c r="H6" s="30">
        <f>SUMIFS('Findings Breakdown'!F2:F62,'Findings Breakdown'!B2:B62,"&lt;&gt;AAA",'Findings Breakdown'!H2:H62,'Findings Overview'!H2)</f>
        <v>0</v>
      </c>
      <c r="I6" s="30">
        <f>SUMIFS('Findings Breakdown'!F2:F62,'Findings Breakdown'!B2:B62,"&lt;&gt;AAA",'Findings Breakdown'!H2:H62,'Findings Overview'!I2)</f>
        <v>0</v>
      </c>
    </row>
    <row r="7" spans="1:10" ht="30" customHeight="1" x14ac:dyDescent="0.35">
      <c r="A7" s="145" t="s">
        <v>76</v>
      </c>
      <c r="B7" s="30">
        <f>SUMIF('Findings Breakdown'!B2:B62,"&lt;&gt;AAA",'Findings Breakdown'!G2:G62)</f>
        <v>0</v>
      </c>
      <c r="C7" s="30">
        <f>COUNTIFS('Report Entry'!I26:I207,"2.0",'Report Entry'!J26:J207, "&lt;&gt;AAA",'Report Entry'!B26:B207,'Findings Overview'!A7,'Report Entry'!C26:C207,'Findings Overview'!C2)+COUNTIFS('Custom Test Script'!J2:J200,"2.0",'Custom Test Script'!K2:K200, "&lt;&gt;AAA",'Custom Test Script'!D2:D200,'Findings Overview'!A7,'Custom Test Script'!E2:E200,'Findings Overview'!C2)</f>
        <v>0</v>
      </c>
      <c r="D7" s="30">
        <f>COUNTIFS('Report Entry'!I26:I207,"2.0",'Report Entry'!J26:J207, "&lt;&gt;AAA",'Report Entry'!B26:B207,'Findings Overview'!A7,'Report Entry'!C26:C207,'Findings Overview'!D2)+COUNTIFS('Custom Test Script'!J2:J200,"2.0",'Custom Test Script'!K2:K200, "&lt;&gt;AAA",'Custom Test Script'!D2:D200,'Findings Overview'!A7,'Custom Test Script'!E2:E200,'Findings Overview'!D2)</f>
        <v>0</v>
      </c>
      <c r="E7" s="30">
        <f>COUNTIFS('Report Entry'!I26:I207,"2.0",'Report Entry'!J26:J207, "&lt;&gt;AAA",'Report Entry'!B26:B207,'Findings Overview'!A7,'Report Entry'!C26:C207,'Findings Overview'!E2)+COUNTIFS('Custom Test Script'!J2:J200,"2.0",'Custom Test Script'!K2:K200, "&lt;&gt;AAA",'Custom Test Script'!D2:D200,'Findings Overview'!A7,'Custom Test Script'!E2:E200,'Findings Overview'!E2)</f>
        <v>0</v>
      </c>
      <c r="F7" s="30">
        <f>COUNTIFS('Report Entry'!I26:I207,"2.0",'Report Entry'!J26:J207, "&lt;&gt;AAA",'Report Entry'!B26:B207,'Findings Overview'!A7,'Report Entry'!C26:C207,'Findings Overview'!F2)+COUNTIFS('Custom Test Script'!J2:J200,"2.0",'Custom Test Script'!K2:K200, "&lt;&gt;AAA",'Custom Test Script'!D2:D200,'Findings Overview'!A7,'Custom Test Script'!E2:E200,'Findings Overview'!F2)</f>
        <v>0</v>
      </c>
      <c r="G7" s="30">
        <f>SUMIFS('Findings Breakdown'!G2:G62,'Findings Breakdown'!B2:B62,"&lt;&gt;AAA",'Findings Breakdown'!H2:H62,'Findings Overview'!G2)</f>
        <v>0</v>
      </c>
      <c r="H7" s="30">
        <f>SUMIFS('Findings Breakdown'!G2:G62,'Findings Breakdown'!B2:B62,"&lt;&gt;AAA",'Findings Breakdown'!H2:H62,'Findings Overview'!H2)</f>
        <v>0</v>
      </c>
      <c r="I7" s="30">
        <f>SUMIFS('Findings Breakdown'!G2:G62,'Findings Breakdown'!B2:B62,"&lt;&gt;AAA",'Findings Breakdown'!H2:H62,'Findings Overview'!I2)</f>
        <v>0</v>
      </c>
    </row>
    <row r="8" spans="1:10" x14ac:dyDescent="0.3">
      <c r="A8" s="29"/>
      <c r="B8" s="29"/>
      <c r="C8" s="29"/>
      <c r="D8" s="29"/>
      <c r="E8" s="29"/>
      <c r="F8" s="29"/>
      <c r="G8" s="29"/>
      <c r="H8" s="29"/>
      <c r="I8" s="29"/>
    </row>
    <row r="9" spans="1:10" ht="30" customHeight="1" x14ac:dyDescent="0.4">
      <c r="A9" s="162" t="s">
        <v>77</v>
      </c>
      <c r="B9" s="163"/>
      <c r="C9" s="162" t="s">
        <v>63</v>
      </c>
      <c r="D9" s="163"/>
      <c r="E9" s="163"/>
      <c r="F9" s="163"/>
      <c r="G9" s="162" t="s">
        <v>64</v>
      </c>
      <c r="H9" s="163"/>
      <c r="I9" s="163"/>
    </row>
    <row r="10" spans="1:10" ht="30" customHeight="1" x14ac:dyDescent="0.35">
      <c r="A10" s="145" t="s">
        <v>65</v>
      </c>
      <c r="B10" s="30" t="s">
        <v>66</v>
      </c>
      <c r="C10" s="30" t="s">
        <v>67</v>
      </c>
      <c r="D10" s="30" t="s">
        <v>68</v>
      </c>
      <c r="E10" s="30" t="s">
        <v>69</v>
      </c>
      <c r="F10" s="30" t="s">
        <v>70</v>
      </c>
      <c r="G10" s="30" t="s">
        <v>71</v>
      </c>
      <c r="H10" s="30" t="s">
        <v>56</v>
      </c>
      <c r="I10" s="30" t="s">
        <v>57</v>
      </c>
    </row>
    <row r="11" spans="1:10" ht="30" customHeight="1" x14ac:dyDescent="0.35">
      <c r="A11" s="145" t="s">
        <v>72</v>
      </c>
      <c r="B11" s="30">
        <f>B3+SUMIF('Findings Breakdown'!B66:B82,"&lt;&gt;AAA",'Findings Breakdown'!C66:C82)</f>
        <v>0</v>
      </c>
      <c r="C11" s="30">
        <f>C3+COUNTIFS('Report Entry'!I26:I207,"2.1",'Report Entry'!J26:J207, "&lt;&gt;AAA",'Report Entry'!B26:B207,'Findings Overview'!A11,'Report Entry'!C26:C207,'Findings Overview'!C10)+COUNTIFS('Custom Test Script'!J2:J200,"2.1",'Custom Test Script'!K2:K200, "&lt;&gt;AAA",'Custom Test Script'!D2:D200,'Findings Overview'!A11,'Custom Test Script'!E2:E200,'Findings Overview'!C10)</f>
        <v>0</v>
      </c>
      <c r="D11" s="30">
        <f>D3+COUNTIFS('Report Entry'!I26:I207,"2.1",'Report Entry'!J26:J207, "&lt;&gt;AAA",'Report Entry'!B26:B207,'Findings Overview'!A11,'Report Entry'!C26:C207,'Findings Overview'!D10)+COUNTIFS('Custom Test Script'!J2:J200,"2.1",'Custom Test Script'!K2:K200, "&lt;&gt;AAA",'Custom Test Script'!D2:D200,'Findings Overview'!A11,'Custom Test Script'!E2:E200,'Findings Overview'!D10)</f>
        <v>0</v>
      </c>
      <c r="E11" s="30">
        <f>E3+COUNTIFS('Report Entry'!I26:I207,"2.1",'Report Entry'!J26:J207, "&lt;&gt;AAA",'Report Entry'!B26:B207,'Findings Overview'!A11,'Report Entry'!C26:C207,'Findings Overview'!E10)+COUNTIFS('Custom Test Script'!J2:J200,"2.1",'Custom Test Script'!K2:K200, "&lt;&gt;AAA",'Custom Test Script'!D2:D200,'Findings Overview'!A11,'Custom Test Script'!E2:E200,'Findings Overview'!E10)</f>
        <v>0</v>
      </c>
      <c r="F11" s="30">
        <f>F3+COUNTIFS('Report Entry'!I26:I207,"2.1",'Report Entry'!J26:J207, "&lt;&gt;AAA",'Report Entry'!B26:B207,'Findings Overview'!A11,'Report Entry'!C26:C207,'Findings Overview'!F10)+COUNTIFS('Custom Test Script'!J2:J200,"2.1",'Custom Test Script'!K2:K200, "&lt;&gt;AAA",'Custom Test Script'!D2:D200,'Findings Overview'!A11,'Custom Test Script'!E2:E200,'Findings Overview'!F10)</f>
        <v>0</v>
      </c>
      <c r="G11" s="30">
        <f>G3+SUMIFS('Findings Breakdown'!C66:C82,'Findings Breakdown'!B66:B82,"&lt;&gt;AAA",'Findings Breakdown'!H66:H82,'Findings Overview'!G10)</f>
        <v>0</v>
      </c>
      <c r="H11" s="30">
        <f>H3+SUMIFS('Findings Breakdown'!C66:C82,'Findings Breakdown'!B66:B82,"&lt;&gt;AAA",'Findings Breakdown'!H66:H82,'Findings Overview'!H10)</f>
        <v>0</v>
      </c>
      <c r="I11" s="30">
        <f>I3+SUMIFS('Findings Breakdown'!C66:C82,'Findings Breakdown'!B66:B82,"&lt;&gt;AAA",'Findings Breakdown'!H66:H82,'Findings Overview'!I10)</f>
        <v>0</v>
      </c>
    </row>
    <row r="12" spans="1:10" ht="30" customHeight="1" x14ac:dyDescent="0.35">
      <c r="A12" s="145" t="s">
        <v>73</v>
      </c>
      <c r="B12" s="30">
        <f>B4+SUMIF('Findings Breakdown'!B66:B82,"&lt;&gt;AAA",'Findings Breakdown'!D66:D82)</f>
        <v>0</v>
      </c>
      <c r="C12" s="30">
        <f>C4+COUNTIFS('Report Entry'!I26:I207,"2.1",'Report Entry'!J26:J207, "&lt;&gt;AAA",'Report Entry'!B26:B207,'Findings Overview'!A12,'Report Entry'!C26:C207,'Findings Overview'!C10)+COUNTIFS('Custom Test Script'!J2:J200,"2.1",'Custom Test Script'!K2:K200, "&lt;&gt;AAA",'Custom Test Script'!D2:D200,'Findings Overview'!A12,'Custom Test Script'!E2:E200,'Findings Overview'!C10)</f>
        <v>0</v>
      </c>
      <c r="D12" s="30">
        <f>D4+COUNTIFS('Report Entry'!I26:I207,"2.1",'Report Entry'!J26:J207, "&lt;&gt;AAA",'Report Entry'!B26:B207,'Findings Overview'!A12,'Report Entry'!C26:C207,'Findings Overview'!D10)+COUNTIFS('Custom Test Script'!J2:J200,"2.1",'Custom Test Script'!K2:K200, "&lt;&gt;AAA",'Custom Test Script'!D2:D200,'Findings Overview'!A12,'Custom Test Script'!E2:E200,'Findings Overview'!D10)</f>
        <v>0</v>
      </c>
      <c r="E12" s="30">
        <f>E4+COUNTIFS('Report Entry'!I26:I207,"2.1",'Report Entry'!J26:J207, "&lt;&gt;AAA",'Report Entry'!B26:B207,'Findings Overview'!A12,'Report Entry'!C26:C207,'Findings Overview'!E10)+COUNTIFS('Custom Test Script'!J2:J200,"2.1",'Custom Test Script'!K2:K200, "&lt;&gt;AAA",'Custom Test Script'!D2:D200,'Findings Overview'!A12,'Custom Test Script'!E2:E200,'Findings Overview'!E10)</f>
        <v>0</v>
      </c>
      <c r="F12" s="30">
        <f>F4+COUNTIFS('Report Entry'!I26:I207,"2.1",'Report Entry'!J26:J207, "&lt;&gt;AAA",'Report Entry'!B26:B207,'Findings Overview'!A12,'Report Entry'!C26:C207,'Findings Overview'!F10)+COUNTIFS('Custom Test Script'!J2:J200,"2.1",'Custom Test Script'!K2:K200, "&lt;&gt;AAA",'Custom Test Script'!D2:D200,'Findings Overview'!A12,'Custom Test Script'!E2:E200,'Findings Overview'!F10)</f>
        <v>0</v>
      </c>
      <c r="G12" s="30">
        <f>G4+SUMIFS('Findings Breakdown'!D66:D82,'Findings Breakdown'!B66:B82,"&lt;&gt;AAA",'Findings Breakdown'!H66:H82,'Findings Overview'!G10)</f>
        <v>0</v>
      </c>
      <c r="H12" s="30">
        <f>H4+SUMIFS('Findings Breakdown'!D66:D82,'Findings Breakdown'!B66:B82,"&lt;&gt;AAA",'Findings Breakdown'!H66:H82,'Findings Overview'!H10)</f>
        <v>0</v>
      </c>
      <c r="I12" s="30">
        <f>I4+SUMIFS('Findings Breakdown'!D66:D82,'Findings Breakdown'!B66:B82,"&lt;&gt;AAA",'Findings Breakdown'!H66:H82,'Findings Overview'!I10)</f>
        <v>0</v>
      </c>
    </row>
    <row r="13" spans="1:10" ht="30" customHeight="1" x14ac:dyDescent="0.35">
      <c r="A13" s="145" t="s">
        <v>74</v>
      </c>
      <c r="B13" s="30">
        <f>B5+SUMIF('Findings Breakdown'!B66:B82,"&lt;&gt;AAA",'Findings Breakdown'!E66:E82)</f>
        <v>0</v>
      </c>
      <c r="C13" s="30">
        <f>C5+COUNTIFS('Report Entry'!I26:I207,"2.1",'Report Entry'!J26:J207, "&lt;&gt;AAA",'Report Entry'!B26:B207,'Findings Overview'!A13,'Report Entry'!C26:C207,'Findings Overview'!C10)+COUNTIFS('Custom Test Script'!J2:J200,"2.1",'Custom Test Script'!K2:K200, "&lt;&gt;AAA",'Custom Test Script'!D2:D200,'Findings Overview'!A13,'Custom Test Script'!E2:E200,'Findings Overview'!C10)</f>
        <v>0</v>
      </c>
      <c r="D13" s="30">
        <f>D5+COUNTIFS('Report Entry'!I26:I207,"2.1",'Report Entry'!J26:J207, "&lt;&gt;AAA",'Report Entry'!B26:B207,'Findings Overview'!A13,'Report Entry'!C26:C207,'Findings Overview'!D10)+COUNTIFS('Custom Test Script'!J2:J200,"2.1",'Custom Test Script'!K2:K200, "&lt;&gt;AAA",'Custom Test Script'!D2:D200,'Findings Overview'!A13,'Custom Test Script'!E2:E200,'Findings Overview'!D10)</f>
        <v>0</v>
      </c>
      <c r="E13" s="30">
        <f>E5+COUNTIFS('Report Entry'!I26:I207,"2.1",'Report Entry'!J26:J207, "&lt;&gt;AAA",'Report Entry'!B26:B207,'Findings Overview'!A13,'Report Entry'!C26:C207,'Findings Overview'!E10)+COUNTIFS('Custom Test Script'!J2:J200,"2.1",'Custom Test Script'!K2:K200, "&lt;&gt;AAA",'Custom Test Script'!D2:D200,'Findings Overview'!A13,'Custom Test Script'!E2:E200,'Findings Overview'!E10)</f>
        <v>0</v>
      </c>
      <c r="F13" s="30">
        <f>F5+COUNTIFS('Report Entry'!I26:I207,"2.1",'Report Entry'!J26:J207, "&lt;&gt;AAA",'Report Entry'!B26:B207,'Findings Overview'!A13,'Report Entry'!C26:C207,'Findings Overview'!F10)+COUNTIFS('Custom Test Script'!J2:J200,"2.1",'Custom Test Script'!K2:K200, "&lt;&gt;AAA",'Custom Test Script'!D2:D200,'Findings Overview'!A13,'Custom Test Script'!E2:E200,'Findings Overview'!F10)</f>
        <v>0</v>
      </c>
      <c r="G13" s="30">
        <f>G5+SUMIFS('Findings Breakdown'!E66:E82,'Findings Breakdown'!B66:B82,"&lt;&gt;AAA",'Findings Breakdown'!H66:H82,'Findings Overview'!G10)</f>
        <v>0</v>
      </c>
      <c r="H13" s="30">
        <f>H5+SUMIFS('Findings Breakdown'!E66:E82,'Findings Breakdown'!B66:B82,"&lt;&gt;AAA",'Findings Breakdown'!H66:H82,'Findings Overview'!H10)</f>
        <v>0</v>
      </c>
      <c r="I13" s="30">
        <f>I5+SUMIFS('Findings Breakdown'!E66:E82,'Findings Breakdown'!B66:B82,"&lt;&gt;AAA",'Findings Breakdown'!H66:H82,'Findings Overview'!I10)</f>
        <v>0</v>
      </c>
    </row>
    <row r="14" spans="1:10" ht="30" customHeight="1" x14ac:dyDescent="0.35">
      <c r="A14" s="145" t="s">
        <v>75</v>
      </c>
      <c r="B14" s="30">
        <f>B6+SUMIF('Findings Breakdown'!B66:B82,"&lt;&gt;AAA",'Findings Breakdown'!F66:F82)</f>
        <v>0</v>
      </c>
      <c r="C14" s="30">
        <f>C6+COUNTIFS('Report Entry'!I26:I207,"2.1",'Report Entry'!J26:J207, "&lt;&gt;AAA",'Report Entry'!B26:B207,'Findings Overview'!A14,'Report Entry'!C26:C207,'Findings Overview'!C10)+COUNTIFS('Custom Test Script'!J2:J200,"2.1",'Custom Test Script'!K2:K200, "&lt;&gt;AAA",'Custom Test Script'!D2:D200,'Findings Overview'!A14,'Custom Test Script'!E2:E200,'Findings Overview'!C10)</f>
        <v>0</v>
      </c>
      <c r="D14" s="30">
        <f>D6+COUNTIFS('Report Entry'!I26:I207,"2.1",'Report Entry'!J26:J207, "&lt;&gt;AAA",'Report Entry'!B26:B207,'Findings Overview'!A14,'Report Entry'!C26:C207,'Findings Overview'!D10)+COUNTIFS('Custom Test Script'!J2:J200,"2.1",'Custom Test Script'!K2:K200, "&lt;&gt;AAA",'Custom Test Script'!D2:D200,'Findings Overview'!A14,'Custom Test Script'!E2:E200,'Findings Overview'!D10)</f>
        <v>0</v>
      </c>
      <c r="E14" s="30">
        <f>E6+COUNTIFS('Report Entry'!I26:I207,"2.1",'Report Entry'!J26:J207, "&lt;&gt;AAA",'Report Entry'!B26:B207,'Findings Overview'!A14,'Report Entry'!C26:C207,'Findings Overview'!E10)+COUNTIFS('Custom Test Script'!J2:J200,"2.1",'Custom Test Script'!K2:K200, "&lt;&gt;AAA",'Custom Test Script'!D2:D200,'Findings Overview'!A14,'Custom Test Script'!E2:E200,'Findings Overview'!E10)</f>
        <v>0</v>
      </c>
      <c r="F14" s="30">
        <f>F6+COUNTIFS('Report Entry'!I26:I207,"2.1",'Report Entry'!J26:J207, "&lt;&gt;AAA",'Report Entry'!B26:B207,'Findings Overview'!A14,'Report Entry'!C26:C207,'Findings Overview'!F10)+COUNTIFS('Custom Test Script'!J2:J200,"2.1",'Custom Test Script'!K2:K200, "&lt;&gt;AAA",'Custom Test Script'!D2:D200,'Findings Overview'!A14,'Custom Test Script'!E2:E200,'Findings Overview'!F10)</f>
        <v>0</v>
      </c>
      <c r="G14" s="30">
        <f>G6+SUMIFS('Findings Breakdown'!F66:F82,'Findings Breakdown'!B66:B82,"&lt;&gt;AAA",'Findings Breakdown'!H66:H82,'Findings Overview'!G10)</f>
        <v>0</v>
      </c>
      <c r="H14" s="30">
        <f>H6+SUMIFS('Findings Breakdown'!F66:F82,'Findings Breakdown'!B66:B82,"&lt;&gt;AAA",'Findings Breakdown'!H66:H82,'Findings Overview'!H10)</f>
        <v>0</v>
      </c>
      <c r="I14" s="30">
        <f>I6+SUMIFS('Findings Breakdown'!F66:F82,'Findings Breakdown'!B66:B82,"&lt;&gt;AAA",'Findings Breakdown'!H66:H82,'Findings Overview'!I10)</f>
        <v>0</v>
      </c>
    </row>
    <row r="15" spans="1:10" ht="30" customHeight="1" x14ac:dyDescent="0.35">
      <c r="A15" s="145" t="s">
        <v>76</v>
      </c>
      <c r="B15" s="30">
        <f>B7+SUMIF('Findings Breakdown'!B66:B82,"&lt;&gt;AAA",'Findings Breakdown'!G66:G82)</f>
        <v>0</v>
      </c>
      <c r="C15" s="30">
        <f>C7+COUNTIFS('Report Entry'!I26:I207,"2.1",'Report Entry'!J26:J207, "&lt;&gt;AAA",'Report Entry'!B26:B207,'Findings Overview'!A15,'Report Entry'!C26:C207,'Findings Overview'!C10)+COUNTIFS('Custom Test Script'!J2:J200,"2.1",'Custom Test Script'!K2:K200, "&lt;&gt;AAA",'Custom Test Script'!D2:D200,'Findings Overview'!A15,'Custom Test Script'!E2:E200,'Findings Overview'!C10)</f>
        <v>0</v>
      </c>
      <c r="D15" s="30">
        <f>D7+COUNTIFS('Report Entry'!I26:I207,"2.1",'Report Entry'!J26:J207, "&lt;&gt;AAA",'Report Entry'!B26:B207,'Findings Overview'!A15,'Report Entry'!C26:C207,'Findings Overview'!D10)+COUNTIFS('Custom Test Script'!J2:J200,"2.1",'Custom Test Script'!K2:K200, "&lt;&gt;AAA",'Custom Test Script'!D2:D200,'Findings Overview'!A15,'Custom Test Script'!E2:E200,'Findings Overview'!D10)</f>
        <v>0</v>
      </c>
      <c r="E15" s="30">
        <f>E7+COUNTIFS('Report Entry'!I26:I207,"2.1",'Report Entry'!J26:J207, "&lt;&gt;AAA",'Report Entry'!B26:B207,'Findings Overview'!A15,'Report Entry'!C26:C207,'Findings Overview'!E10)+COUNTIFS('Custom Test Script'!J2:J200,"2.1",'Custom Test Script'!K2:K200, "&lt;&gt;AAA",'Custom Test Script'!D2:D200,'Findings Overview'!A15,'Custom Test Script'!E2:E200,'Findings Overview'!E10)</f>
        <v>0</v>
      </c>
      <c r="F15" s="30">
        <f>F7+COUNTIFS('Report Entry'!I26:I207,"2.1",'Report Entry'!J26:J207, "&lt;&gt;AAA",'Report Entry'!B26:B207,'Findings Overview'!A15,'Report Entry'!C26:C207,'Findings Overview'!F10)+COUNTIFS('Custom Test Script'!J2:J200,"2.1",'Custom Test Script'!K2:K200, "&lt;&gt;AAA",'Custom Test Script'!D2:D200,'Findings Overview'!A15,'Custom Test Script'!E2:E200,'Findings Overview'!F10)</f>
        <v>0</v>
      </c>
      <c r="G15" s="30">
        <f>G7+SUMIFS('Findings Breakdown'!G66:G82,'Findings Breakdown'!B66:B82,"&lt;&gt;AAA",'Findings Breakdown'!H66:H82,'Findings Overview'!G10)</f>
        <v>0</v>
      </c>
      <c r="H15" s="30">
        <f>H7+SUMIFS('Findings Breakdown'!G66:G82,'Findings Breakdown'!B66:B82,"&lt;&gt;AAA",'Findings Breakdown'!H66:H82,'Findings Overview'!H10)</f>
        <v>0</v>
      </c>
      <c r="I15" s="30">
        <f>I7+SUMIFS('Findings Breakdown'!G66:G82,'Findings Breakdown'!B66:B82,"&lt;&gt;AAA",'Findings Breakdown'!H66:H82,'Findings Overview'!I10)</f>
        <v>0</v>
      </c>
    </row>
    <row r="16" spans="1:10" x14ac:dyDescent="0.3">
      <c r="A16" s="29"/>
      <c r="B16" s="29"/>
      <c r="C16" s="29"/>
      <c r="D16" s="29"/>
      <c r="E16" s="29"/>
      <c r="F16" s="29"/>
      <c r="G16" s="29"/>
      <c r="H16" s="29"/>
      <c r="I16" s="29"/>
    </row>
    <row r="17" spans="1:9" ht="30" customHeight="1" x14ac:dyDescent="0.4">
      <c r="A17" s="162" t="s">
        <v>78</v>
      </c>
      <c r="B17" s="163"/>
      <c r="C17" s="162" t="s">
        <v>63</v>
      </c>
      <c r="D17" s="163"/>
      <c r="E17" s="163"/>
      <c r="F17" s="163"/>
      <c r="G17" s="162" t="s">
        <v>64</v>
      </c>
      <c r="H17" s="163"/>
      <c r="I17" s="163"/>
    </row>
    <row r="18" spans="1:9" ht="30" customHeight="1" x14ac:dyDescent="0.35">
      <c r="A18" s="145" t="s">
        <v>65</v>
      </c>
      <c r="B18" s="30" t="s">
        <v>66</v>
      </c>
      <c r="C18" s="30" t="s">
        <v>67</v>
      </c>
      <c r="D18" s="30" t="s">
        <v>68</v>
      </c>
      <c r="E18" s="30" t="s">
        <v>69</v>
      </c>
      <c r="F18" s="30" t="s">
        <v>70</v>
      </c>
      <c r="G18" s="30" t="s">
        <v>71</v>
      </c>
      <c r="H18" s="30" t="s">
        <v>56</v>
      </c>
      <c r="I18" s="30" t="s">
        <v>57</v>
      </c>
    </row>
    <row r="19" spans="1:9" ht="30" customHeight="1" x14ac:dyDescent="0.35">
      <c r="A19" s="145" t="s">
        <v>72</v>
      </c>
      <c r="B19" s="30">
        <f>B11+SUMIF('Findings Breakdown'!B86:B94,"&lt;&gt;AAA",'Findings Breakdown'!C86:C94)</f>
        <v>0</v>
      </c>
      <c r="C19" s="30">
        <f>C11+COUNTIFS('Report Entry'!I26:I207,"2.2",'Report Entry'!J26:J207, "&lt;&gt;AAA",'Report Entry'!B26:B207,'Findings Overview'!A19,'Report Entry'!C26:C207,'Findings Overview'!C18)+COUNTIFS('Custom Test Script'!J2:J200,"2.2",'Custom Test Script'!K2:K200, "&lt;&gt;AAA",'Custom Test Script'!D2:D200,'Findings Overview'!A19,'Custom Test Script'!E2:E200,'Findings Overview'!C18)</f>
        <v>0</v>
      </c>
      <c r="D19" s="30">
        <f>D11+COUNTIFS('Report Entry'!I26:I207,"2.2",'Report Entry'!J26:J207, "&lt;&gt;AAA",'Report Entry'!B26:B207,'Findings Overview'!A19,'Report Entry'!C26:C207,'Findings Overview'!D18)+COUNTIFS('Custom Test Script'!J2:J200,"2.2",'Custom Test Script'!K2:K200, "&lt;&gt;AAA",'Custom Test Script'!D2:D200,'Findings Overview'!A19,'Custom Test Script'!E2:E200,'Findings Overview'!D18)</f>
        <v>0</v>
      </c>
      <c r="E19" s="30">
        <f>E11+COUNTIFS('Report Entry'!I26:I207,"2.2",'Report Entry'!J26:J207, "&lt;&gt;AAA",'Report Entry'!B26:B207,'Findings Overview'!A19,'Report Entry'!C26:C207,'Findings Overview'!E18)+COUNTIFS('Custom Test Script'!J2:J200,"2.2",'Custom Test Script'!K2:K200, "&lt;&gt;AAA",'Custom Test Script'!D2:D200,'Findings Overview'!A19,'Custom Test Script'!E2:E200,'Findings Overview'!E18)</f>
        <v>0</v>
      </c>
      <c r="F19" s="30">
        <f>F11+COUNTIFS('Report Entry'!I26:I207,"2.2",'Report Entry'!J26:J207, "&lt;&gt;AAA",'Report Entry'!B26:B207,'Findings Overview'!A19,'Report Entry'!C26:C207,'Findings Overview'!F18)+COUNTIFS('Custom Test Script'!J2:J200,"2.2",'Custom Test Script'!K2:K200, "&lt;&gt;AAA",'Custom Test Script'!D2:D200,'Findings Overview'!A19,'Custom Test Script'!E2:E200,'Findings Overview'!F18)</f>
        <v>0</v>
      </c>
      <c r="G19" s="30">
        <f>G11+SUMIFS('Findings Breakdown'!C86:C94,'Findings Breakdown'!B86:B94,"&lt;&gt;AAA",'Findings Breakdown'!H86:H94,'Findings Overview'!G18)</f>
        <v>0</v>
      </c>
      <c r="H19" s="30">
        <f>H11+SUMIFS('Findings Breakdown'!C86:C94,'Findings Breakdown'!B86:B94,"&lt;&gt;AAA",'Findings Breakdown'!H86:H94,'Findings Overview'!H18)</f>
        <v>0</v>
      </c>
      <c r="I19" s="30">
        <f>I11+SUMIFS('Findings Breakdown'!C86:C94,'Findings Breakdown'!B86:B94,"&lt;&gt;AAA",'Findings Breakdown'!H86:H94,'Findings Overview'!I18)</f>
        <v>0</v>
      </c>
    </row>
    <row r="20" spans="1:9" ht="30" customHeight="1" x14ac:dyDescent="0.35">
      <c r="A20" s="145" t="s">
        <v>73</v>
      </c>
      <c r="B20" s="30">
        <f>B12+SUMIF('Findings Breakdown'!B86:B94,"&lt;&gt;AAA",'Findings Breakdown'!D86:D94)</f>
        <v>0</v>
      </c>
      <c r="C20" s="30">
        <f>C12+COUNTIFS('Report Entry'!I26:I207,"2.2",'Report Entry'!J26:J207, "&lt;&gt;AAA",'Report Entry'!B26:B207,'Findings Overview'!A20,'Report Entry'!C26:C207,'Findings Overview'!C18)+COUNTIFS('Custom Test Script'!J2:J200,"2.2",'Custom Test Script'!K2:K200, "&lt;&gt;AAA",'Custom Test Script'!D2:D200,'Findings Overview'!A20,'Custom Test Script'!E2:E200,'Findings Overview'!C18)</f>
        <v>0</v>
      </c>
      <c r="D20" s="30">
        <f>D12+COUNTIFS('Report Entry'!I26:I207,"2.2",'Report Entry'!J26:J207, "&lt;&gt;AAA",'Report Entry'!B26:B207,'Findings Overview'!A20,'Report Entry'!C26:C207,'Findings Overview'!D18)+COUNTIFS('Custom Test Script'!J2:J200,"2.2",'Custom Test Script'!K2:K200, "&lt;&gt;AAA",'Custom Test Script'!D2:D200,'Findings Overview'!A20,'Custom Test Script'!E2:E200,'Findings Overview'!D18)</f>
        <v>0</v>
      </c>
      <c r="E20" s="30">
        <f>E12+COUNTIFS('Report Entry'!I26:I207,"2.2",'Report Entry'!J26:J207, "&lt;&gt;AAA",'Report Entry'!B26:B207,'Findings Overview'!A20,'Report Entry'!C26:C207,'Findings Overview'!E18)+COUNTIFS('Custom Test Script'!J2:J200,"2.2",'Custom Test Script'!K2:K200, "&lt;&gt;AAA",'Custom Test Script'!D2:D200,'Findings Overview'!A20,'Custom Test Script'!E2:E200,'Findings Overview'!E18)</f>
        <v>0</v>
      </c>
      <c r="F20" s="30">
        <f>F12+COUNTIFS('Report Entry'!I26:I207,"2.2",'Report Entry'!J26:J207, "&lt;&gt;AAA",'Report Entry'!B26:B207,'Findings Overview'!A20,'Report Entry'!C26:C207,'Findings Overview'!F18)+COUNTIFS('Custom Test Script'!J2:J200,"2.2",'Custom Test Script'!K2:K200, "&lt;&gt;AAA",'Custom Test Script'!D2:D200,'Findings Overview'!A20,'Custom Test Script'!E2:E200,'Findings Overview'!F18)</f>
        <v>0</v>
      </c>
      <c r="G20" s="30">
        <f>G12+SUMIFS('Findings Breakdown'!D86:D94,'Findings Breakdown'!B86:B94,"&lt;&gt;AAA",'Findings Breakdown'!H86:H94,'Findings Overview'!G18)</f>
        <v>0</v>
      </c>
      <c r="H20" s="30">
        <f>H12+SUMIFS('Findings Breakdown'!D86:D94,'Findings Breakdown'!B86:B94,"&lt;&gt;AAA",'Findings Breakdown'!H86:H94,'Findings Overview'!H18)</f>
        <v>0</v>
      </c>
      <c r="I20" s="30">
        <f>I12+SUMIFS('Findings Breakdown'!D86:D94,'Findings Breakdown'!B86:B94,"&lt;&gt;AAA",'Findings Breakdown'!H86:H94,'Findings Overview'!I18)</f>
        <v>0</v>
      </c>
    </row>
    <row r="21" spans="1:9" ht="30" customHeight="1" x14ac:dyDescent="0.35">
      <c r="A21" s="145" t="s">
        <v>74</v>
      </c>
      <c r="B21" s="30">
        <f>B13+SUMIF('Findings Breakdown'!B86:B94,"&lt;&gt;AAA",'Findings Breakdown'!E86:E94)</f>
        <v>0</v>
      </c>
      <c r="C21" s="30">
        <f>C13+COUNTIFS('Report Entry'!I26:I207,"2.2",'Report Entry'!J26:J207, "&lt;&gt;AAA",'Report Entry'!B26:B207,'Findings Overview'!A21,'Report Entry'!C26:C207,'Findings Overview'!C18)+COUNTIFS('Custom Test Script'!J2:J200,"2.2",'Custom Test Script'!K2:K200, "&lt;&gt;AAA",'Custom Test Script'!D2:D200,'Findings Overview'!A21,'Custom Test Script'!E2:E200,'Findings Overview'!C18)</f>
        <v>0</v>
      </c>
      <c r="D21" s="30">
        <f>D13+COUNTIFS('Report Entry'!I26:I207,"2.2",'Report Entry'!J26:J207, "&lt;&gt;AAA",'Report Entry'!B26:B207,'Findings Overview'!A21,'Report Entry'!C26:C207,'Findings Overview'!D18)+COUNTIFS('Custom Test Script'!J2:J200,"2.2",'Custom Test Script'!K2:K200, "&lt;&gt;AAA",'Custom Test Script'!D2:D200,'Findings Overview'!A21,'Custom Test Script'!E2:E200,'Findings Overview'!D18)</f>
        <v>0</v>
      </c>
      <c r="E21" s="30">
        <f>E13+COUNTIFS('Report Entry'!I26:I207,"2.2",'Report Entry'!J26:J207, "&lt;&gt;AAA",'Report Entry'!B26:B207,'Findings Overview'!A21,'Report Entry'!C26:C207,'Findings Overview'!E18)+COUNTIFS('Custom Test Script'!J2:J200,"2.2",'Custom Test Script'!K2:K200, "&lt;&gt;AAA",'Custom Test Script'!D2:D200,'Findings Overview'!A21,'Custom Test Script'!E2:E200,'Findings Overview'!E18)</f>
        <v>0</v>
      </c>
      <c r="F21" s="30">
        <f>F13+COUNTIFS('Report Entry'!I26:I207,"2.2",'Report Entry'!J26:J207, "&lt;&gt;AAA",'Report Entry'!B26:B207,'Findings Overview'!A21,'Report Entry'!C26:C207,'Findings Overview'!F18)+COUNTIFS('Custom Test Script'!J2:J200,"2.2",'Custom Test Script'!K2:K200, "&lt;&gt;AAA",'Custom Test Script'!D2:D200,'Findings Overview'!A21,'Custom Test Script'!E2:E200,'Findings Overview'!F18)</f>
        <v>0</v>
      </c>
      <c r="G21" s="30">
        <f>G13+SUMIFS('Findings Breakdown'!E86:E94,'Findings Breakdown'!B86:B94,"&lt;&gt;AAA",'Findings Breakdown'!H86:H94,'Findings Overview'!G18)</f>
        <v>0</v>
      </c>
      <c r="H21" s="30">
        <f>H13+SUMIFS('Findings Breakdown'!E86:E94,'Findings Breakdown'!B86:B94,"&lt;&gt;AAA",'Findings Breakdown'!H86:H94,'Findings Overview'!H18)</f>
        <v>0</v>
      </c>
      <c r="I21" s="30">
        <f>I13+SUMIFS('Findings Breakdown'!E86:E94,'Findings Breakdown'!B86:B94,"&lt;&gt;AAA",'Findings Breakdown'!H86:H94,'Findings Overview'!I18)</f>
        <v>0</v>
      </c>
    </row>
    <row r="22" spans="1:9" ht="30" customHeight="1" x14ac:dyDescent="0.35">
      <c r="A22" s="145" t="s">
        <v>75</v>
      </c>
      <c r="B22" s="30">
        <f>B14+SUMIF('Findings Breakdown'!B86:B94,"&lt;&gt;AAA",'Findings Breakdown'!F86:F94)</f>
        <v>0</v>
      </c>
      <c r="C22" s="30">
        <f>C14+COUNTIFS('Report Entry'!I26:I207,"2.2",'Report Entry'!J26:J207, "&lt;&gt;AAA",'Report Entry'!B26:B207,'Findings Overview'!A22,'Report Entry'!C26:C207,'Findings Overview'!C18)+COUNTIFS('Custom Test Script'!J2:J200,"2.2",'Custom Test Script'!K2:K200, "&lt;&gt;AAA",'Custom Test Script'!D2:D200,'Findings Overview'!A22,'Custom Test Script'!E2:E200,'Findings Overview'!C18)</f>
        <v>0</v>
      </c>
      <c r="D22" s="30">
        <f>D14+COUNTIFS('Report Entry'!I26:I207,"2.2",'Report Entry'!J26:J207, "&lt;&gt;AAA",'Report Entry'!B26:B207,'Findings Overview'!A22,'Report Entry'!C26:C207,'Findings Overview'!D18)+COUNTIFS('Custom Test Script'!J2:J200,"2.2",'Custom Test Script'!K2:K200, "&lt;&gt;AAA",'Custom Test Script'!D2:D200,'Findings Overview'!A22,'Custom Test Script'!E2:E200,'Findings Overview'!D18)</f>
        <v>0</v>
      </c>
      <c r="E22" s="30">
        <f>E14+COUNTIFS('Report Entry'!I26:I207,"2.2",'Report Entry'!J26:J207, "&lt;&gt;AAA",'Report Entry'!B26:B207,'Findings Overview'!A22,'Report Entry'!C26:C207,'Findings Overview'!E18)+COUNTIFS('Custom Test Script'!J2:J200,"2.2",'Custom Test Script'!K2:K200, "&lt;&gt;AAA",'Custom Test Script'!D2:D200,'Findings Overview'!A22,'Custom Test Script'!E2:E200,'Findings Overview'!E18)</f>
        <v>0</v>
      </c>
      <c r="F22" s="30">
        <f>F14+COUNTIFS('Report Entry'!I26:I207,"2.2",'Report Entry'!J26:J207, "&lt;&gt;AAA",'Report Entry'!B26:B207,'Findings Overview'!A22,'Report Entry'!C26:C207,'Findings Overview'!F18)+COUNTIFS('Custom Test Script'!J2:J200,"2.2",'Custom Test Script'!K2:K200, "&lt;&gt;AAA",'Custom Test Script'!D2:D200,'Findings Overview'!A22,'Custom Test Script'!E2:E200,'Findings Overview'!F18)</f>
        <v>0</v>
      </c>
      <c r="G22" s="30">
        <f>G14+SUMIFS('Findings Breakdown'!F86:F94,'Findings Breakdown'!B86:B94,"&lt;&gt;AAA",'Findings Breakdown'!H86:H94,'Findings Overview'!G18)</f>
        <v>0</v>
      </c>
      <c r="H22" s="30">
        <f>H14+SUMIFS('Findings Breakdown'!F86:F94,'Findings Breakdown'!B86:B94,"&lt;&gt;AAA",'Findings Breakdown'!H86:H94,'Findings Overview'!H18)</f>
        <v>0</v>
      </c>
      <c r="I22" s="30">
        <f>I14+SUMIFS('Findings Breakdown'!F86:F94,'Findings Breakdown'!B86:B94,"&lt;&gt;AAA",'Findings Breakdown'!H86:H94,'Findings Overview'!I18)</f>
        <v>0</v>
      </c>
    </row>
    <row r="23" spans="1:9" ht="30" customHeight="1" x14ac:dyDescent="0.35">
      <c r="A23" s="145" t="s">
        <v>76</v>
      </c>
      <c r="B23" s="30">
        <f>B15+SUMIF('Findings Breakdown'!B86:B94,"&lt;&gt;AAA",'Findings Breakdown'!G86:G94)</f>
        <v>0</v>
      </c>
      <c r="C23" s="30">
        <f>C15+COUNTIFS('Report Entry'!I26:I207,"2.2",'Report Entry'!J26:J207, "&lt;&gt;AAA",'Report Entry'!B26:B207,'Findings Overview'!A23,'Report Entry'!C26:C207,'Findings Overview'!C18)+COUNTIFS('Custom Test Script'!J2:J200,"2.2",'Custom Test Script'!K2:K200, "&lt;&gt;AAA",'Custom Test Script'!D2:D200,'Findings Overview'!A23,'Custom Test Script'!E2:E200,'Findings Overview'!C18)</f>
        <v>0</v>
      </c>
      <c r="D23" s="30">
        <f>D15+COUNTIFS('Report Entry'!I26:I207,"2.2",'Report Entry'!J26:J207, "&lt;&gt;AAA",'Report Entry'!B26:B207,'Findings Overview'!A23,'Report Entry'!C26:C207,'Findings Overview'!D18)+COUNTIFS('Custom Test Script'!J2:J200,"2.2",'Custom Test Script'!K2:K200, "&lt;&gt;AAA",'Custom Test Script'!D2:D200,'Findings Overview'!A23,'Custom Test Script'!E2:E200,'Findings Overview'!D18)</f>
        <v>0</v>
      </c>
      <c r="E23" s="30">
        <f>E15+COUNTIFS('Report Entry'!I26:I207,"2.2",'Report Entry'!J26:J207, "&lt;&gt;AAA",'Report Entry'!B26:B207,'Findings Overview'!A23,'Report Entry'!C26:C207,'Findings Overview'!E18)+COUNTIFS('Custom Test Script'!J2:J200,"2.2",'Custom Test Script'!K2:K200, "&lt;&gt;AAA",'Custom Test Script'!D2:D200,'Findings Overview'!A23,'Custom Test Script'!E2:E200,'Findings Overview'!E18)</f>
        <v>0</v>
      </c>
      <c r="F23" s="30">
        <f>F15+COUNTIFS('Report Entry'!I26:I207,"2.2",'Report Entry'!J26:J207, "&lt;&gt;AAA",'Report Entry'!B26:B207,'Findings Overview'!A23,'Report Entry'!C26:C207,'Findings Overview'!F18)+COUNTIFS('Custom Test Script'!J2:J200,"2.2",'Custom Test Script'!K2:K200, "&lt;&gt;AAA",'Custom Test Script'!D2:D200,'Findings Overview'!A23,'Custom Test Script'!E2:E200,'Findings Overview'!F18)</f>
        <v>0</v>
      </c>
      <c r="G23" s="30">
        <f>G15+SUMIFS('Findings Breakdown'!G86:G94,'Findings Breakdown'!B86:B94,"&lt;&gt;AAA",'Findings Breakdown'!H86:H94,'Findings Overview'!G18)</f>
        <v>0</v>
      </c>
      <c r="H23" s="30">
        <f>H15+SUMIFS('Findings Breakdown'!G86:G94,'Findings Breakdown'!B86:B94,"&lt;&gt;AAA",'Findings Breakdown'!H86:H94,'Findings Overview'!H18)</f>
        <v>0</v>
      </c>
      <c r="I23" s="30">
        <f>I15+SUMIFS('Findings Breakdown'!G86:G94,'Findings Breakdown'!B86:B94,"&lt;&gt;AAA",'Findings Breakdown'!H86:H94,'Findings Overview'!I18)</f>
        <v>0</v>
      </c>
    </row>
    <row r="24" spans="1:9" x14ac:dyDescent="0.3">
      <c r="A24" s="29"/>
      <c r="B24" s="29"/>
      <c r="C24" s="29"/>
      <c r="D24" s="29"/>
      <c r="E24" s="29"/>
      <c r="F24" s="29"/>
      <c r="G24" s="29"/>
      <c r="H24" s="29"/>
      <c r="I24" s="29"/>
    </row>
    <row r="25" spans="1:9" ht="30" customHeight="1" x14ac:dyDescent="0.4">
      <c r="A25" s="162" t="s">
        <v>79</v>
      </c>
      <c r="B25" s="163"/>
      <c r="C25" s="162" t="s">
        <v>63</v>
      </c>
      <c r="D25" s="163"/>
      <c r="E25" s="163"/>
      <c r="F25" s="163"/>
      <c r="G25" s="162" t="s">
        <v>64</v>
      </c>
      <c r="H25" s="163"/>
      <c r="I25" s="163"/>
    </row>
    <row r="26" spans="1:9" ht="30" customHeight="1" x14ac:dyDescent="0.35">
      <c r="A26" s="145" t="s">
        <v>65</v>
      </c>
      <c r="B26" s="30" t="s">
        <v>66</v>
      </c>
      <c r="C26" s="30" t="s">
        <v>67</v>
      </c>
      <c r="D26" s="30" t="s">
        <v>68</v>
      </c>
      <c r="E26" s="30" t="s">
        <v>69</v>
      </c>
      <c r="F26" s="30" t="s">
        <v>70</v>
      </c>
      <c r="G26" s="30" t="s">
        <v>71</v>
      </c>
      <c r="H26" s="30" t="s">
        <v>56</v>
      </c>
      <c r="I26" s="30" t="s">
        <v>57</v>
      </c>
    </row>
    <row r="27" spans="1:9" ht="30" customHeight="1" x14ac:dyDescent="0.35">
      <c r="A27" s="145" t="s">
        <v>72</v>
      </c>
      <c r="B27" s="30">
        <f>SUMIF('Findings Breakdown'!B2:B62,"=AAA",'Findings Breakdown'!C2:C62)+SUMIF('Findings Breakdown'!B66:B82,"=AAA",'Findings Breakdown'!C66:C82)+SUMIF('Findings Breakdown'!B86:B94,"=AAA",'Findings Breakdown'!C86:C94)</f>
        <v>0</v>
      </c>
      <c r="C27" s="30">
        <f>COUNTIFS('Report Entry'!J26:J207, "=AAA",'Report Entry'!B26:B207,'Findings Overview'!A27,'Report Entry'!C26:C207,'Findings Overview'!C26)+COUNTIFS('Custom Test Script'!K2:K200, "=AAA",'Custom Test Script'!D2:D200,'Findings Overview'!A27,'Custom Test Script'!E2:E200,'Findings Overview'!C26)</f>
        <v>0</v>
      </c>
      <c r="D27" s="30">
        <f>COUNTIFS('Report Entry'!J26:J207, "=AAA",'Report Entry'!B26:B207,'Findings Overview'!A27,'Report Entry'!C26:C207,'Findings Overview'!D26)+COUNTIFS('Custom Test Script'!K2:K200, "=AAA",'Custom Test Script'!D2:D200,'Findings Overview'!A27,'Custom Test Script'!E2:E200,'Findings Overview'!D26)</f>
        <v>0</v>
      </c>
      <c r="E27" s="30">
        <f>COUNTIFS('Report Entry'!J26:J207, "=AAA",'Report Entry'!B26:B207,'Findings Overview'!A27,'Report Entry'!C26:C207,'Findings Overview'!E26)+COUNTIFS('Custom Test Script'!K2:K200, "=AAA",'Custom Test Script'!D2:D200,'Findings Overview'!A27,'Custom Test Script'!E2:E200,'Findings Overview'!E26)</f>
        <v>0</v>
      </c>
      <c r="F27" s="30">
        <f>COUNTIFS('Report Entry'!J26:J207, "=AAA",'Report Entry'!B26:B207,'Findings Overview'!A27,'Report Entry'!C26:C207,'Findings Overview'!F26)+COUNTIFS('Custom Test Script'!K2:K200, "=AAA",'Custom Test Script'!D2:D200,'Findings Overview'!A27,'Custom Test Script'!E2:E200,'Findings Overview'!F26)</f>
        <v>0</v>
      </c>
      <c r="G27" s="30">
        <f>SUMIFS('Findings Breakdown'!C2:C62,'Findings Breakdown'!B2:B62,"=AAA",'Findings Breakdown'!H2:H62,'Findings Overview'!G26)+SUMIFS('Findings Breakdown'!C66:C82,'Findings Breakdown'!B66:B82,"=AAA",'Findings Breakdown'!H66:H82,'Findings Overview'!G26)+SUMIFS('Findings Breakdown'!C86:C94,'Findings Breakdown'!B86:B94,"=AAA",'Findings Breakdown'!H86:H94,'Findings Overview'!G26)</f>
        <v>0</v>
      </c>
      <c r="H27" s="30">
        <f>SUMIFS('Findings Breakdown'!C2:C62,'Findings Breakdown'!B2:B62,"=AAA",'Findings Breakdown'!H2:H62,'Findings Overview'!H26)+SUMIFS('Findings Breakdown'!C66:C82,'Findings Breakdown'!B66:B82,"=AAA",'Findings Breakdown'!H66:H82,'Findings Overview'!H26)+SUMIFS('Findings Breakdown'!C86:C94,'Findings Breakdown'!B86:B94,"=AAA",'Findings Breakdown'!H86:H94,'Findings Overview'!H26)</f>
        <v>0</v>
      </c>
      <c r="I27" s="30">
        <f>SUMIFS('Findings Breakdown'!C2:C62,'Findings Breakdown'!B2:B62,"=AAA",'Findings Breakdown'!H2:H62,'Findings Overview'!I26)+SUMIFS('Findings Breakdown'!C66:C82,'Findings Breakdown'!B66:B82,"=AAA",'Findings Breakdown'!H66:H82,'Findings Overview'!I26)+SUMIFS('Findings Breakdown'!C86:C94,'Findings Breakdown'!B86:B94,"=AAA",'Findings Breakdown'!H86:H94,'Findings Overview'!I26)</f>
        <v>0</v>
      </c>
    </row>
    <row r="28" spans="1:9" ht="30" customHeight="1" x14ac:dyDescent="0.35">
      <c r="A28" s="145" t="s">
        <v>73</v>
      </c>
      <c r="B28" s="30">
        <f>SUMIF('Findings Breakdown'!B2:B62,"=AAA",'Findings Breakdown'!D2:D62)+SUMIF('Findings Breakdown'!B66:B82,"=AAA",'Findings Breakdown'!D66:D82)+SUMIF('Findings Breakdown'!B86:B94,"=AAA",'Findings Breakdown'!D86:D94)</f>
        <v>0</v>
      </c>
      <c r="C28" s="30">
        <f>COUNTIFS('Report Entry'!J26:J207, "=AAA",'Report Entry'!B26:B207,'Findings Overview'!A28,'Report Entry'!C26:C207,'Findings Overview'!C26)+COUNTIFS('Custom Test Script'!K2:K200, "=AAA",'Custom Test Script'!D2:D200,'Findings Overview'!A28,'Custom Test Script'!E2:E200,'Findings Overview'!C26)</f>
        <v>0</v>
      </c>
      <c r="D28" s="30">
        <f>COUNTIFS('Report Entry'!J26:J207, "=AAA",'Report Entry'!B26:B207,'Findings Overview'!A28,'Report Entry'!C26:C207,'Findings Overview'!D26)+COUNTIFS('Custom Test Script'!K2:K200, "=AAA",'Custom Test Script'!D2:D200,'Findings Overview'!A28,'Custom Test Script'!E2:E200,'Findings Overview'!D26)</f>
        <v>0</v>
      </c>
      <c r="E28" s="30">
        <f>COUNTIFS('Report Entry'!J26:J207, "=AAA",'Report Entry'!B26:B207,'Findings Overview'!A28,'Report Entry'!C26:C207,'Findings Overview'!E26)+COUNTIFS('Custom Test Script'!K2:K200, "=AAA",'Custom Test Script'!D2:D200,'Findings Overview'!A28,'Custom Test Script'!E2:E200,'Findings Overview'!E26)</f>
        <v>0</v>
      </c>
      <c r="F28" s="30">
        <f>COUNTIFS('Report Entry'!J26:J207, "=AAA",'Report Entry'!B26:B207,'Findings Overview'!A28,'Report Entry'!C26:C207,'Findings Overview'!F26)+COUNTIFS('Custom Test Script'!K2:K200, "=AAA",'Custom Test Script'!D2:D200,'Findings Overview'!A28,'Custom Test Script'!E2:E200,'Findings Overview'!F26)</f>
        <v>0</v>
      </c>
      <c r="G28" s="30">
        <f>SUMIFS('Findings Breakdown'!D2:D62,'Findings Breakdown'!B2:B62,"=AAA",'Findings Breakdown'!H2:H62,'Findings Overview'!G26)+SUMIFS('Findings Breakdown'!D66:D82,'Findings Breakdown'!B66:B82,"=AAA",'Findings Breakdown'!H66:H82,'Findings Overview'!G26)+SUMIFS('Findings Breakdown'!D86:D94,'Findings Breakdown'!B86:B94,"=AAA",'Findings Breakdown'!H86:H94,'Findings Overview'!G26)</f>
        <v>0</v>
      </c>
      <c r="H28" s="30">
        <f>SUMIFS('Findings Breakdown'!D2:D62,'Findings Breakdown'!B2:B62,"=AAA",'Findings Breakdown'!H2:H62,'Findings Overview'!H26)+SUMIFS('Findings Breakdown'!D66:D82,'Findings Breakdown'!B66:B82,"=AAA",'Findings Breakdown'!H66:H82,'Findings Overview'!H26)+SUMIFS('Findings Breakdown'!D86:D94,'Findings Breakdown'!B86:B94,"=AAA",'Findings Breakdown'!H86:H94,'Findings Overview'!H26)</f>
        <v>0</v>
      </c>
      <c r="I28" s="30">
        <f>SUMIFS('Findings Breakdown'!D2:D62,'Findings Breakdown'!B2:B62,"=AAA",'Findings Breakdown'!H2:H62,'Findings Overview'!I26)+SUMIFS('Findings Breakdown'!D66:D82,'Findings Breakdown'!B66:B82,"=AAA",'Findings Breakdown'!H66:H82,'Findings Overview'!I26)+SUMIFS('Findings Breakdown'!D86:D94,'Findings Breakdown'!B86:B94,"=AAA",'Findings Breakdown'!H86:H94,'Findings Overview'!I26)</f>
        <v>0</v>
      </c>
    </row>
    <row r="29" spans="1:9" ht="30" customHeight="1" x14ac:dyDescent="0.35">
      <c r="A29" s="145" t="s">
        <v>74</v>
      </c>
      <c r="B29" s="30">
        <f>SUMIF('Findings Breakdown'!B2:B62,"=AAA",'Findings Breakdown'!E2:E62)+SUMIF('Findings Breakdown'!B66:B82,"=AAA",'Findings Breakdown'!E66:E82)+SUMIF('Findings Breakdown'!B86:B94,"=AAA",'Findings Breakdown'!E86:E94)</f>
        <v>0</v>
      </c>
      <c r="C29" s="30">
        <f>COUNTIFS('Report Entry'!J26:J207, "=AAA",'Report Entry'!B26:B207,'Findings Overview'!A29,'Report Entry'!C26:C207,'Findings Overview'!C26)+COUNTIFS('Custom Test Script'!K2:K200, "=AAA",'Custom Test Script'!D2:D200,'Findings Overview'!A29,'Custom Test Script'!E2:E200,'Findings Overview'!C26)</f>
        <v>0</v>
      </c>
      <c r="D29" s="30">
        <f>COUNTIFS('Report Entry'!J26:J207, "=AAA",'Report Entry'!B26:B207,'Findings Overview'!A29,'Report Entry'!C26:C207,'Findings Overview'!D26)+COUNTIFS('Custom Test Script'!K2:K200, "=AAA",'Custom Test Script'!D2:D200,'Findings Overview'!A29,'Custom Test Script'!E2:E200,'Findings Overview'!D26)</f>
        <v>0</v>
      </c>
      <c r="E29" s="30">
        <f>COUNTIFS('Report Entry'!J26:J207, "=AAA",'Report Entry'!B26:B207,'Findings Overview'!A29,'Report Entry'!C26:C207,'Findings Overview'!E26)+COUNTIFS('Custom Test Script'!K2:K200, "=AAA",'Custom Test Script'!D2:D200,'Findings Overview'!A29,'Custom Test Script'!E2:E200,'Findings Overview'!E26)</f>
        <v>0</v>
      </c>
      <c r="F29" s="30">
        <f>COUNTIFS('Report Entry'!J26:J207, "=AAA",'Report Entry'!B26:B207,'Findings Overview'!A29,'Report Entry'!C26:C207,'Findings Overview'!F26)+COUNTIFS('Custom Test Script'!K2:K200, "=AAA",'Custom Test Script'!D2:D200,'Findings Overview'!A29,'Custom Test Script'!E2:E200,'Findings Overview'!F26)</f>
        <v>0</v>
      </c>
      <c r="G29" s="30">
        <f>SUMIFS('Findings Breakdown'!E2:E62,'Findings Breakdown'!B2:B62,"=AAA",'Findings Breakdown'!H2:H62,'Findings Overview'!G26)+SUMIFS('Findings Breakdown'!E66:E82,'Findings Breakdown'!B66:B82,"=AAA",'Findings Breakdown'!H66:H82,'Findings Overview'!G26)+SUMIFS('Findings Breakdown'!E86:E94,'Findings Breakdown'!B86:B94,"=AAA",'Findings Breakdown'!H86:H94,'Findings Overview'!G26)</f>
        <v>0</v>
      </c>
      <c r="H29" s="30">
        <f>SUMIFS('Findings Breakdown'!E2:E62,'Findings Breakdown'!B2:B62,"=AAA",'Findings Breakdown'!H2:H62,'Findings Overview'!H26)+SUMIFS('Findings Breakdown'!E66:E82,'Findings Breakdown'!B66:B82,"=AAA",'Findings Breakdown'!H66:H82,'Findings Overview'!H26)+SUMIFS('Findings Breakdown'!E86:E94,'Findings Breakdown'!B86:B94,"=AAA",'Findings Breakdown'!H86:H94,'Findings Overview'!H26)</f>
        <v>0</v>
      </c>
      <c r="I29" s="30">
        <f>SUMIFS('Findings Breakdown'!E2:E62,'Findings Breakdown'!B2:B62,"=AAA",'Findings Breakdown'!H2:H62,'Findings Overview'!I26)+SUMIFS('Findings Breakdown'!E66:E82,'Findings Breakdown'!B66:B82,"=AAA",'Findings Breakdown'!H66:H82,'Findings Overview'!I26)+SUMIFS('Findings Breakdown'!E86:E94,'Findings Breakdown'!B86:B94,"=AAA",'Findings Breakdown'!H86:H94,'Findings Overview'!I26)</f>
        <v>0</v>
      </c>
    </row>
    <row r="30" spans="1:9" ht="30" customHeight="1" x14ac:dyDescent="0.35">
      <c r="A30" s="145" t="s">
        <v>75</v>
      </c>
      <c r="B30" s="30">
        <f>SUMIF('Findings Breakdown'!B2:B62,"=AAA",'Findings Breakdown'!F2:F62)+SUMIF('Findings Breakdown'!B66:B82,"=AAA",'Findings Breakdown'!F66:F82)+SUMIF('Findings Breakdown'!B86:B94,"=AAA",'Findings Breakdown'!F86:F94)</f>
        <v>0</v>
      </c>
      <c r="C30" s="30">
        <f>COUNTIFS('Report Entry'!J26:J207, "=AAA",'Report Entry'!B26:B207,'Findings Overview'!A30,'Report Entry'!C26:C207,'Findings Overview'!C26)+COUNTIFS('Custom Test Script'!K2:K200, "=AAA",'Custom Test Script'!D2:D200,'Findings Overview'!A30,'Custom Test Script'!E2:E200,'Findings Overview'!C26)</f>
        <v>0</v>
      </c>
      <c r="D30" s="30">
        <f>COUNTIFS('Report Entry'!J26:J207, "=AAA",'Report Entry'!B26:B207,'Findings Overview'!A30,'Report Entry'!C26:C207,'Findings Overview'!D26)+COUNTIFS('Custom Test Script'!K2:K200, "=AAA",'Custom Test Script'!D2:D200,'Findings Overview'!A30,'Custom Test Script'!E2:E200,'Findings Overview'!D26)</f>
        <v>0</v>
      </c>
      <c r="E30" s="30">
        <f>COUNTIFS('Report Entry'!J26:J207, "=AAA",'Report Entry'!B26:B207,'Findings Overview'!A30,'Report Entry'!C26:C207,'Findings Overview'!E26)+COUNTIFS('Custom Test Script'!K2:K200, "=AAA",'Custom Test Script'!D2:D200,'Findings Overview'!A30,'Custom Test Script'!E2:E200,'Findings Overview'!E26)</f>
        <v>0</v>
      </c>
      <c r="F30" s="30">
        <f>COUNTIFS('Report Entry'!J26:J207, "=AAA",'Report Entry'!B26:B207,'Findings Overview'!A30,'Report Entry'!C26:C207,'Findings Overview'!F26)+COUNTIFS('Custom Test Script'!K2:K200, "=AAA",'Custom Test Script'!D2:D200,'Findings Overview'!A30,'Custom Test Script'!E2:E200,'Findings Overview'!F26)</f>
        <v>0</v>
      </c>
      <c r="G30" s="30">
        <f>SUMIFS('Findings Breakdown'!F2:F62,'Findings Breakdown'!B2:B62,"=AAA",'Findings Breakdown'!H2:H62,'Findings Overview'!G26)+SUMIFS('Findings Breakdown'!F66:F82,'Findings Breakdown'!B66:B82,"=AAA",'Findings Breakdown'!H66:H82,'Findings Overview'!G26)+SUMIFS('Findings Breakdown'!F86:F94,'Findings Breakdown'!B86:B94,"=AAA",'Findings Breakdown'!H86:H94,'Findings Overview'!G26)</f>
        <v>0</v>
      </c>
      <c r="H30" s="30">
        <f>SUMIFS('Findings Breakdown'!F2:F62,'Findings Breakdown'!B2:B62,"=AAA",'Findings Breakdown'!H2:H62,'Findings Overview'!H26)+SUMIFS('Findings Breakdown'!F66:F82,'Findings Breakdown'!B66:B82,"=AAA",'Findings Breakdown'!H66:H82,'Findings Overview'!H26)+SUMIFS('Findings Breakdown'!F86:F94,'Findings Breakdown'!B86:B94,"=AAA",'Findings Breakdown'!H86:H94,'Findings Overview'!H26)</f>
        <v>0</v>
      </c>
      <c r="I30" s="30">
        <f>SUMIFS('Findings Breakdown'!F2:F62,'Findings Breakdown'!B2:B62,"=AAA",'Findings Breakdown'!H2:H62,'Findings Overview'!I26)+SUMIFS('Findings Breakdown'!F66:F82,'Findings Breakdown'!B66:B82,"=AAA",'Findings Breakdown'!H66:H82,'Findings Overview'!I26)+SUMIFS('Findings Breakdown'!F86:F94,'Findings Breakdown'!B86:B94,"=AAA",'Findings Breakdown'!H86:H94,'Findings Overview'!I26)</f>
        <v>0</v>
      </c>
    </row>
    <row r="31" spans="1:9" ht="30" customHeight="1" x14ac:dyDescent="0.35">
      <c r="A31" s="145" t="s">
        <v>76</v>
      </c>
      <c r="B31" s="30">
        <f>SUMIF('Findings Breakdown'!B2:B62,"=AAA",'Findings Breakdown'!G2:G62)+SUMIF('Findings Breakdown'!B66:B82,"=AAA",'Findings Breakdown'!G66:G82)+SUMIF('Findings Breakdown'!B86:B94,"=AAA",'Findings Breakdown'!G86:G94)</f>
        <v>0</v>
      </c>
      <c r="C31" s="30">
        <f>COUNTIFS('Report Entry'!J26:J207, "=AAA",'Report Entry'!B26:B207,'Findings Overview'!A31,'Report Entry'!C26:C207,'Findings Overview'!C26)+COUNTIFS('Custom Test Script'!K2:K200, "=AAA",'Custom Test Script'!D2:D200,'Findings Overview'!A31,'Custom Test Script'!E2:E200,'Findings Overview'!C26)</f>
        <v>0</v>
      </c>
      <c r="D31" s="30">
        <f>COUNTIFS('Report Entry'!J26:J207, "=AAA",'Report Entry'!B26:B207,'Findings Overview'!A31,'Report Entry'!C26:C207,'Findings Overview'!D26)+COUNTIFS('Custom Test Script'!K2:K200, "=AAA",'Custom Test Script'!D2:D200,'Findings Overview'!A31,'Custom Test Script'!E2:E200,'Findings Overview'!D26)</f>
        <v>0</v>
      </c>
      <c r="E31" s="30">
        <f>COUNTIFS('Report Entry'!J26:J207, "=AAA",'Report Entry'!B26:B207,'Findings Overview'!A31,'Report Entry'!C26:C207,'Findings Overview'!E26)+COUNTIFS('Custom Test Script'!K2:K200, "=AAA",'Custom Test Script'!D2:D200,'Findings Overview'!A31,'Custom Test Script'!E2:E200,'Findings Overview'!E26)</f>
        <v>0</v>
      </c>
      <c r="F31" s="30">
        <f>COUNTIFS('Report Entry'!J26:J207, "=AAA",'Report Entry'!B26:B207,'Findings Overview'!A31,'Report Entry'!C26:C207,'Findings Overview'!F26)+COUNTIFS('Custom Test Script'!K2:K200, "=AAA",'Custom Test Script'!D2:D200,'Findings Overview'!A31,'Custom Test Script'!E2:E200,'Findings Overview'!F26)</f>
        <v>0</v>
      </c>
      <c r="G31" s="30">
        <f>SUMIFS('Findings Breakdown'!G2:G62,'Findings Breakdown'!B2:B62,"=AAA",'Findings Breakdown'!H2:H62,'Findings Overview'!G26)+SUMIFS('Findings Breakdown'!G66:G82,'Findings Breakdown'!B66:B82,"=AAA",'Findings Breakdown'!H66:H82,'Findings Overview'!G26)+SUMIFS('Findings Breakdown'!G86:G94,'Findings Breakdown'!B86:B94,"=AAA",'Findings Breakdown'!H86:H94,'Findings Overview'!G26)</f>
        <v>0</v>
      </c>
      <c r="H31" s="30">
        <f>SUMIFS('Findings Breakdown'!G2:G62,'Findings Breakdown'!B2:B62,"=AAA",'Findings Breakdown'!H2:H62,'Findings Overview'!H26)+SUMIFS('Findings Breakdown'!G66:G82,'Findings Breakdown'!B66:B82,"=AAA",'Findings Breakdown'!H66:H82,'Findings Overview'!H26)+SUMIFS('Findings Breakdown'!G86:G94,'Findings Breakdown'!B86:B94,"=AAA",'Findings Breakdown'!H86:H94,'Findings Overview'!H26)</f>
        <v>0</v>
      </c>
      <c r="I31" s="30">
        <f>SUMIFS('Findings Breakdown'!G2:G62,'Findings Breakdown'!B2:B62,"=AAA",'Findings Breakdown'!H2:H62,'Findings Overview'!I26)+SUMIFS('Findings Breakdown'!G66:G82,'Findings Breakdown'!B66:B82,"=AAA",'Findings Breakdown'!H66:H82,'Findings Overview'!I26)+SUMIFS('Findings Breakdown'!G86:G94,'Findings Breakdown'!B86:B94,"=AAA",'Findings Breakdown'!H86:H94,'Findings Overview'!I26)</f>
        <v>0</v>
      </c>
    </row>
  </sheetData>
  <sheetProtection algorithmName="SHA-512" hashValue="JTxZecUc5ro9QA+C6XqBZW4pGOtIMO+71eq+/3MHkyJJ/um00kD58rPpIQOJP7dEDNgYNyRLkkg/nzZumD/Z8w==" saltValue="uv++D5AdYmuAMexplU4dYA==" spinCount="100000" sheet="1" objects="1" scenarios="1"/>
  <mergeCells count="12">
    <mergeCell ref="A1:B1"/>
    <mergeCell ref="C1:F1"/>
    <mergeCell ref="G1:I1"/>
    <mergeCell ref="A9:B9"/>
    <mergeCell ref="C9:F9"/>
    <mergeCell ref="G9:I9"/>
    <mergeCell ref="A17:B17"/>
    <mergeCell ref="C17:F17"/>
    <mergeCell ref="G17:I17"/>
    <mergeCell ref="A25:B25"/>
    <mergeCell ref="C25:F25"/>
    <mergeCell ref="G25:I25"/>
  </mergeCells>
  <conditionalFormatting sqref="B3:I7">
    <cfRule type="cellIs" dxfId="18" priority="4" operator="greaterThan">
      <formula>0</formula>
    </cfRule>
  </conditionalFormatting>
  <conditionalFormatting sqref="B11:I15">
    <cfRule type="cellIs" dxfId="17" priority="3" operator="greaterThan">
      <formula>0</formula>
    </cfRule>
  </conditionalFormatting>
  <conditionalFormatting sqref="B19:I23">
    <cfRule type="cellIs" dxfId="16" priority="2" operator="greaterThan">
      <formula>0</formula>
    </cfRule>
  </conditionalFormatting>
  <conditionalFormatting sqref="B27:I31">
    <cfRule type="cellIs" dxfId="15" priority="1" operator="greaterThan">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51B95D8C-0A40-4C01-9D8B-0AC0FBB86309}">
          <x14:formula1>
            <xm:f>'Validations List'!$A$105:$A$109</xm:f>
          </x14:formula1>
          <xm:sqref>A3:A7 A11:A15 A19:A23 A27:A31</xm:sqref>
        </x14:dataValidation>
        <x14:dataValidation type="list" allowBlank="1" showInputMessage="1" showErrorMessage="1" xr:uid="{F8B0CB74-078F-43FB-96E4-C31EACEF41E9}">
          <x14:formula1>
            <xm:f>'Validations List'!$A$99:$A$103</xm:f>
          </x14:formula1>
          <xm:sqref>C2:F2 C10:F10 C18:F18 C26:F26</xm:sqref>
        </x14:dataValidation>
        <x14:dataValidation type="list" allowBlank="1" showInputMessage="1" showErrorMessage="1" xr:uid="{632E5047-097F-4B55-A8CF-D063D156F28D}">
          <x14:formula1>
            <xm:f>'Validations List'!$A$113:$A$115</xm:f>
          </x14:formula1>
          <xm:sqref>G2:J2 G10:I10 G18:I18 G26:I26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2F2C4-F807-4287-884A-761604C06F74}">
  <sheetPr>
    <tabColor theme="9" tint="0.59999389629810485"/>
  </sheetPr>
  <dimension ref="A1:J165"/>
  <sheetViews>
    <sheetView topLeftCell="A4" zoomScale="80" zoomScaleNormal="80" workbookViewId="0">
      <selection activeCell="D22" sqref="D22"/>
    </sheetView>
  </sheetViews>
  <sheetFormatPr defaultColWidth="8.88671875" defaultRowHeight="13.8" x14ac:dyDescent="0.25"/>
  <cols>
    <col min="1" max="1" width="72.33203125" style="29" customWidth="1"/>
    <col min="2" max="2" width="67.44140625" style="29" customWidth="1"/>
    <col min="3" max="3" width="97.5546875" style="29" customWidth="1"/>
    <col min="4" max="4" width="69.44140625" style="29" customWidth="1"/>
    <col min="5" max="5" width="76.6640625" style="29" customWidth="1"/>
    <col min="6" max="6" width="63.6640625" style="29" customWidth="1"/>
    <col min="7" max="7" width="50.44140625" style="29" customWidth="1"/>
    <col min="8" max="8" width="30.44140625" style="29" customWidth="1"/>
    <col min="9" max="9" width="24.109375" style="29" customWidth="1"/>
    <col min="10" max="10" width="31.33203125" style="29" customWidth="1"/>
    <col min="11" max="16384" width="8.88671875" style="29"/>
  </cols>
  <sheetData>
    <row r="1" spans="1:5" ht="20.399999999999999" customHeight="1" x14ac:dyDescent="0.3">
      <c r="A1" s="64" t="s">
        <v>80</v>
      </c>
    </row>
    <row r="2" spans="1:5" ht="50.4" customHeight="1" x14ac:dyDescent="0.25">
      <c r="A2" s="48" t="s">
        <v>23</v>
      </c>
      <c r="B2" s="49" t="s">
        <v>24</v>
      </c>
      <c r="C2" s="50" t="s">
        <v>81</v>
      </c>
      <c r="D2" s="156" t="s">
        <v>82</v>
      </c>
      <c r="E2" s="157" t="s">
        <v>83</v>
      </c>
    </row>
    <row r="3" spans="1:5" ht="50.1" customHeight="1" x14ac:dyDescent="0.4">
      <c r="A3" s="51" t="s">
        <v>84</v>
      </c>
      <c r="B3" s="31" t="s">
        <v>85</v>
      </c>
      <c r="C3" s="32" t="s">
        <v>86</v>
      </c>
      <c r="D3" s="35" t="str" cm="1">
        <f t="array" aca="1" ref="D3" ca="1">IFERROR(INDEX(D26:INDIRECT("C"&amp;(E3+18)),MODE(MATCH(D26:INDIRECT("C"&amp;(E3+18)),D26:INDIRECT("C"&amp;(E3+18)),0))),"No Leader")</f>
        <v>No Leader</v>
      </c>
      <c r="E3" s="36">
        <f>COUNTIF(D26:D125,"*")</f>
        <v>0</v>
      </c>
    </row>
    <row r="4" spans="1:5" ht="50.1" customHeight="1" x14ac:dyDescent="0.4">
      <c r="A4" s="51" t="s">
        <v>26</v>
      </c>
      <c r="B4" s="34">
        <v>45752</v>
      </c>
      <c r="C4" s="32" t="s">
        <v>87</v>
      </c>
    </row>
    <row r="5" spans="1:5" ht="50.1" customHeight="1" x14ac:dyDescent="0.4">
      <c r="A5" s="51" t="s">
        <v>27</v>
      </c>
      <c r="B5" s="37" t="s">
        <v>88</v>
      </c>
      <c r="C5" s="32" t="s">
        <v>89</v>
      </c>
      <c r="D5" s="38"/>
      <c r="E5" s="38"/>
    </row>
    <row r="6" spans="1:5" ht="50.1" customHeight="1" x14ac:dyDescent="0.4">
      <c r="A6" s="51" t="s">
        <v>90</v>
      </c>
      <c r="B6" s="39">
        <v>20</v>
      </c>
      <c r="C6" s="40" t="s">
        <v>91</v>
      </c>
      <c r="D6" s="38"/>
      <c r="E6" s="38"/>
    </row>
    <row r="7" spans="1:5" ht="50.1" customHeight="1" x14ac:dyDescent="0.4">
      <c r="A7" s="51" t="s">
        <v>29</v>
      </c>
      <c r="B7" s="34" t="s">
        <v>92</v>
      </c>
      <c r="C7" s="32" t="s">
        <v>93</v>
      </c>
      <c r="D7" s="38"/>
      <c r="E7" s="38"/>
    </row>
    <row r="8" spans="1:5" ht="50.1" customHeight="1" x14ac:dyDescent="0.4">
      <c r="A8" s="51" t="s">
        <v>30</v>
      </c>
      <c r="B8" s="34" t="s">
        <v>78</v>
      </c>
      <c r="C8" s="40" t="s">
        <v>94</v>
      </c>
      <c r="D8" s="38"/>
      <c r="E8" s="38"/>
    </row>
    <row r="9" spans="1:5" ht="50.1" customHeight="1" x14ac:dyDescent="0.4">
      <c r="A9" s="51" t="s">
        <v>95</v>
      </c>
      <c r="B9" s="41" t="s">
        <v>96</v>
      </c>
      <c r="C9" s="40" t="s">
        <v>97</v>
      </c>
      <c r="D9" s="38"/>
      <c r="E9" s="38"/>
    </row>
    <row r="10" spans="1:5" ht="62.25" customHeight="1" x14ac:dyDescent="0.4">
      <c r="A10" s="52" t="s">
        <v>98</v>
      </c>
      <c r="B10" s="41" t="s">
        <v>99</v>
      </c>
      <c r="C10" s="32" t="s">
        <v>100</v>
      </c>
      <c r="D10" s="38"/>
      <c r="E10" s="38"/>
    </row>
    <row r="11" spans="1:5" ht="50.1" customHeight="1" x14ac:dyDescent="0.4">
      <c r="A11" s="51" t="s">
        <v>101</v>
      </c>
      <c r="B11" s="41" t="s">
        <v>102</v>
      </c>
      <c r="C11" s="32" t="s">
        <v>103</v>
      </c>
      <c r="D11" s="38"/>
      <c r="E11" s="38"/>
    </row>
    <row r="12" spans="1:5" ht="22.8" x14ac:dyDescent="0.4">
      <c r="A12" s="51" t="s">
        <v>104</v>
      </c>
      <c r="B12" s="42" t="s">
        <v>105</v>
      </c>
      <c r="C12" s="32" t="s">
        <v>106</v>
      </c>
    </row>
    <row r="13" spans="1:5" ht="22.8" x14ac:dyDescent="0.4">
      <c r="A13" s="51" t="s">
        <v>36</v>
      </c>
      <c r="B13" s="42" t="s">
        <v>107</v>
      </c>
      <c r="C13" s="32" t="s">
        <v>108</v>
      </c>
    </row>
    <row r="14" spans="1:5" ht="22.8" x14ac:dyDescent="0.4">
      <c r="A14" s="51" t="s">
        <v>109</v>
      </c>
      <c r="B14" s="43" t="s">
        <v>107</v>
      </c>
      <c r="C14" s="32" t="s">
        <v>110</v>
      </c>
    </row>
    <row r="15" spans="1:5" ht="22.8" x14ac:dyDescent="0.4">
      <c r="A15" s="164" t="s">
        <v>111</v>
      </c>
      <c r="B15" s="164"/>
      <c r="C15" s="164"/>
    </row>
    <row r="16" spans="1:5" ht="52.2" customHeight="1" x14ac:dyDescent="0.4">
      <c r="A16" s="51" t="s">
        <v>112</v>
      </c>
      <c r="B16" s="59" t="s">
        <v>113</v>
      </c>
      <c r="C16" s="44">
        <f>IF(B16='Validations List'!E97,'Validations List'!F97,IF(B16='Validations List'!E98,'Validations List'!F98,IF(B16='Validations List'!E99,'Validations List'!F99,IF(B16='Validations List'!E100,'Validations List'!F100,0))))</f>
        <v>50</v>
      </c>
    </row>
    <row r="17" spans="1:10" ht="49.2" customHeight="1" x14ac:dyDescent="0.4">
      <c r="A17" s="51" t="s">
        <v>114</v>
      </c>
      <c r="B17" s="39" t="s">
        <v>115</v>
      </c>
      <c r="C17" s="46">
        <f>IF(B17='Validations List'!G97,'Validations List'!H97,IF(B17='Validations List'!G98,'Validations List'!H98,IF(B17='Validations List'!G99,'Validations List'!H99,IF(B17='Validations List'!G100,'Validations List'!H100,0))))</f>
        <v>50</v>
      </c>
    </row>
    <row r="18" spans="1:10" ht="46.95" customHeight="1" x14ac:dyDescent="0.4">
      <c r="A18" s="51" t="s">
        <v>116</v>
      </c>
      <c r="B18" s="39" t="s">
        <v>117</v>
      </c>
      <c r="C18" s="46">
        <f>IF(B18='Validations List'!I97,'Validations List'!J97,IF(B18='Validations List'!I98,'Validations List'!J98,IF(B18='Validations List'!I99,'Validations List'!J99,IF(B18='Validations List'!I100,'Validations List'!J100,0))))</f>
        <v>50</v>
      </c>
    </row>
    <row r="19" spans="1:10" ht="49.2" customHeight="1" x14ac:dyDescent="0.4">
      <c r="A19" s="51" t="s">
        <v>118</v>
      </c>
      <c r="B19" s="39" t="s">
        <v>119</v>
      </c>
      <c r="C19" s="46">
        <f>IF(B19='Validations List'!K97,'Validations List'!L97,IF(B19='Validations List'!K98,'Validations List'!L98,IF(B19='Validations List'!K99,'Validations List'!L99,IF(B19='Validations List'!K100,'Validations List'!L100,0))))</f>
        <v>50</v>
      </c>
    </row>
    <row r="20" spans="1:10" ht="38.4" customHeight="1" x14ac:dyDescent="0.4">
      <c r="A20" s="51" t="s">
        <v>120</v>
      </c>
      <c r="B20" s="39" t="s">
        <v>121</v>
      </c>
      <c r="C20" s="46">
        <f>IF(B20='Validations List'!M97,'Validations List'!N97,IF(B20='Validations List'!M98,'Validations List'!N98,IF(B20='Validations List'!M99,'Validations List'!N99,IF(B20='Validations List'!M100,'Validations List'!N100,0))))</f>
        <v>50</v>
      </c>
    </row>
    <row r="21" spans="1:10" ht="44.4" customHeight="1" x14ac:dyDescent="0.4">
      <c r="A21" s="51" t="s">
        <v>122</v>
      </c>
      <c r="B21" s="39" t="s">
        <v>123</v>
      </c>
      <c r="C21" s="46">
        <f>IF(B21='Validations List'!O97,'Validations List'!P97,IF(B21='Validations List'!O98,'Validations List'!P98,IF(B21='Validations List'!O99,'Validations List'!P99,IF(B21='Validations List'!O100,'Validations List'!P100,0))))</f>
        <v>50</v>
      </c>
    </row>
    <row r="22" spans="1:10" ht="48" customHeight="1" x14ac:dyDescent="0.4">
      <c r="A22" s="51" t="s">
        <v>124</v>
      </c>
      <c r="B22" s="39" t="s">
        <v>125</v>
      </c>
      <c r="C22" s="46">
        <f>IF(B22='Validations List'!Q97,'Validations List'!R97,IF(B22='Validations List'!Q98,'Validations List'!R98,IF(B22='Validations List'!Q99,'Validations List'!R99,IF(B22='Validations List'!Q100,'Validations List'!R100,0))))</f>
        <v>50</v>
      </c>
    </row>
    <row r="23" spans="1:10" ht="22.8" x14ac:dyDescent="0.4">
      <c r="A23" s="165" t="s">
        <v>126</v>
      </c>
      <c r="B23" s="166"/>
      <c r="C23" s="33">
        <f>SUM(C16:C22)</f>
        <v>350</v>
      </c>
    </row>
    <row r="24" spans="1:10" ht="77.400000000000006" customHeight="1" x14ac:dyDescent="0.25">
      <c r="A24" s="158" t="s">
        <v>127</v>
      </c>
    </row>
    <row r="25" spans="1:10" ht="22.8" x14ac:dyDescent="0.25">
      <c r="A25" s="157" t="s">
        <v>128</v>
      </c>
      <c r="B25" s="157" t="s">
        <v>129</v>
      </c>
      <c r="C25" s="157" t="s">
        <v>130</v>
      </c>
      <c r="D25" s="157" t="s">
        <v>131</v>
      </c>
      <c r="E25" s="157" t="s">
        <v>132</v>
      </c>
      <c r="F25" s="157" t="s">
        <v>133</v>
      </c>
      <c r="G25" s="157" t="s">
        <v>134</v>
      </c>
      <c r="H25" s="157" t="s">
        <v>135</v>
      </c>
      <c r="I25" s="157" t="s">
        <v>136</v>
      </c>
      <c r="J25" s="157" t="s">
        <v>137</v>
      </c>
    </row>
    <row r="26" spans="1:10" ht="50.1" customHeight="1" x14ac:dyDescent="0.3">
      <c r="A26" s="53"/>
      <c r="B26" s="42"/>
      <c r="C26" s="42"/>
      <c r="D26" s="54"/>
      <c r="E26" s="53"/>
      <c r="F26" s="53"/>
      <c r="G26" s="53"/>
      <c r="H26" s="53"/>
      <c r="I26" s="55" t="str">
        <f>IFERROR(VLOOKUP(D26,MasterTable[[#All],[WCAG guideline]:[Level]],3,FALSE)," ")</f>
        <v xml:space="preserve"> </v>
      </c>
      <c r="J26" s="44" t="str">
        <f>IFERROR(VLOOKUP(D26,MasterTable[[#All],[WCAG guideline]:[Level]],4,FALSE)," ")</f>
        <v xml:space="preserve"> </v>
      </c>
    </row>
    <row r="27" spans="1:10" ht="50.1" customHeight="1" x14ac:dyDescent="0.3">
      <c r="A27" s="53"/>
      <c r="B27" s="42"/>
      <c r="C27" s="42"/>
      <c r="D27" s="54"/>
      <c r="E27" s="53"/>
      <c r="F27" s="53"/>
      <c r="G27" s="56"/>
      <c r="H27" s="53"/>
      <c r="I27" s="55" t="str">
        <f>IFERROR(VLOOKUP(D27,MasterTable[[#All],[WCAG guideline]:[Level]],3,FALSE)," ")</f>
        <v xml:space="preserve"> </v>
      </c>
      <c r="J27" s="44" t="str">
        <f>IFERROR(VLOOKUP(D27,MasterTable[[#All],[WCAG guideline]:[Level]],4,FALSE)," ")</f>
        <v xml:space="preserve"> </v>
      </c>
    </row>
    <row r="28" spans="1:10" ht="50.1" customHeight="1" x14ac:dyDescent="0.3">
      <c r="A28" s="53"/>
      <c r="B28" s="42"/>
      <c r="C28" s="42"/>
      <c r="D28" s="54"/>
      <c r="E28" s="53"/>
      <c r="F28" s="53"/>
      <c r="G28" s="56"/>
      <c r="H28" s="53"/>
      <c r="I28" s="55" t="str">
        <f>IFERROR(VLOOKUP(D28,MasterTable[[#All],[WCAG guideline]:[Level]],3,FALSE)," ")</f>
        <v xml:space="preserve"> </v>
      </c>
      <c r="J28" s="44" t="str">
        <f>IFERROR(VLOOKUP(D28,MasterTable[[#All],[WCAG guideline]:[Level]],4,FALSE)," ")</f>
        <v xml:space="preserve"> </v>
      </c>
    </row>
    <row r="29" spans="1:10" ht="50.1" customHeight="1" x14ac:dyDescent="0.3">
      <c r="A29" s="53"/>
      <c r="B29" s="42"/>
      <c r="C29" s="42"/>
      <c r="D29" s="54"/>
      <c r="E29" s="53"/>
      <c r="F29" s="53"/>
      <c r="G29" s="56"/>
      <c r="H29" s="53"/>
      <c r="I29" s="55" t="str">
        <f>IFERROR(VLOOKUP(D29,MasterTable[[#All],[WCAG guideline]:[Level]],3,FALSE)," ")</f>
        <v xml:space="preserve"> </v>
      </c>
      <c r="J29" s="44" t="str">
        <f>IFERROR(VLOOKUP(D29,MasterTable[[#All],[WCAG guideline]:[Level]],4,FALSE)," ")</f>
        <v xml:space="preserve"> </v>
      </c>
    </row>
    <row r="30" spans="1:10" ht="66.599999999999994" customHeight="1" x14ac:dyDescent="0.3">
      <c r="A30" s="53"/>
      <c r="B30" s="42"/>
      <c r="C30" s="42"/>
      <c r="D30" s="54"/>
      <c r="E30" s="53"/>
      <c r="F30" s="53"/>
      <c r="G30" s="53"/>
      <c r="H30" s="53"/>
      <c r="I30" s="55" t="str">
        <f>IFERROR(VLOOKUP(D30,MasterTable[[#All],[WCAG guideline]:[Level]],3,FALSE)," ")</f>
        <v xml:space="preserve"> </v>
      </c>
      <c r="J30" s="44" t="str">
        <f>IFERROR(VLOOKUP(D30,MasterTable[[#All],[WCAG guideline]:[Level]],4,FALSE)," ")</f>
        <v xml:space="preserve"> </v>
      </c>
    </row>
    <row r="31" spans="1:10" ht="117.75" customHeight="1" x14ac:dyDescent="0.3">
      <c r="A31" s="53"/>
      <c r="B31" s="42"/>
      <c r="C31" s="42"/>
      <c r="D31" s="54"/>
      <c r="E31" s="53"/>
      <c r="F31" s="53"/>
      <c r="G31" s="53"/>
      <c r="H31" s="53"/>
      <c r="I31" s="55" t="str">
        <f>IFERROR(VLOOKUP(D31,MasterTable[[#All],[WCAG guideline]:[Level]],3,FALSE)," ")</f>
        <v xml:space="preserve"> </v>
      </c>
      <c r="J31" s="44" t="str">
        <f>IFERROR(VLOOKUP(D31,MasterTable[[#All],[WCAG guideline]:[Level]],4,FALSE)," ")</f>
        <v xml:space="preserve"> </v>
      </c>
    </row>
    <row r="32" spans="1:10" ht="115.5" customHeight="1" x14ac:dyDescent="0.3">
      <c r="A32" s="53"/>
      <c r="B32" s="42"/>
      <c r="C32" s="42"/>
      <c r="D32" s="54"/>
      <c r="E32" s="53"/>
      <c r="F32" s="53"/>
      <c r="G32" s="56"/>
      <c r="H32" s="53"/>
      <c r="I32" s="55" t="str">
        <f>IFERROR(VLOOKUP(D32,MasterTable[[#All],[WCAG guideline]:[Level]],3,FALSE)," ")</f>
        <v xml:space="preserve"> </v>
      </c>
      <c r="J32" s="44" t="str">
        <f>IFERROR(VLOOKUP(D32,MasterTable[[#All],[WCAG guideline]:[Level]],4,FALSE)," ")</f>
        <v xml:space="preserve"> </v>
      </c>
    </row>
    <row r="33" spans="1:10" ht="126.75" customHeight="1" x14ac:dyDescent="0.3">
      <c r="A33" s="53"/>
      <c r="B33" s="42"/>
      <c r="C33" s="42"/>
      <c r="D33" s="54"/>
      <c r="E33" s="53"/>
      <c r="F33" s="53"/>
      <c r="G33" s="53"/>
      <c r="H33" s="53"/>
      <c r="I33" s="55" t="str">
        <f>IFERROR(VLOOKUP(D33,MasterTable[[#All],[WCAG guideline]:[Level]],3,FALSE)," ")</f>
        <v xml:space="preserve"> </v>
      </c>
      <c r="J33" s="44" t="str">
        <f>IFERROR(VLOOKUP(D33,MasterTable[[#All],[WCAG guideline]:[Level]],4,FALSE)," ")</f>
        <v xml:space="preserve"> </v>
      </c>
    </row>
    <row r="34" spans="1:10" ht="144.75" customHeight="1" x14ac:dyDescent="0.3">
      <c r="A34" s="53"/>
      <c r="B34" s="42"/>
      <c r="C34" s="42"/>
      <c r="D34" s="54"/>
      <c r="E34" s="53"/>
      <c r="F34" s="53"/>
      <c r="G34" s="53"/>
      <c r="H34" s="53"/>
      <c r="I34" s="55" t="str">
        <f>IFERROR(VLOOKUP(D34,MasterTable[[#All],[WCAG guideline]:[Level]],3,FALSE)," ")</f>
        <v xml:space="preserve"> </v>
      </c>
      <c r="J34" s="44" t="str">
        <f>IFERROR(VLOOKUP(D34,MasterTable[[#All],[WCAG guideline]:[Level]],4,FALSE)," ")</f>
        <v xml:space="preserve"> </v>
      </c>
    </row>
    <row r="35" spans="1:10" ht="210.75" customHeight="1" x14ac:dyDescent="0.3">
      <c r="A35" s="53"/>
      <c r="B35" s="42"/>
      <c r="C35" s="42"/>
      <c r="D35" s="54"/>
      <c r="E35" s="53"/>
      <c r="F35" s="53"/>
      <c r="G35" s="53"/>
      <c r="H35" s="53"/>
      <c r="I35" s="55" t="str">
        <f>IFERROR(VLOOKUP(D35,MasterTable[[#All],[WCAG guideline]:[Level]],3,FALSE)," ")</f>
        <v xml:space="preserve"> </v>
      </c>
      <c r="J35" s="44" t="str">
        <f>IFERROR(VLOOKUP(D35,MasterTable[[#All],[WCAG guideline]:[Level]],4,FALSE)," ")</f>
        <v xml:space="preserve"> </v>
      </c>
    </row>
    <row r="36" spans="1:10" ht="100.5" customHeight="1" x14ac:dyDescent="0.3">
      <c r="A36" s="53"/>
      <c r="B36" s="42"/>
      <c r="C36" s="42"/>
      <c r="D36" s="54"/>
      <c r="E36" s="53"/>
      <c r="F36" s="53"/>
      <c r="G36" s="53"/>
      <c r="H36" s="53"/>
      <c r="I36" s="55" t="str">
        <f>IFERROR(VLOOKUP(D36,MasterTable[[#All],[WCAG guideline]:[Level]],3,FALSE)," ")</f>
        <v xml:space="preserve"> </v>
      </c>
      <c r="J36" s="44" t="str">
        <f>IFERROR(VLOOKUP(D36,MasterTable[[#All],[WCAG guideline]:[Level]],4,FALSE)," ")</f>
        <v xml:space="preserve"> </v>
      </c>
    </row>
    <row r="37" spans="1:10" ht="102.9" customHeight="1" x14ac:dyDescent="0.3">
      <c r="A37" s="53"/>
      <c r="B37" s="42"/>
      <c r="C37" s="42"/>
      <c r="D37" s="54"/>
      <c r="E37" s="53"/>
      <c r="F37" s="53"/>
      <c r="G37" s="53"/>
      <c r="H37" s="53"/>
      <c r="I37" s="55" t="str">
        <f>IFERROR(VLOOKUP(D37,MasterTable[[#All],[WCAG guideline]:[Level]],3,FALSE)," ")</f>
        <v xml:space="preserve"> </v>
      </c>
      <c r="J37" s="44" t="str">
        <f>IFERROR(VLOOKUP(D37,MasterTable[[#All],[WCAG guideline]:[Level]],4,FALSE)," ")</f>
        <v xml:space="preserve"> </v>
      </c>
    </row>
    <row r="38" spans="1:10" ht="116.1" customHeight="1" x14ac:dyDescent="0.3">
      <c r="A38" s="53"/>
      <c r="B38" s="42"/>
      <c r="C38" s="42"/>
      <c r="D38" s="54"/>
      <c r="E38" s="53"/>
      <c r="F38" s="53"/>
      <c r="G38" s="53"/>
      <c r="H38" s="53"/>
      <c r="I38" s="55" t="str">
        <f>IFERROR(VLOOKUP(D38,MasterTable[[#All],[WCAG guideline]:[Level]],3,FALSE)," ")</f>
        <v xml:space="preserve"> </v>
      </c>
      <c r="J38" s="44" t="str">
        <f>IFERROR(VLOOKUP(D38,MasterTable[[#All],[WCAG guideline]:[Level]],4,FALSE)," ")</f>
        <v xml:space="preserve"> </v>
      </c>
    </row>
    <row r="39" spans="1:10" ht="135.9" customHeight="1" x14ac:dyDescent="0.3">
      <c r="A39" s="53"/>
      <c r="B39" s="42"/>
      <c r="C39" s="42"/>
      <c r="D39" s="54"/>
      <c r="E39" s="53"/>
      <c r="F39" s="53"/>
      <c r="G39" s="56"/>
      <c r="H39" s="53"/>
      <c r="I39" s="55" t="str">
        <f>IFERROR(VLOOKUP(D39,MasterTable[[#All],[WCAG guideline]:[Level]],3,FALSE)," ")</f>
        <v xml:space="preserve"> </v>
      </c>
      <c r="J39" s="44" t="str">
        <f>IFERROR(VLOOKUP(D39,MasterTable[[#All],[WCAG guideline]:[Level]],4,FALSE)," ")</f>
        <v xml:space="preserve"> </v>
      </c>
    </row>
    <row r="40" spans="1:10" ht="150" customHeight="1" x14ac:dyDescent="0.3">
      <c r="A40" s="53"/>
      <c r="B40" s="42"/>
      <c r="C40" s="42"/>
      <c r="D40" s="54"/>
      <c r="E40" s="53"/>
      <c r="F40" s="53"/>
      <c r="G40" s="53"/>
      <c r="H40" s="53"/>
      <c r="I40" s="55" t="str">
        <f>IFERROR(VLOOKUP(D40,MasterTable[[#All],[WCAG guideline]:[Level]],3,FALSE)," ")</f>
        <v xml:space="preserve"> </v>
      </c>
      <c r="J40" s="44" t="str">
        <f>IFERROR(VLOOKUP(D40,MasterTable[[#All],[WCAG guideline]:[Level]],4,FALSE)," ")</f>
        <v xml:space="preserve"> </v>
      </c>
    </row>
    <row r="41" spans="1:10" ht="129.6" customHeight="1" x14ac:dyDescent="0.3">
      <c r="A41" s="53"/>
      <c r="B41" s="42"/>
      <c r="C41" s="42"/>
      <c r="D41" s="54"/>
      <c r="E41" s="53"/>
      <c r="F41" s="53"/>
      <c r="G41" s="53"/>
      <c r="H41" s="53"/>
      <c r="I41" s="55" t="str">
        <f>IFERROR(VLOOKUP(D41,MasterTable[[#All],[WCAG guideline]:[Level]],3,FALSE)," ")</f>
        <v xml:space="preserve"> </v>
      </c>
      <c r="J41" s="44" t="str">
        <f>IFERROR(VLOOKUP(D41,MasterTable[[#All],[WCAG guideline]:[Level]],4,FALSE)," ")</f>
        <v xml:space="preserve"> </v>
      </c>
    </row>
    <row r="42" spans="1:10" ht="66.900000000000006" customHeight="1" x14ac:dyDescent="0.3">
      <c r="A42" s="53"/>
      <c r="B42" s="42"/>
      <c r="C42" s="42"/>
      <c r="D42" s="54"/>
      <c r="E42" s="53"/>
      <c r="F42" s="53"/>
      <c r="G42" s="57"/>
      <c r="H42" s="53"/>
      <c r="I42" s="55" t="str">
        <f>IFERROR(VLOOKUP(D42,MasterTable[[#All],[WCAG guideline]:[Level]],3,FALSE)," ")</f>
        <v xml:space="preserve"> </v>
      </c>
      <c r="J42" s="44" t="str">
        <f>IFERROR(VLOOKUP(D42,MasterTable[[#All],[WCAG guideline]:[Level]],4,FALSE)," ")</f>
        <v xml:space="preserve"> </v>
      </c>
    </row>
    <row r="43" spans="1:10" ht="81.900000000000006" customHeight="1" x14ac:dyDescent="0.3">
      <c r="A43" s="53"/>
      <c r="B43" s="42"/>
      <c r="C43" s="42"/>
      <c r="D43" s="54"/>
      <c r="E43" s="53"/>
      <c r="F43" s="53"/>
      <c r="G43" s="54"/>
      <c r="H43" s="53"/>
      <c r="I43" s="55" t="str">
        <f>IFERROR(VLOOKUP(D43,MasterTable[[#All],[WCAG guideline]:[Level]],3,FALSE)," ")</f>
        <v xml:space="preserve"> </v>
      </c>
      <c r="J43" s="44" t="str">
        <f>IFERROR(VLOOKUP(D43,MasterTable[[#All],[WCAG guideline]:[Level]],4,FALSE)," ")</f>
        <v xml:space="preserve"> </v>
      </c>
    </row>
    <row r="44" spans="1:10" ht="127.5" customHeight="1" x14ac:dyDescent="0.3">
      <c r="A44" s="53"/>
      <c r="B44" s="42"/>
      <c r="C44" s="42"/>
      <c r="D44" s="54"/>
      <c r="E44" s="53"/>
      <c r="F44" s="53"/>
      <c r="G44" s="53"/>
      <c r="H44" s="53"/>
      <c r="I44" s="55" t="str">
        <f>IFERROR(VLOOKUP(D44,MasterTable[[#All],[WCAG guideline]:[Level]],3,FALSE)," ")</f>
        <v xml:space="preserve"> </v>
      </c>
      <c r="J44" s="44" t="str">
        <f>IFERROR(VLOOKUP(D44,MasterTable[[#All],[WCAG guideline]:[Level]],4,FALSE)," ")</f>
        <v xml:space="preserve"> </v>
      </c>
    </row>
    <row r="45" spans="1:10" ht="90.75" customHeight="1" x14ac:dyDescent="0.3">
      <c r="A45" s="53"/>
      <c r="B45" s="42"/>
      <c r="C45" s="42"/>
      <c r="D45" s="54"/>
      <c r="E45" s="53"/>
      <c r="F45" s="53"/>
      <c r="G45" s="53"/>
      <c r="H45" s="53"/>
      <c r="I45" s="55" t="str">
        <f>IFERROR(VLOOKUP(D45,MasterTable[[#All],[WCAG guideline]:[Level]],3,FALSE)," ")</f>
        <v xml:space="preserve"> </v>
      </c>
      <c r="J45" s="44" t="str">
        <f>IFERROR(VLOOKUP(D45,MasterTable[[#All],[WCAG guideline]:[Level]],4,FALSE)," ")</f>
        <v xml:space="preserve"> </v>
      </c>
    </row>
    <row r="46" spans="1:10" ht="166.5" customHeight="1" x14ac:dyDescent="0.3">
      <c r="A46" s="53"/>
      <c r="B46" s="42"/>
      <c r="C46" s="42"/>
      <c r="D46" s="54"/>
      <c r="E46" s="53"/>
      <c r="F46" s="53"/>
      <c r="G46" s="53"/>
      <c r="H46" s="53"/>
      <c r="I46" s="55" t="str">
        <f>IFERROR(VLOOKUP(D46,MasterTable[[#All],[WCAG guideline]:[Level]],3,FALSE)," ")</f>
        <v xml:space="preserve"> </v>
      </c>
      <c r="J46" s="44" t="str">
        <f>IFERROR(VLOOKUP(D46,MasterTable[[#All],[WCAG guideline]:[Level]],4,FALSE)," ")</f>
        <v xml:space="preserve"> </v>
      </c>
    </row>
    <row r="47" spans="1:10" ht="139.5" customHeight="1" x14ac:dyDescent="0.3">
      <c r="A47" s="53"/>
      <c r="B47" s="42"/>
      <c r="C47" s="42"/>
      <c r="D47" s="54"/>
      <c r="E47" s="53"/>
      <c r="F47" s="53"/>
      <c r="G47" s="53"/>
      <c r="H47" s="53"/>
      <c r="I47" s="55" t="str">
        <f>IFERROR(VLOOKUP(D47,MasterTable[[#All],[WCAG guideline]:[Level]],3,FALSE)," ")</f>
        <v xml:space="preserve"> </v>
      </c>
      <c r="J47" s="44" t="str">
        <f>IFERROR(VLOOKUP(D47,MasterTable[[#All],[WCAG guideline]:[Level]],4,FALSE)," ")</f>
        <v xml:space="preserve"> </v>
      </c>
    </row>
    <row r="48" spans="1:10" ht="15.6" x14ac:dyDescent="0.3">
      <c r="A48" s="53"/>
      <c r="B48" s="42"/>
      <c r="C48" s="42"/>
      <c r="D48" s="54"/>
      <c r="E48" s="53"/>
      <c r="F48" s="53"/>
      <c r="G48" s="53"/>
      <c r="H48" s="53"/>
      <c r="I48" s="55" t="str">
        <f>IFERROR(VLOOKUP(D48,MasterTable[[#All],[WCAG guideline]:[Level]],3,FALSE)," ")</f>
        <v xml:space="preserve"> </v>
      </c>
      <c r="J48" s="44" t="str">
        <f>IFERROR(VLOOKUP(D48,MasterTable[[#All],[WCAG guideline]:[Level]],4,FALSE)," ")</f>
        <v xml:space="preserve"> </v>
      </c>
    </row>
    <row r="49" spans="1:10" ht="15.6" x14ac:dyDescent="0.3">
      <c r="A49" s="53"/>
      <c r="B49" s="42"/>
      <c r="C49" s="42"/>
      <c r="D49" s="54"/>
      <c r="E49" s="53"/>
      <c r="F49" s="53"/>
      <c r="G49" s="58"/>
      <c r="H49" s="53"/>
      <c r="I49" s="55" t="str">
        <f>IFERROR(VLOOKUP(D49,MasterTable[[#All],[WCAG guideline]:[Level]],3,FALSE)," ")</f>
        <v xml:space="preserve"> </v>
      </c>
      <c r="J49" s="44" t="str">
        <f>IFERROR(VLOOKUP(D49,MasterTable[[#All],[WCAG guideline]:[Level]],4,FALSE)," ")</f>
        <v xml:space="preserve"> </v>
      </c>
    </row>
    <row r="50" spans="1:10" ht="15.6" x14ac:dyDescent="0.3">
      <c r="A50" s="53"/>
      <c r="B50" s="42"/>
      <c r="C50" s="42"/>
      <c r="D50" s="54"/>
      <c r="E50" s="53"/>
      <c r="F50" s="53"/>
      <c r="G50" s="54"/>
      <c r="H50" s="53"/>
      <c r="I50" s="55" t="str">
        <f>IFERROR(VLOOKUP(D50,MasterTable[[#All],[WCAG guideline]:[Level]],3,FALSE)," ")</f>
        <v xml:space="preserve"> </v>
      </c>
      <c r="J50" s="44" t="str">
        <f>IFERROR(VLOOKUP(D50,MasterTable[[#All],[WCAG guideline]:[Level]],4,FALSE)," ")</f>
        <v xml:space="preserve"> </v>
      </c>
    </row>
    <row r="51" spans="1:10" ht="15.6" x14ac:dyDescent="0.3">
      <c r="A51" s="53"/>
      <c r="B51" s="42"/>
      <c r="C51" s="42"/>
      <c r="D51" s="54"/>
      <c r="E51" s="53"/>
      <c r="F51" s="53"/>
      <c r="G51" s="53"/>
      <c r="H51" s="53"/>
      <c r="I51" s="55" t="str">
        <f>IFERROR(VLOOKUP(D51,MasterTable[[#All],[WCAG guideline]:[Level]],3,FALSE)," ")</f>
        <v xml:space="preserve"> </v>
      </c>
      <c r="J51" s="44" t="str">
        <f>IFERROR(VLOOKUP(D51,MasterTable[[#All],[WCAG guideline]:[Level]],4,FALSE)," ")</f>
        <v xml:space="preserve"> </v>
      </c>
    </row>
    <row r="52" spans="1:10" ht="15.6" x14ac:dyDescent="0.3">
      <c r="A52" s="53"/>
      <c r="B52" s="42"/>
      <c r="C52" s="42"/>
      <c r="D52" s="54"/>
      <c r="E52" s="53"/>
      <c r="F52" s="53"/>
      <c r="G52" s="53"/>
      <c r="H52" s="53"/>
      <c r="I52" s="55" t="str">
        <f>IFERROR(VLOOKUP(D52,MasterTable[[#All],[WCAG guideline]:[Level]],3,FALSE)," ")</f>
        <v xml:space="preserve"> </v>
      </c>
      <c r="J52" s="44" t="str">
        <f>IFERROR(VLOOKUP(D52,MasterTable[[#All],[WCAG guideline]:[Level]],4,FALSE)," ")</f>
        <v xml:space="preserve"> </v>
      </c>
    </row>
    <row r="53" spans="1:10" ht="15.6" x14ac:dyDescent="0.3">
      <c r="A53" s="53"/>
      <c r="B53" s="42"/>
      <c r="C53" s="42"/>
      <c r="D53" s="54"/>
      <c r="E53" s="53"/>
      <c r="F53" s="53"/>
      <c r="G53" s="53"/>
      <c r="H53" s="53"/>
      <c r="I53" s="55" t="str">
        <f>IFERROR(VLOOKUP(D53,MasterTable[[#All],[WCAG guideline]:[Level]],3,FALSE)," ")</f>
        <v xml:space="preserve"> </v>
      </c>
      <c r="J53" s="44" t="str">
        <f>IFERROR(VLOOKUP(D53,MasterTable[[#All],[WCAG guideline]:[Level]],4,FALSE)," ")</f>
        <v xml:space="preserve"> </v>
      </c>
    </row>
    <row r="54" spans="1:10" ht="15.6" x14ac:dyDescent="0.3">
      <c r="A54" s="53"/>
      <c r="B54" s="42"/>
      <c r="C54" s="42"/>
      <c r="D54" s="54"/>
      <c r="E54" s="53"/>
      <c r="F54" s="53"/>
      <c r="G54" s="53"/>
      <c r="H54" s="53"/>
      <c r="I54" s="55" t="str">
        <f>IFERROR(VLOOKUP(D54,MasterTable[[#All],[WCAG guideline]:[Level]],3,FALSE)," ")</f>
        <v xml:space="preserve"> </v>
      </c>
      <c r="J54" s="44" t="str">
        <f>IFERROR(VLOOKUP(D54,MasterTable[[#All],[WCAG guideline]:[Level]],4,FALSE)," ")</f>
        <v xml:space="preserve"> </v>
      </c>
    </row>
    <row r="55" spans="1:10" ht="15.6" x14ac:dyDescent="0.3">
      <c r="A55" s="53"/>
      <c r="B55" s="42"/>
      <c r="C55" s="42"/>
      <c r="D55" s="54"/>
      <c r="E55" s="53"/>
      <c r="F55" s="53"/>
      <c r="G55" s="53"/>
      <c r="H55" s="53"/>
      <c r="I55" s="55" t="str">
        <f>IFERROR(VLOOKUP(D55,MasterTable[[#All],[WCAG guideline]:[Level]],3,FALSE)," ")</f>
        <v xml:space="preserve"> </v>
      </c>
      <c r="J55" s="44" t="str">
        <f>IFERROR(VLOOKUP(D55,MasterTable[[#All],[WCAG guideline]:[Level]],4,FALSE)," ")</f>
        <v xml:space="preserve"> </v>
      </c>
    </row>
    <row r="56" spans="1:10" ht="15.6" x14ac:dyDescent="0.3">
      <c r="A56" s="53"/>
      <c r="B56" s="42"/>
      <c r="C56" s="42"/>
      <c r="D56" s="54"/>
      <c r="E56" s="53"/>
      <c r="F56" s="53"/>
      <c r="G56" s="53"/>
      <c r="H56" s="53"/>
      <c r="I56" s="55" t="str">
        <f>IFERROR(VLOOKUP(D56,MasterTable[[#All],[WCAG guideline]:[Level]],3,FALSE)," ")</f>
        <v xml:space="preserve"> </v>
      </c>
      <c r="J56" s="44" t="str">
        <f>IFERROR(VLOOKUP(D56,MasterTable[[#All],[WCAG guideline]:[Level]],4,FALSE)," ")</f>
        <v xml:space="preserve"> </v>
      </c>
    </row>
    <row r="57" spans="1:10" ht="15.6" x14ac:dyDescent="0.3">
      <c r="A57" s="53"/>
      <c r="B57" s="42"/>
      <c r="C57" s="42"/>
      <c r="D57" s="54"/>
      <c r="E57" s="53"/>
      <c r="F57" s="53"/>
      <c r="G57" s="53"/>
      <c r="H57" s="53"/>
      <c r="I57" s="55" t="str">
        <f>IFERROR(VLOOKUP(D57,MasterTable[[#All],[WCAG guideline]:[Level]],3,FALSE)," ")</f>
        <v xml:space="preserve"> </v>
      </c>
      <c r="J57" s="44" t="str">
        <f>IFERROR(VLOOKUP(D57,MasterTable[[#All],[WCAG guideline]:[Level]],4,FALSE)," ")</f>
        <v xml:space="preserve"> </v>
      </c>
    </row>
    <row r="58" spans="1:10" ht="15.6" x14ac:dyDescent="0.3">
      <c r="A58" s="53"/>
      <c r="B58" s="42"/>
      <c r="C58" s="42"/>
      <c r="D58" s="54"/>
      <c r="E58" s="53"/>
      <c r="F58" s="53"/>
      <c r="G58" s="58"/>
      <c r="H58" s="53"/>
      <c r="I58" s="55" t="str">
        <f>IFERROR(VLOOKUP(D58,MasterTable[[#All],[WCAG guideline]:[Level]],3,FALSE)," ")</f>
        <v xml:space="preserve"> </v>
      </c>
      <c r="J58" s="44" t="str">
        <f>IFERROR(VLOOKUP(D58,MasterTable[[#All],[WCAG guideline]:[Level]],4,FALSE)," ")</f>
        <v xml:space="preserve"> </v>
      </c>
    </row>
    <row r="59" spans="1:10" ht="15.6" x14ac:dyDescent="0.3">
      <c r="A59" s="53"/>
      <c r="B59" s="42"/>
      <c r="C59" s="42"/>
      <c r="D59" s="54"/>
      <c r="E59" s="53"/>
      <c r="F59" s="53"/>
      <c r="G59" s="53"/>
      <c r="H59" s="53"/>
      <c r="I59" s="55" t="str">
        <f>IFERROR(VLOOKUP(D59,MasterTable[[#All],[WCAG guideline]:[Level]],3,FALSE)," ")</f>
        <v xml:space="preserve"> </v>
      </c>
      <c r="J59" s="44" t="str">
        <f>IFERROR(VLOOKUP(D59,MasterTable[[#All],[WCAG guideline]:[Level]],4,FALSE)," ")</f>
        <v xml:space="preserve"> </v>
      </c>
    </row>
    <row r="60" spans="1:10" ht="15.6" x14ac:dyDescent="0.3">
      <c r="A60" s="53"/>
      <c r="B60" s="42"/>
      <c r="C60" s="42"/>
      <c r="D60" s="54"/>
      <c r="E60" s="53"/>
      <c r="F60" s="53"/>
      <c r="G60" s="58"/>
      <c r="H60" s="53"/>
      <c r="I60" s="55" t="str">
        <f>IFERROR(VLOOKUP(D60,MasterTable[[#All],[WCAG guideline]:[Level]],3,FALSE)," ")</f>
        <v xml:space="preserve"> </v>
      </c>
      <c r="J60" s="44" t="str">
        <f>IFERROR(VLOOKUP(D60,MasterTable[[#All],[WCAG guideline]:[Level]],4,FALSE)," ")</f>
        <v xml:space="preserve"> </v>
      </c>
    </row>
    <row r="61" spans="1:10" ht="15.6" x14ac:dyDescent="0.3">
      <c r="A61" s="53"/>
      <c r="B61" s="42"/>
      <c r="C61" s="42"/>
      <c r="D61" s="54"/>
      <c r="E61" s="53"/>
      <c r="F61" s="53"/>
      <c r="G61" s="53"/>
      <c r="H61" s="53"/>
      <c r="I61" s="55" t="str">
        <f>IFERROR(VLOOKUP(D61,MasterTable[[#All],[WCAG guideline]:[Level]],3,FALSE)," ")</f>
        <v xml:space="preserve"> </v>
      </c>
      <c r="J61" s="44" t="str">
        <f>IFERROR(VLOOKUP(D61,MasterTable[[#All],[WCAG guideline]:[Level]],4,FALSE)," ")</f>
        <v xml:space="preserve"> </v>
      </c>
    </row>
    <row r="62" spans="1:10" ht="15.6" x14ac:dyDescent="0.3">
      <c r="A62" s="53"/>
      <c r="B62" s="42"/>
      <c r="C62" s="42"/>
      <c r="D62" s="54"/>
      <c r="E62" s="53"/>
      <c r="F62" s="53"/>
      <c r="G62" s="53"/>
      <c r="H62" s="53"/>
      <c r="I62" s="55" t="str">
        <f>IFERROR(VLOOKUP(D62,MasterTable[[#All],[WCAG guideline]:[Level]],3,FALSE)," ")</f>
        <v xml:space="preserve"> </v>
      </c>
      <c r="J62" s="44" t="str">
        <f>IFERROR(VLOOKUP(D62,MasterTable[[#All],[WCAG guideline]:[Level]],4,FALSE)," ")</f>
        <v xml:space="preserve"> </v>
      </c>
    </row>
    <row r="63" spans="1:10" ht="15.6" x14ac:dyDescent="0.3">
      <c r="A63" s="53"/>
      <c r="B63" s="42"/>
      <c r="C63" s="42"/>
      <c r="D63" s="54"/>
      <c r="E63" s="53"/>
      <c r="F63" s="53"/>
      <c r="G63" s="53"/>
      <c r="H63" s="53"/>
      <c r="I63" s="55" t="str">
        <f>IFERROR(VLOOKUP(D63,MasterTable[[#All],[WCAG guideline]:[Level]],3,FALSE)," ")</f>
        <v xml:space="preserve"> </v>
      </c>
      <c r="J63" s="44" t="str">
        <f>IFERROR(VLOOKUP(D63,MasterTable[[#All],[WCAG guideline]:[Level]],4,FALSE)," ")</f>
        <v xml:space="preserve"> </v>
      </c>
    </row>
    <row r="64" spans="1:10" ht="15.6" x14ac:dyDescent="0.3">
      <c r="A64" s="53"/>
      <c r="B64" s="42"/>
      <c r="C64" s="42"/>
      <c r="D64" s="54"/>
      <c r="E64" s="53"/>
      <c r="F64" s="53"/>
      <c r="G64" s="57"/>
      <c r="H64" s="53"/>
      <c r="I64" s="55" t="str">
        <f>IFERROR(VLOOKUP(D64,MasterTable[[#All],[WCAG guideline]:[Level]],3,FALSE)," ")</f>
        <v xml:space="preserve"> </v>
      </c>
      <c r="J64" s="44" t="str">
        <f>IFERROR(VLOOKUP(D64,MasterTable[[#All],[WCAG guideline]:[Level]],4,FALSE)," ")</f>
        <v xml:space="preserve"> </v>
      </c>
    </row>
    <row r="65" spans="1:10" ht="15.6" x14ac:dyDescent="0.3">
      <c r="A65" s="53"/>
      <c r="B65" s="42"/>
      <c r="C65" s="42"/>
      <c r="D65" s="54"/>
      <c r="E65" s="53"/>
      <c r="F65" s="53"/>
      <c r="G65" s="53"/>
      <c r="H65" s="53"/>
      <c r="I65" s="55" t="str">
        <f>IFERROR(VLOOKUP(D65,MasterTable[[#All],[WCAG guideline]:[Level]],3,FALSE)," ")</f>
        <v xml:space="preserve"> </v>
      </c>
      <c r="J65" s="44" t="str">
        <f>IFERROR(VLOOKUP(D65,MasterTable[[#All],[WCAG guideline]:[Level]],4,FALSE)," ")</f>
        <v xml:space="preserve"> </v>
      </c>
    </row>
    <row r="66" spans="1:10" ht="15.6" x14ac:dyDescent="0.3">
      <c r="A66" s="53"/>
      <c r="B66" s="42"/>
      <c r="C66" s="42"/>
      <c r="D66" s="54"/>
      <c r="E66" s="53"/>
      <c r="F66" s="53"/>
      <c r="G66" s="53"/>
      <c r="H66" s="53"/>
      <c r="I66" s="55" t="str">
        <f>IFERROR(VLOOKUP(D66,MasterTable[[#All],[WCAG guideline]:[Level]],3,FALSE)," ")</f>
        <v xml:space="preserve"> </v>
      </c>
      <c r="J66" s="44" t="str">
        <f>IFERROR(VLOOKUP(D66,MasterTable[[#All],[WCAG guideline]:[Level]],4,FALSE)," ")</f>
        <v xml:space="preserve"> </v>
      </c>
    </row>
    <row r="67" spans="1:10" ht="15.6" x14ac:dyDescent="0.3">
      <c r="A67" s="53"/>
      <c r="B67" s="42"/>
      <c r="C67" s="42"/>
      <c r="D67" s="54"/>
      <c r="E67" s="53"/>
      <c r="F67" s="53"/>
      <c r="G67" s="53"/>
      <c r="H67" s="54"/>
      <c r="I67" s="55" t="str">
        <f>IFERROR(VLOOKUP(D67,MasterTable[[#All],[WCAG guideline]:[Level]],3,FALSE)," ")</f>
        <v xml:space="preserve"> </v>
      </c>
      <c r="J67" s="44" t="str">
        <f>IFERROR(VLOOKUP(D67,MasterTable[[#All],[WCAG guideline]:[Level]],4,FALSE)," ")</f>
        <v xml:space="preserve"> </v>
      </c>
    </row>
    <row r="68" spans="1:10" ht="15.6" x14ac:dyDescent="0.3">
      <c r="A68" s="53"/>
      <c r="B68" s="42"/>
      <c r="C68" s="42"/>
      <c r="D68" s="54"/>
      <c r="E68" s="53"/>
      <c r="F68" s="53"/>
      <c r="G68" s="53"/>
      <c r="H68" s="54"/>
      <c r="I68" s="55" t="str">
        <f>IFERROR(VLOOKUP(D68,MasterTable[[#All],[WCAG guideline]:[Level]],3,FALSE)," ")</f>
        <v xml:space="preserve"> </v>
      </c>
      <c r="J68" s="44" t="str">
        <f>IFERROR(VLOOKUP(D68,MasterTable[[#All],[WCAG guideline]:[Level]],4,FALSE)," ")</f>
        <v xml:space="preserve"> </v>
      </c>
    </row>
    <row r="69" spans="1:10" ht="15.6" x14ac:dyDescent="0.3">
      <c r="A69" s="53"/>
      <c r="B69" s="42"/>
      <c r="C69" s="42"/>
      <c r="D69" s="54"/>
      <c r="E69" s="53"/>
      <c r="F69" s="53"/>
      <c r="G69" s="53"/>
      <c r="H69" s="54"/>
      <c r="I69" s="55" t="str">
        <f>IFERROR(VLOOKUP(D69,MasterTable[[#All],[WCAG guideline]:[Level]],3,FALSE)," ")</f>
        <v xml:space="preserve"> </v>
      </c>
      <c r="J69" s="44" t="str">
        <f>IFERROR(VLOOKUP(D69,MasterTable[[#All],[WCAG guideline]:[Level]],4,FALSE)," ")</f>
        <v xml:space="preserve"> </v>
      </c>
    </row>
    <row r="70" spans="1:10" ht="15.6" x14ac:dyDescent="0.3">
      <c r="A70" s="53"/>
      <c r="B70" s="42"/>
      <c r="C70" s="42"/>
      <c r="D70" s="54"/>
      <c r="E70" s="53"/>
      <c r="F70" s="53"/>
      <c r="G70" s="53"/>
      <c r="H70" s="54"/>
      <c r="I70" s="55" t="str">
        <f>IFERROR(VLOOKUP(D70,MasterTable[[#All],[WCAG guideline]:[Level]],3,FALSE)," ")</f>
        <v xml:space="preserve"> </v>
      </c>
      <c r="J70" s="44" t="str">
        <f>IFERROR(VLOOKUP(D70,MasterTable[[#All],[WCAG guideline]:[Level]],4,FALSE)," ")</f>
        <v xml:space="preserve"> </v>
      </c>
    </row>
    <row r="71" spans="1:10" ht="15.6" x14ac:dyDescent="0.3">
      <c r="A71" s="53"/>
      <c r="B71" s="42"/>
      <c r="C71" s="42"/>
      <c r="D71" s="54"/>
      <c r="E71" s="53"/>
      <c r="F71" s="53"/>
      <c r="G71" s="53"/>
      <c r="H71" s="54"/>
      <c r="I71" s="55" t="str">
        <f>IFERROR(VLOOKUP(D71,MasterTable[[#All],[WCAG guideline]:[Level]],3,FALSE)," ")</f>
        <v xml:space="preserve"> </v>
      </c>
      <c r="J71" s="44" t="str">
        <f>IFERROR(VLOOKUP(D71,MasterTable[[#All],[WCAG guideline]:[Level]],4,FALSE)," ")</f>
        <v xml:space="preserve"> </v>
      </c>
    </row>
    <row r="72" spans="1:10" ht="15.6" x14ac:dyDescent="0.3">
      <c r="A72" s="53"/>
      <c r="B72" s="42"/>
      <c r="C72" s="42"/>
      <c r="D72" s="54"/>
      <c r="E72" s="53"/>
      <c r="F72" s="53"/>
      <c r="G72" s="53"/>
      <c r="H72" s="54"/>
      <c r="I72" s="55" t="str">
        <f>IFERROR(VLOOKUP(D72,MasterTable[[#All],[WCAG guideline]:[Level]],3,FALSE)," ")</f>
        <v xml:space="preserve"> </v>
      </c>
      <c r="J72" s="44" t="str">
        <f>IFERROR(VLOOKUP(D72,MasterTable[[#All],[WCAG guideline]:[Level]],4,FALSE)," ")</f>
        <v xml:space="preserve"> </v>
      </c>
    </row>
    <row r="73" spans="1:10" ht="15.6" x14ac:dyDescent="0.3">
      <c r="A73" s="53"/>
      <c r="B73" s="42"/>
      <c r="C73" s="42"/>
      <c r="D73" s="54"/>
      <c r="E73" s="53"/>
      <c r="F73" s="53"/>
      <c r="G73" s="53"/>
      <c r="H73" s="54"/>
      <c r="I73" s="55" t="str">
        <f>IFERROR(VLOOKUP(D73,MasterTable[[#All],[WCAG guideline]:[Level]],3,FALSE)," ")</f>
        <v xml:space="preserve"> </v>
      </c>
      <c r="J73" s="44" t="str">
        <f>IFERROR(VLOOKUP(D73,MasterTable[[#All],[WCAG guideline]:[Level]],4,FALSE)," ")</f>
        <v xml:space="preserve"> </v>
      </c>
    </row>
    <row r="74" spans="1:10" ht="15.6" x14ac:dyDescent="0.3">
      <c r="A74" s="53"/>
      <c r="B74" s="42"/>
      <c r="C74" s="42"/>
      <c r="D74" s="54"/>
      <c r="E74" s="53"/>
      <c r="F74" s="53"/>
      <c r="G74" s="53"/>
      <c r="H74" s="54"/>
      <c r="I74" s="55" t="str">
        <f>IFERROR(VLOOKUP(D74,MasterTable[[#All],[WCAG guideline]:[Level]],3,FALSE)," ")</f>
        <v xml:space="preserve"> </v>
      </c>
      <c r="J74" s="44" t="str">
        <f>IFERROR(VLOOKUP(D74,MasterTable[[#All],[WCAG guideline]:[Level]],4,FALSE)," ")</f>
        <v xml:space="preserve"> </v>
      </c>
    </row>
    <row r="75" spans="1:10" ht="15.6" x14ac:dyDescent="0.3">
      <c r="A75" s="53"/>
      <c r="B75" s="42"/>
      <c r="C75" s="42"/>
      <c r="D75" s="54"/>
      <c r="E75" s="53"/>
      <c r="F75" s="53"/>
      <c r="G75" s="53"/>
      <c r="H75" s="54"/>
      <c r="I75" s="55" t="str">
        <f>IFERROR(VLOOKUP(D75,MasterTable[[#All],[WCAG guideline]:[Level]],3,FALSE)," ")</f>
        <v xml:space="preserve"> </v>
      </c>
      <c r="J75" s="44" t="str">
        <f>IFERROR(VLOOKUP(D75,MasterTable[[#All],[WCAG guideline]:[Level]],4,FALSE)," ")</f>
        <v xml:space="preserve"> </v>
      </c>
    </row>
    <row r="76" spans="1:10" ht="15.6" x14ac:dyDescent="0.3">
      <c r="A76" s="53"/>
      <c r="B76" s="42"/>
      <c r="C76" s="42"/>
      <c r="D76" s="54"/>
      <c r="E76" s="53"/>
      <c r="F76" s="53"/>
      <c r="G76" s="53"/>
      <c r="H76" s="54"/>
      <c r="I76" s="55" t="str">
        <f>IFERROR(VLOOKUP(D76,MasterTable[[#All],[WCAG guideline]:[Level]],3,FALSE)," ")</f>
        <v xml:space="preserve"> </v>
      </c>
      <c r="J76" s="44" t="str">
        <f>IFERROR(VLOOKUP(D76,MasterTable[[#All],[WCAG guideline]:[Level]],4,FALSE)," ")</f>
        <v xml:space="preserve"> </v>
      </c>
    </row>
    <row r="77" spans="1:10" ht="15.6" x14ac:dyDescent="0.3">
      <c r="A77" s="53"/>
      <c r="B77" s="42"/>
      <c r="C77" s="42"/>
      <c r="D77" s="54"/>
      <c r="E77" s="53"/>
      <c r="F77" s="53"/>
      <c r="G77" s="53"/>
      <c r="H77" s="54"/>
      <c r="I77" s="55" t="str">
        <f>IFERROR(VLOOKUP(D77,MasterTable[[#All],[WCAG guideline]:[Level]],3,FALSE)," ")</f>
        <v xml:space="preserve"> </v>
      </c>
      <c r="J77" s="44" t="str">
        <f>IFERROR(VLOOKUP(D77,MasterTable[[#All],[WCAG guideline]:[Level]],4,FALSE)," ")</f>
        <v xml:space="preserve"> </v>
      </c>
    </row>
    <row r="78" spans="1:10" ht="15.6" x14ac:dyDescent="0.3">
      <c r="A78" s="53"/>
      <c r="B78" s="42"/>
      <c r="C78" s="42"/>
      <c r="D78" s="54"/>
      <c r="E78" s="53"/>
      <c r="F78" s="53"/>
      <c r="G78" s="53"/>
      <c r="H78" s="54"/>
      <c r="I78" s="55" t="str">
        <f>IFERROR(VLOOKUP(D78,MasterTable[[#All],[WCAG guideline]:[Level]],3,FALSE)," ")</f>
        <v xml:space="preserve"> </v>
      </c>
      <c r="J78" s="44" t="str">
        <f>IFERROR(VLOOKUP(D78,MasterTable[[#All],[WCAG guideline]:[Level]],4,FALSE)," ")</f>
        <v xml:space="preserve"> </v>
      </c>
    </row>
    <row r="79" spans="1:10" ht="15.6" x14ac:dyDescent="0.3">
      <c r="A79" s="53"/>
      <c r="B79" s="42"/>
      <c r="C79" s="42"/>
      <c r="D79" s="54"/>
      <c r="E79" s="53"/>
      <c r="F79" s="53"/>
      <c r="G79" s="53"/>
      <c r="H79" s="54"/>
      <c r="I79" s="55" t="str">
        <f>IFERROR(VLOOKUP(D79,MasterTable[[#All],[WCAG guideline]:[Level]],3,FALSE)," ")</f>
        <v xml:space="preserve"> </v>
      </c>
      <c r="J79" s="44" t="str">
        <f>IFERROR(VLOOKUP(D79,MasterTable[[#All],[WCAG guideline]:[Level]],4,FALSE)," ")</f>
        <v xml:space="preserve"> </v>
      </c>
    </row>
    <row r="80" spans="1:10" ht="15.6" x14ac:dyDescent="0.3">
      <c r="A80" s="53"/>
      <c r="B80" s="42"/>
      <c r="C80" s="42"/>
      <c r="D80" s="54"/>
      <c r="E80" s="53"/>
      <c r="F80" s="53"/>
      <c r="G80" s="53"/>
      <c r="H80" s="54"/>
      <c r="I80" s="55" t="str">
        <f>IFERROR(VLOOKUP(D80,MasterTable[[#All],[WCAG guideline]:[Level]],3,FALSE)," ")</f>
        <v xml:space="preserve"> </v>
      </c>
      <c r="J80" s="44" t="str">
        <f>IFERROR(VLOOKUP(D80,MasterTable[[#All],[WCAG guideline]:[Level]],4,FALSE)," ")</f>
        <v xml:space="preserve"> </v>
      </c>
    </row>
    <row r="81" spans="1:10" ht="15.6" x14ac:dyDescent="0.3">
      <c r="A81" s="53"/>
      <c r="B81" s="42"/>
      <c r="C81" s="42"/>
      <c r="D81" s="54"/>
      <c r="E81" s="53"/>
      <c r="F81" s="53"/>
      <c r="G81" s="53"/>
      <c r="H81" s="54"/>
      <c r="I81" s="55" t="str">
        <f>IFERROR(VLOOKUP(D81,MasterTable[[#All],[WCAG guideline]:[Level]],3,FALSE)," ")</f>
        <v xml:space="preserve"> </v>
      </c>
      <c r="J81" s="44" t="str">
        <f>IFERROR(VLOOKUP(D81,MasterTable[[#All],[WCAG guideline]:[Level]],4,FALSE)," ")</f>
        <v xml:space="preserve"> </v>
      </c>
    </row>
    <row r="82" spans="1:10" ht="15.6" x14ac:dyDescent="0.3">
      <c r="A82" s="53"/>
      <c r="B82" s="42"/>
      <c r="C82" s="42"/>
      <c r="D82" s="54"/>
      <c r="E82" s="53"/>
      <c r="F82" s="53"/>
      <c r="G82" s="53"/>
      <c r="H82" s="54"/>
      <c r="I82" s="55" t="str">
        <f>IFERROR(VLOOKUP(D82,MasterTable[[#All],[WCAG guideline]:[Level]],3,FALSE)," ")</f>
        <v xml:space="preserve"> </v>
      </c>
      <c r="J82" s="44" t="str">
        <f>IFERROR(VLOOKUP(D82,MasterTable[[#All],[WCAG guideline]:[Level]],4,FALSE)," ")</f>
        <v xml:space="preserve"> </v>
      </c>
    </row>
    <row r="83" spans="1:10" ht="15.6" x14ac:dyDescent="0.3">
      <c r="A83" s="53"/>
      <c r="B83" s="42"/>
      <c r="C83" s="42"/>
      <c r="D83" s="54"/>
      <c r="E83" s="53"/>
      <c r="F83" s="53"/>
      <c r="G83" s="53"/>
      <c r="H83" s="54"/>
      <c r="I83" s="55" t="str">
        <f>IFERROR(VLOOKUP(D83,MasterTable[[#All],[WCAG guideline]:[Level]],3,FALSE)," ")</f>
        <v xml:space="preserve"> </v>
      </c>
      <c r="J83" s="44" t="str">
        <f>IFERROR(VLOOKUP(D83,MasterTable[[#All],[WCAG guideline]:[Level]],4,FALSE)," ")</f>
        <v xml:space="preserve"> </v>
      </c>
    </row>
    <row r="84" spans="1:10" ht="15.6" x14ac:dyDescent="0.3">
      <c r="A84" s="53"/>
      <c r="B84" s="42"/>
      <c r="C84" s="42"/>
      <c r="D84" s="54"/>
      <c r="E84" s="53"/>
      <c r="F84" s="53"/>
      <c r="G84" s="53"/>
      <c r="H84" s="54"/>
      <c r="I84" s="55" t="str">
        <f>IFERROR(VLOOKUP(D84,MasterTable[[#All],[WCAG guideline]:[Level]],3,FALSE)," ")</f>
        <v xml:space="preserve"> </v>
      </c>
      <c r="J84" s="44" t="str">
        <f>IFERROR(VLOOKUP(D84,MasterTable[[#All],[WCAG guideline]:[Level]],4,FALSE)," ")</f>
        <v xml:space="preserve"> </v>
      </c>
    </row>
    <row r="85" spans="1:10" ht="15.6" x14ac:dyDescent="0.3">
      <c r="A85" s="53"/>
      <c r="B85" s="42"/>
      <c r="C85" s="42"/>
      <c r="D85" s="54"/>
      <c r="E85" s="53"/>
      <c r="F85" s="53"/>
      <c r="G85" s="53"/>
      <c r="H85" s="54"/>
      <c r="I85" s="55" t="str">
        <f>IFERROR(VLOOKUP(D85,MasterTable[[#All],[WCAG guideline]:[Level]],3,FALSE)," ")</f>
        <v xml:space="preserve"> </v>
      </c>
      <c r="J85" s="44" t="str">
        <f>IFERROR(VLOOKUP(D85,MasterTable[[#All],[WCAG guideline]:[Level]],4,FALSE)," ")</f>
        <v xml:space="preserve"> </v>
      </c>
    </row>
    <row r="86" spans="1:10" ht="15.6" x14ac:dyDescent="0.3">
      <c r="A86" s="53"/>
      <c r="B86" s="42"/>
      <c r="C86" s="42"/>
      <c r="D86" s="54"/>
      <c r="E86" s="53"/>
      <c r="F86" s="53"/>
      <c r="G86" s="53"/>
      <c r="H86" s="54"/>
      <c r="I86" s="55" t="str">
        <f>IFERROR(VLOOKUP(D86,MasterTable[[#All],[WCAG guideline]:[Level]],3,FALSE)," ")</f>
        <v xml:space="preserve"> </v>
      </c>
      <c r="J86" s="44" t="str">
        <f>IFERROR(VLOOKUP(D86,MasterTable[[#All],[WCAG guideline]:[Level]],4,FALSE)," ")</f>
        <v xml:space="preserve"> </v>
      </c>
    </row>
    <row r="87" spans="1:10" ht="15.6" x14ac:dyDescent="0.3">
      <c r="A87" s="53"/>
      <c r="B87" s="42"/>
      <c r="C87" s="42"/>
      <c r="D87" s="54"/>
      <c r="E87" s="53"/>
      <c r="F87" s="53"/>
      <c r="G87" s="53"/>
      <c r="H87" s="54"/>
      <c r="I87" s="55" t="str">
        <f>IFERROR(VLOOKUP(D87,MasterTable[[#All],[WCAG guideline]:[Level]],3,FALSE)," ")</f>
        <v xml:space="preserve"> </v>
      </c>
      <c r="J87" s="44" t="str">
        <f>IFERROR(VLOOKUP(D87,MasterTable[[#All],[WCAG guideline]:[Level]],4,FALSE)," ")</f>
        <v xml:space="preserve"> </v>
      </c>
    </row>
    <row r="88" spans="1:10" ht="15.6" x14ac:dyDescent="0.3">
      <c r="A88" s="53"/>
      <c r="B88" s="42"/>
      <c r="C88" s="42"/>
      <c r="D88" s="54"/>
      <c r="E88" s="53"/>
      <c r="F88" s="53"/>
      <c r="G88" s="53"/>
      <c r="H88" s="54"/>
      <c r="I88" s="55" t="str">
        <f>IFERROR(VLOOKUP(D88,MasterTable[[#All],[WCAG guideline]:[Level]],3,FALSE)," ")</f>
        <v xml:space="preserve"> </v>
      </c>
      <c r="J88" s="44" t="str">
        <f>IFERROR(VLOOKUP(D88,MasterTable[[#All],[WCAG guideline]:[Level]],4,FALSE)," ")</f>
        <v xml:space="preserve"> </v>
      </c>
    </row>
    <row r="89" spans="1:10" ht="15.6" x14ac:dyDescent="0.3">
      <c r="A89" s="53"/>
      <c r="B89" s="42"/>
      <c r="C89" s="42"/>
      <c r="D89" s="54"/>
      <c r="E89" s="53"/>
      <c r="F89" s="53"/>
      <c r="G89" s="53"/>
      <c r="H89" s="54"/>
      <c r="I89" s="55" t="str">
        <f>IFERROR(VLOOKUP(D89,MasterTable[[#All],[WCAG guideline]:[Level]],3,FALSE)," ")</f>
        <v xml:space="preserve"> </v>
      </c>
      <c r="J89" s="44" t="str">
        <f>IFERROR(VLOOKUP(D89,MasterTable[[#All],[WCAG guideline]:[Level]],4,FALSE)," ")</f>
        <v xml:space="preserve"> </v>
      </c>
    </row>
    <row r="90" spans="1:10" ht="15.6" x14ac:dyDescent="0.3">
      <c r="A90" s="53"/>
      <c r="B90" s="42"/>
      <c r="C90" s="42"/>
      <c r="D90" s="54"/>
      <c r="E90" s="53"/>
      <c r="F90" s="53"/>
      <c r="G90" s="53"/>
      <c r="H90" s="54"/>
      <c r="I90" s="55" t="str">
        <f>IFERROR(VLOOKUP(D90,MasterTable[[#All],[WCAG guideline]:[Level]],3,FALSE)," ")</f>
        <v xml:space="preserve"> </v>
      </c>
      <c r="J90" s="44" t="str">
        <f>IFERROR(VLOOKUP(D90,MasterTable[[#All],[WCAG guideline]:[Level]],4,FALSE)," ")</f>
        <v xml:space="preserve"> </v>
      </c>
    </row>
    <row r="91" spans="1:10" ht="15.6" x14ac:dyDescent="0.3">
      <c r="A91" s="53"/>
      <c r="B91" s="42"/>
      <c r="C91" s="42"/>
      <c r="D91" s="54"/>
      <c r="E91" s="53"/>
      <c r="F91" s="53"/>
      <c r="G91" s="53"/>
      <c r="H91" s="54"/>
      <c r="I91" s="55" t="str">
        <f>IFERROR(VLOOKUP(D91,MasterTable[[#All],[WCAG guideline]:[Level]],3,FALSE)," ")</f>
        <v xml:space="preserve"> </v>
      </c>
      <c r="J91" s="44" t="str">
        <f>IFERROR(VLOOKUP(D91,MasterTable[[#All],[WCAG guideline]:[Level]],4,FALSE)," ")</f>
        <v xml:space="preserve"> </v>
      </c>
    </row>
    <row r="92" spans="1:10" ht="15.6" x14ac:dyDescent="0.3">
      <c r="A92" s="53"/>
      <c r="B92" s="42"/>
      <c r="C92" s="42"/>
      <c r="D92" s="54"/>
      <c r="E92" s="53"/>
      <c r="F92" s="53"/>
      <c r="G92" s="53"/>
      <c r="H92" s="54"/>
      <c r="I92" s="55" t="str">
        <f>IFERROR(VLOOKUP(D92,MasterTable[[#All],[WCAG guideline]:[Level]],3,FALSE)," ")</f>
        <v xml:space="preserve"> </v>
      </c>
      <c r="J92" s="44" t="str">
        <f>IFERROR(VLOOKUP(D92,MasterTable[[#All],[WCAG guideline]:[Level]],4,FALSE)," ")</f>
        <v xml:space="preserve"> </v>
      </c>
    </row>
    <row r="93" spans="1:10" ht="15.6" x14ac:dyDescent="0.3">
      <c r="A93" s="53"/>
      <c r="B93" s="42"/>
      <c r="C93" s="42"/>
      <c r="D93" s="54"/>
      <c r="E93" s="53"/>
      <c r="F93" s="53"/>
      <c r="G93" s="53"/>
      <c r="H93" s="54"/>
      <c r="I93" s="55" t="str">
        <f>IFERROR(VLOOKUP(D93,MasterTable[[#All],[WCAG guideline]:[Level]],3,FALSE)," ")</f>
        <v xml:space="preserve"> </v>
      </c>
      <c r="J93" s="44" t="str">
        <f>IFERROR(VLOOKUP(D93,MasterTable[[#All],[WCAG guideline]:[Level]],4,FALSE)," ")</f>
        <v xml:space="preserve"> </v>
      </c>
    </row>
    <row r="94" spans="1:10" ht="15.6" x14ac:dyDescent="0.3">
      <c r="A94" s="53"/>
      <c r="B94" s="42"/>
      <c r="C94" s="42"/>
      <c r="D94" s="54"/>
      <c r="E94" s="53"/>
      <c r="F94" s="53"/>
      <c r="G94" s="53"/>
      <c r="H94" s="54"/>
      <c r="I94" s="55" t="str">
        <f>IFERROR(VLOOKUP(D94,MasterTable[[#All],[WCAG guideline]:[Level]],3,FALSE)," ")</f>
        <v xml:space="preserve"> </v>
      </c>
      <c r="J94" s="44" t="str">
        <f>IFERROR(VLOOKUP(D94,MasterTable[[#All],[WCAG guideline]:[Level]],4,FALSE)," ")</f>
        <v xml:space="preserve"> </v>
      </c>
    </row>
    <row r="95" spans="1:10" ht="15.6" x14ac:dyDescent="0.3">
      <c r="A95" s="53"/>
      <c r="B95" s="42"/>
      <c r="C95" s="42"/>
      <c r="D95" s="54"/>
      <c r="E95" s="53"/>
      <c r="F95" s="53"/>
      <c r="G95" s="53"/>
      <c r="H95" s="54"/>
      <c r="I95" s="55" t="str">
        <f>IFERROR(VLOOKUP(D95,MasterTable[[#All],[WCAG guideline]:[Level]],3,FALSE)," ")</f>
        <v xml:space="preserve"> </v>
      </c>
      <c r="J95" s="44" t="str">
        <f>IFERROR(VLOOKUP(D95,MasterTable[[#All],[WCAG guideline]:[Level]],4,FALSE)," ")</f>
        <v xml:space="preserve"> </v>
      </c>
    </row>
    <row r="96" spans="1:10" ht="15.6" x14ac:dyDescent="0.3">
      <c r="A96" s="53"/>
      <c r="B96" s="42"/>
      <c r="C96" s="42"/>
      <c r="D96" s="54"/>
      <c r="E96" s="53"/>
      <c r="F96" s="53"/>
      <c r="G96" s="53"/>
      <c r="H96" s="54"/>
      <c r="I96" s="55" t="str">
        <f>IFERROR(VLOOKUP(D96,MasterTable[[#All],[WCAG guideline]:[Level]],3,FALSE)," ")</f>
        <v xml:space="preserve"> </v>
      </c>
      <c r="J96" s="44" t="str">
        <f>IFERROR(VLOOKUP(D96,MasterTable[[#All],[WCAG guideline]:[Level]],4,FALSE)," ")</f>
        <v xml:space="preserve"> </v>
      </c>
    </row>
    <row r="97" spans="1:10" ht="15.6" x14ac:dyDescent="0.3">
      <c r="A97" s="53"/>
      <c r="B97" s="42"/>
      <c r="C97" s="42"/>
      <c r="D97" s="54"/>
      <c r="E97" s="53"/>
      <c r="F97" s="53"/>
      <c r="G97" s="53"/>
      <c r="H97" s="54"/>
      <c r="I97" s="55" t="str">
        <f>IFERROR(VLOOKUP(D97,MasterTable[[#All],[WCAG guideline]:[Level]],3,FALSE)," ")</f>
        <v xml:space="preserve"> </v>
      </c>
      <c r="J97" s="44" t="str">
        <f>IFERROR(VLOOKUP(D97,MasterTable[[#All],[WCAG guideline]:[Level]],4,FALSE)," ")</f>
        <v xml:space="preserve"> </v>
      </c>
    </row>
    <row r="98" spans="1:10" ht="15.6" x14ac:dyDescent="0.3">
      <c r="A98" s="53"/>
      <c r="B98" s="42"/>
      <c r="C98" s="42"/>
      <c r="D98" s="54"/>
      <c r="E98" s="53"/>
      <c r="F98" s="53"/>
      <c r="G98" s="53"/>
      <c r="H98" s="54"/>
      <c r="I98" s="55" t="str">
        <f>IFERROR(VLOOKUP(D98,MasterTable[[#All],[WCAG guideline]:[Level]],3,FALSE)," ")</f>
        <v xml:space="preserve"> </v>
      </c>
      <c r="J98" s="44" t="str">
        <f>IFERROR(VLOOKUP(D98,MasterTable[[#All],[WCAG guideline]:[Level]],4,FALSE)," ")</f>
        <v xml:space="preserve"> </v>
      </c>
    </row>
    <row r="99" spans="1:10" ht="15.6" x14ac:dyDescent="0.3">
      <c r="A99" s="53"/>
      <c r="B99" s="42"/>
      <c r="C99" s="42"/>
      <c r="D99" s="54"/>
      <c r="E99" s="53"/>
      <c r="F99" s="53"/>
      <c r="G99" s="53"/>
      <c r="H99" s="54"/>
      <c r="I99" s="55" t="str">
        <f>IFERROR(VLOOKUP(D99,MasterTable[[#All],[WCAG guideline]:[Level]],3,FALSE)," ")</f>
        <v xml:space="preserve"> </v>
      </c>
      <c r="J99" s="44" t="str">
        <f>IFERROR(VLOOKUP(D99,MasterTable[[#All],[WCAG guideline]:[Level]],4,FALSE)," ")</f>
        <v xml:space="preserve"> </v>
      </c>
    </row>
    <row r="100" spans="1:10" ht="15.6" x14ac:dyDescent="0.3">
      <c r="A100" s="53"/>
      <c r="B100" s="42"/>
      <c r="C100" s="42"/>
      <c r="D100" s="54"/>
      <c r="E100" s="53"/>
      <c r="F100" s="53"/>
      <c r="G100" s="53"/>
      <c r="H100" s="54"/>
      <c r="I100" s="55" t="str">
        <f>IFERROR(VLOOKUP(D100,MasterTable[[#All],[WCAG guideline]:[Level]],3,FALSE)," ")</f>
        <v xml:space="preserve"> </v>
      </c>
      <c r="J100" s="44" t="str">
        <f>IFERROR(VLOOKUP(D100,MasterTable[[#All],[WCAG guideline]:[Level]],4,FALSE)," ")</f>
        <v xml:space="preserve"> </v>
      </c>
    </row>
    <row r="101" spans="1:10" ht="15.6" x14ac:dyDescent="0.3">
      <c r="A101" s="53"/>
      <c r="B101" s="42"/>
      <c r="C101" s="42"/>
      <c r="D101" s="54"/>
      <c r="E101" s="53"/>
      <c r="F101" s="53"/>
      <c r="G101" s="53"/>
      <c r="H101" s="54"/>
      <c r="I101" s="55" t="str">
        <f>IFERROR(VLOOKUP(D101,MasterTable[[#All],[WCAG guideline]:[Level]],3,FALSE)," ")</f>
        <v xml:space="preserve"> </v>
      </c>
      <c r="J101" s="44" t="str">
        <f>IFERROR(VLOOKUP(D101,MasterTable[[#All],[WCAG guideline]:[Level]],4,FALSE)," ")</f>
        <v xml:space="preserve"> </v>
      </c>
    </row>
    <row r="102" spans="1:10" ht="15.6" x14ac:dyDescent="0.3">
      <c r="A102" s="53"/>
      <c r="B102" s="42"/>
      <c r="C102" s="42"/>
      <c r="D102" s="54"/>
      <c r="E102" s="53"/>
      <c r="F102" s="53"/>
      <c r="G102" s="53"/>
      <c r="H102" s="54"/>
      <c r="I102" s="55" t="str">
        <f>IFERROR(VLOOKUP(D102,MasterTable[[#All],[WCAG guideline]:[Level]],3,FALSE)," ")</f>
        <v xml:space="preserve"> </v>
      </c>
      <c r="J102" s="44" t="str">
        <f>IFERROR(VLOOKUP(D102,MasterTable[[#All],[WCAG guideline]:[Level]],4,FALSE)," ")</f>
        <v xml:space="preserve"> </v>
      </c>
    </row>
    <row r="103" spans="1:10" ht="15.6" x14ac:dyDescent="0.3">
      <c r="A103" s="53"/>
      <c r="B103" s="42"/>
      <c r="C103" s="42"/>
      <c r="D103" s="54"/>
      <c r="E103" s="53"/>
      <c r="F103" s="53"/>
      <c r="G103" s="53"/>
      <c r="H103" s="54"/>
      <c r="I103" s="55" t="str">
        <f>IFERROR(VLOOKUP(D103,MasterTable[[#All],[WCAG guideline]:[Level]],3,FALSE)," ")</f>
        <v xml:space="preserve"> </v>
      </c>
      <c r="J103" s="44" t="str">
        <f>IFERROR(VLOOKUP(D103,MasterTable[[#All],[WCAG guideline]:[Level]],4,FALSE)," ")</f>
        <v xml:space="preserve"> </v>
      </c>
    </row>
    <row r="104" spans="1:10" ht="15.6" x14ac:dyDescent="0.3">
      <c r="A104" s="53"/>
      <c r="B104" s="42"/>
      <c r="C104" s="42"/>
      <c r="D104" s="54"/>
      <c r="E104" s="53"/>
      <c r="F104" s="53"/>
      <c r="G104" s="53"/>
      <c r="H104" s="54"/>
      <c r="I104" s="55" t="str">
        <f>IFERROR(VLOOKUP(D104,MasterTable[[#All],[WCAG guideline]:[Level]],3,FALSE)," ")</f>
        <v xml:space="preserve"> </v>
      </c>
      <c r="J104" s="44" t="str">
        <f>IFERROR(VLOOKUP(D104,MasterTable[[#All],[WCAG guideline]:[Level]],4,FALSE)," ")</f>
        <v xml:space="preserve"> </v>
      </c>
    </row>
    <row r="105" spans="1:10" ht="15.6" x14ac:dyDescent="0.3">
      <c r="A105" s="53"/>
      <c r="B105" s="42"/>
      <c r="C105" s="42"/>
      <c r="D105" s="54"/>
      <c r="E105" s="53"/>
      <c r="F105" s="53"/>
      <c r="G105" s="53"/>
      <c r="H105" s="54"/>
      <c r="I105" s="55" t="str">
        <f>IFERROR(VLOOKUP(D105,MasterTable[[#All],[WCAG guideline]:[Level]],3,FALSE)," ")</f>
        <v xml:space="preserve"> </v>
      </c>
      <c r="J105" s="44" t="str">
        <f>IFERROR(VLOOKUP(D105,MasterTable[[#All],[WCAG guideline]:[Level]],4,FALSE)," ")</f>
        <v xml:space="preserve"> </v>
      </c>
    </row>
    <row r="106" spans="1:10" ht="15.6" x14ac:dyDescent="0.3">
      <c r="A106" s="53"/>
      <c r="B106" s="42"/>
      <c r="C106" s="42"/>
      <c r="D106" s="54"/>
      <c r="E106" s="53"/>
      <c r="F106" s="53"/>
      <c r="G106" s="53"/>
      <c r="H106" s="54"/>
      <c r="I106" s="55" t="str">
        <f>IFERROR(VLOOKUP(D106,MasterTable[[#All],[WCAG guideline]:[Level]],3,FALSE)," ")</f>
        <v xml:space="preserve"> </v>
      </c>
      <c r="J106" s="44" t="str">
        <f>IFERROR(VLOOKUP(D106,MasterTable[[#All],[WCAG guideline]:[Level]],4,FALSE)," ")</f>
        <v xml:space="preserve"> </v>
      </c>
    </row>
    <row r="107" spans="1:10" ht="15.6" x14ac:dyDescent="0.3">
      <c r="A107" s="53"/>
      <c r="B107" s="42"/>
      <c r="C107" s="42"/>
      <c r="D107" s="54"/>
      <c r="E107" s="53"/>
      <c r="F107" s="53"/>
      <c r="G107" s="53"/>
      <c r="H107" s="54"/>
      <c r="I107" s="55" t="str">
        <f>IFERROR(VLOOKUP(D107,MasterTable[[#All],[WCAG guideline]:[Level]],3,FALSE)," ")</f>
        <v xml:space="preserve"> </v>
      </c>
      <c r="J107" s="44" t="str">
        <f>IFERROR(VLOOKUP(D107,MasterTable[[#All],[WCAG guideline]:[Level]],4,FALSE)," ")</f>
        <v xml:space="preserve"> </v>
      </c>
    </row>
    <row r="108" spans="1:10" ht="15.6" x14ac:dyDescent="0.3">
      <c r="A108" s="53"/>
      <c r="B108" s="42"/>
      <c r="C108" s="42"/>
      <c r="D108" s="54"/>
      <c r="E108" s="53"/>
      <c r="F108" s="53"/>
      <c r="G108" s="53"/>
      <c r="H108" s="54"/>
      <c r="I108" s="55" t="str">
        <f>IFERROR(VLOOKUP(D108,MasterTable[[#All],[WCAG guideline]:[Level]],3,FALSE)," ")</f>
        <v xml:space="preserve"> </v>
      </c>
      <c r="J108" s="44" t="str">
        <f>IFERROR(VLOOKUP(D108,MasterTable[[#All],[WCAG guideline]:[Level]],4,FALSE)," ")</f>
        <v xml:space="preserve"> </v>
      </c>
    </row>
    <row r="109" spans="1:10" ht="15.6" x14ac:dyDescent="0.3">
      <c r="A109" s="53"/>
      <c r="B109" s="42"/>
      <c r="C109" s="42"/>
      <c r="D109" s="54"/>
      <c r="E109" s="53"/>
      <c r="F109" s="53"/>
      <c r="G109" s="53"/>
      <c r="H109" s="54"/>
      <c r="I109" s="55" t="str">
        <f>IFERROR(VLOOKUP(D109,MasterTable[[#All],[WCAG guideline]:[Level]],3,FALSE)," ")</f>
        <v xml:space="preserve"> </v>
      </c>
      <c r="J109" s="44" t="str">
        <f>IFERROR(VLOOKUP(D109,MasterTable[[#All],[WCAG guideline]:[Level]],4,FALSE)," ")</f>
        <v xml:space="preserve"> </v>
      </c>
    </row>
    <row r="110" spans="1:10" ht="15.6" x14ac:dyDescent="0.3">
      <c r="A110" s="53"/>
      <c r="B110" s="42"/>
      <c r="C110" s="42"/>
      <c r="D110" s="54"/>
      <c r="E110" s="53"/>
      <c r="F110" s="53"/>
      <c r="G110" s="53"/>
      <c r="H110" s="54"/>
      <c r="I110" s="55" t="str">
        <f>IFERROR(VLOOKUP(D110,MasterTable[[#All],[WCAG guideline]:[Level]],3,FALSE)," ")</f>
        <v xml:space="preserve"> </v>
      </c>
      <c r="J110" s="44" t="str">
        <f>IFERROR(VLOOKUP(D110,MasterTable[[#All],[WCAG guideline]:[Level]],4,FALSE)," ")</f>
        <v xml:space="preserve"> </v>
      </c>
    </row>
    <row r="111" spans="1:10" ht="15.6" x14ac:dyDescent="0.3">
      <c r="A111" s="53"/>
      <c r="B111" s="42"/>
      <c r="C111" s="42"/>
      <c r="D111" s="54"/>
      <c r="E111" s="53"/>
      <c r="F111" s="53"/>
      <c r="G111" s="53"/>
      <c r="H111" s="54"/>
      <c r="I111" s="55" t="str">
        <f>IFERROR(VLOOKUP(D111,MasterTable[[#All],[WCAG guideline]:[Level]],3,FALSE)," ")</f>
        <v xml:space="preserve"> </v>
      </c>
      <c r="J111" s="44" t="str">
        <f>IFERROR(VLOOKUP(D111,MasterTable[[#All],[WCAG guideline]:[Level]],4,FALSE)," ")</f>
        <v xml:space="preserve"> </v>
      </c>
    </row>
    <row r="112" spans="1:10" ht="15.6" x14ac:dyDescent="0.3">
      <c r="A112" s="53"/>
      <c r="B112" s="42"/>
      <c r="C112" s="42"/>
      <c r="D112" s="54"/>
      <c r="E112" s="53"/>
      <c r="F112" s="53"/>
      <c r="G112" s="53"/>
      <c r="H112" s="54"/>
      <c r="I112" s="55" t="str">
        <f>IFERROR(VLOOKUP(D112,MasterTable[[#All],[WCAG guideline]:[Level]],3,FALSE)," ")</f>
        <v xml:space="preserve"> </v>
      </c>
      <c r="J112" s="44" t="str">
        <f>IFERROR(VLOOKUP(D112,MasterTable[[#All],[WCAG guideline]:[Level]],4,FALSE)," ")</f>
        <v xml:space="preserve"> </v>
      </c>
    </row>
    <row r="113" spans="1:10" ht="15.6" x14ac:dyDescent="0.3">
      <c r="A113" s="53"/>
      <c r="B113" s="42"/>
      <c r="C113" s="42"/>
      <c r="D113" s="54"/>
      <c r="E113" s="53"/>
      <c r="F113" s="53"/>
      <c r="G113" s="53"/>
      <c r="H113" s="54"/>
      <c r="I113" s="55" t="str">
        <f>IFERROR(VLOOKUP(D113,MasterTable[[#All],[WCAG guideline]:[Level]],3,FALSE)," ")</f>
        <v xml:space="preserve"> </v>
      </c>
      <c r="J113" s="44" t="str">
        <f>IFERROR(VLOOKUP(D113,MasterTable[[#All],[WCAG guideline]:[Level]],4,FALSE)," ")</f>
        <v xml:space="preserve"> </v>
      </c>
    </row>
    <row r="114" spans="1:10" ht="15.6" x14ac:dyDescent="0.3">
      <c r="A114" s="53"/>
      <c r="B114" s="42"/>
      <c r="C114" s="42"/>
      <c r="D114" s="54"/>
      <c r="E114" s="53"/>
      <c r="F114" s="53"/>
      <c r="G114" s="53"/>
      <c r="H114" s="54"/>
      <c r="I114" s="55" t="str">
        <f>IFERROR(VLOOKUP(D114,MasterTable[[#All],[WCAG guideline]:[Level]],3,FALSE)," ")</f>
        <v xml:space="preserve"> </v>
      </c>
      <c r="J114" s="44" t="str">
        <f>IFERROR(VLOOKUP(D114,MasterTable[[#All],[WCAG guideline]:[Level]],4,FALSE)," ")</f>
        <v xml:space="preserve"> </v>
      </c>
    </row>
    <row r="115" spans="1:10" ht="15.6" x14ac:dyDescent="0.3">
      <c r="A115" s="53"/>
      <c r="B115" s="42"/>
      <c r="C115" s="42"/>
      <c r="D115" s="54"/>
      <c r="E115" s="53"/>
      <c r="F115" s="53"/>
      <c r="G115" s="53"/>
      <c r="H115" s="54"/>
      <c r="I115" s="55" t="str">
        <f>IFERROR(VLOOKUP(D115,MasterTable[[#All],[WCAG guideline]:[Level]],3,FALSE)," ")</f>
        <v xml:space="preserve"> </v>
      </c>
      <c r="J115" s="44" t="str">
        <f>IFERROR(VLOOKUP(D115,MasterTable[[#All],[WCAG guideline]:[Level]],4,FALSE)," ")</f>
        <v xml:space="preserve"> </v>
      </c>
    </row>
    <row r="116" spans="1:10" ht="15.6" x14ac:dyDescent="0.3">
      <c r="A116" s="53"/>
      <c r="B116" s="42"/>
      <c r="C116" s="42"/>
      <c r="D116" s="54"/>
      <c r="E116" s="53"/>
      <c r="F116" s="53"/>
      <c r="G116" s="53"/>
      <c r="H116" s="54"/>
      <c r="I116" s="55" t="str">
        <f>IFERROR(VLOOKUP(D116,MasterTable[[#All],[WCAG guideline]:[Level]],3,FALSE)," ")</f>
        <v xml:space="preserve"> </v>
      </c>
      <c r="J116" s="44" t="str">
        <f>IFERROR(VLOOKUP(D116,MasterTable[[#All],[WCAG guideline]:[Level]],4,FALSE)," ")</f>
        <v xml:space="preserve"> </v>
      </c>
    </row>
    <row r="117" spans="1:10" ht="15.6" x14ac:dyDescent="0.3">
      <c r="A117" s="53"/>
      <c r="B117" s="42"/>
      <c r="C117" s="42"/>
      <c r="D117" s="54"/>
      <c r="E117" s="53"/>
      <c r="F117" s="53"/>
      <c r="G117" s="53"/>
      <c r="H117" s="54"/>
      <c r="I117" s="55" t="str">
        <f>IFERROR(VLOOKUP(D117,MasterTable[[#All],[WCAG guideline]:[Level]],3,FALSE)," ")</f>
        <v xml:space="preserve"> </v>
      </c>
      <c r="J117" s="44" t="str">
        <f>IFERROR(VLOOKUP(D117,MasterTable[[#All],[WCAG guideline]:[Level]],4,FALSE)," ")</f>
        <v xml:space="preserve"> </v>
      </c>
    </row>
    <row r="118" spans="1:10" ht="15.6" x14ac:dyDescent="0.3">
      <c r="A118" s="53"/>
      <c r="B118" s="42"/>
      <c r="C118" s="42"/>
      <c r="D118" s="54"/>
      <c r="E118" s="53"/>
      <c r="F118" s="53"/>
      <c r="G118" s="53"/>
      <c r="H118" s="54"/>
      <c r="I118" s="55" t="str">
        <f>IFERROR(VLOOKUP(D118,MasterTable[[#All],[WCAG guideline]:[Level]],3,FALSE)," ")</f>
        <v xml:space="preserve"> </v>
      </c>
      <c r="J118" s="44" t="str">
        <f>IFERROR(VLOOKUP(D118,MasterTable[[#All],[WCAG guideline]:[Level]],4,FALSE)," ")</f>
        <v xml:space="preserve"> </v>
      </c>
    </row>
    <row r="119" spans="1:10" ht="15.6" x14ac:dyDescent="0.3">
      <c r="A119" s="53"/>
      <c r="B119" s="42"/>
      <c r="C119" s="42"/>
      <c r="D119" s="54"/>
      <c r="E119" s="53"/>
      <c r="F119" s="53"/>
      <c r="G119" s="53"/>
      <c r="H119" s="54"/>
      <c r="I119" s="55" t="str">
        <f>IFERROR(VLOOKUP(D119,MasterTable[[#All],[WCAG guideline]:[Level]],3,FALSE)," ")</f>
        <v xml:space="preserve"> </v>
      </c>
      <c r="J119" s="44" t="str">
        <f>IFERROR(VLOOKUP(D119,MasterTable[[#All],[WCAG guideline]:[Level]],4,FALSE)," ")</f>
        <v xml:space="preserve"> </v>
      </c>
    </row>
    <row r="120" spans="1:10" ht="15.6" x14ac:dyDescent="0.3">
      <c r="A120" s="53"/>
      <c r="B120" s="42"/>
      <c r="C120" s="42"/>
      <c r="D120" s="54"/>
      <c r="E120" s="53"/>
      <c r="F120" s="53"/>
      <c r="G120" s="53"/>
      <c r="H120" s="54"/>
      <c r="I120" s="55" t="str">
        <f>IFERROR(VLOOKUP(D120,MasterTable[[#All],[WCAG guideline]:[Level]],3,FALSE)," ")</f>
        <v xml:space="preserve"> </v>
      </c>
      <c r="J120" s="44" t="str">
        <f>IFERROR(VLOOKUP(D120,MasterTable[[#All],[WCAG guideline]:[Level]],4,FALSE)," ")</f>
        <v xml:space="preserve"> </v>
      </c>
    </row>
    <row r="121" spans="1:10" ht="15.6" x14ac:dyDescent="0.3">
      <c r="A121" s="53"/>
      <c r="B121" s="42"/>
      <c r="C121" s="42"/>
      <c r="D121" s="54"/>
      <c r="E121" s="53"/>
      <c r="F121" s="53"/>
      <c r="G121" s="53"/>
      <c r="H121" s="54"/>
      <c r="I121" s="55" t="str">
        <f>IFERROR(VLOOKUP(D121,MasterTable[[#All],[WCAG guideline]:[Level]],3,FALSE)," ")</f>
        <v xml:space="preserve"> </v>
      </c>
      <c r="J121" s="44" t="str">
        <f>IFERROR(VLOOKUP(D121,MasterTable[[#All],[WCAG guideline]:[Level]],4,FALSE)," ")</f>
        <v xml:space="preserve"> </v>
      </c>
    </row>
    <row r="122" spans="1:10" ht="15.6" x14ac:dyDescent="0.3">
      <c r="A122" s="53"/>
      <c r="B122" s="42"/>
      <c r="C122" s="42"/>
      <c r="D122" s="54"/>
      <c r="E122" s="53"/>
      <c r="F122" s="53"/>
      <c r="G122" s="53"/>
      <c r="H122" s="54"/>
      <c r="I122" s="55" t="str">
        <f>IFERROR(VLOOKUP(D122,MasterTable[[#All],[WCAG guideline]:[Level]],3,FALSE)," ")</f>
        <v xml:space="preserve"> </v>
      </c>
      <c r="J122" s="44" t="str">
        <f>IFERROR(VLOOKUP(D122,MasterTable[[#All],[WCAG guideline]:[Level]],4,FALSE)," ")</f>
        <v xml:space="preserve"> </v>
      </c>
    </row>
    <row r="123" spans="1:10" ht="15.6" x14ac:dyDescent="0.3">
      <c r="A123" s="53"/>
      <c r="B123" s="42"/>
      <c r="C123" s="42"/>
      <c r="D123" s="54"/>
      <c r="E123" s="53"/>
      <c r="F123" s="53"/>
      <c r="G123" s="53"/>
      <c r="H123" s="54"/>
      <c r="I123" s="55" t="str">
        <f>IFERROR(VLOOKUP(D123,MasterTable[[#All],[WCAG guideline]:[Level]],3,FALSE)," ")</f>
        <v xml:space="preserve"> </v>
      </c>
      <c r="J123" s="44" t="str">
        <f>IFERROR(VLOOKUP(D123,MasterTable[[#All],[WCAG guideline]:[Level]],4,FALSE)," ")</f>
        <v xml:space="preserve"> </v>
      </c>
    </row>
    <row r="124" spans="1:10" ht="15.6" x14ac:dyDescent="0.3">
      <c r="A124" s="53"/>
      <c r="B124" s="42"/>
      <c r="C124" s="42"/>
      <c r="D124" s="54"/>
      <c r="E124" s="53"/>
      <c r="F124" s="53"/>
      <c r="G124" s="53"/>
      <c r="H124" s="54"/>
      <c r="I124" s="55" t="str">
        <f>IFERROR(VLOOKUP(D124,MasterTable[[#All],[WCAG guideline]:[Level]],3,FALSE)," ")</f>
        <v xml:space="preserve"> </v>
      </c>
      <c r="J124" s="44" t="str">
        <f>IFERROR(VLOOKUP(D124,MasterTable[[#All],[WCAG guideline]:[Level]],4,FALSE)," ")</f>
        <v xml:space="preserve"> </v>
      </c>
    </row>
    <row r="125" spans="1:10" ht="15.6" x14ac:dyDescent="0.3">
      <c r="A125" s="53"/>
      <c r="B125" s="42"/>
      <c r="C125" s="42"/>
      <c r="D125" s="54"/>
      <c r="E125" s="53"/>
      <c r="F125" s="53"/>
      <c r="G125" s="53"/>
      <c r="H125" s="54"/>
      <c r="I125" s="55" t="str">
        <f>IFERROR(VLOOKUP(D125,MasterTable[[#All],[WCAG guideline]:[Level]],3,FALSE)," ")</f>
        <v xml:space="preserve"> </v>
      </c>
      <c r="J125" s="44" t="str">
        <f>IFERROR(VLOOKUP(D125,MasterTable[[#All],[WCAG guideline]:[Level]],4,FALSE)," ")</f>
        <v xml:space="preserve"> </v>
      </c>
    </row>
    <row r="126" spans="1:10" ht="15.6" x14ac:dyDescent="0.3">
      <c r="A126" s="53"/>
      <c r="B126" s="42"/>
      <c r="C126" s="42"/>
      <c r="D126" s="54"/>
      <c r="E126" s="53"/>
      <c r="F126" s="53"/>
      <c r="G126" s="53"/>
      <c r="H126" s="54"/>
      <c r="I126" s="55" t="str">
        <f>IFERROR(VLOOKUP(D126,MasterTable[[#All],[WCAG guideline]:[Level]],3,FALSE)," ")</f>
        <v xml:space="preserve"> </v>
      </c>
      <c r="J126" s="44" t="str">
        <f>IFERROR(VLOOKUP(D126,MasterTable[[#All],[WCAG guideline]:[Level]],4,FALSE)," ")</f>
        <v xml:space="preserve"> </v>
      </c>
    </row>
    <row r="127" spans="1:10" ht="15.6" x14ac:dyDescent="0.3">
      <c r="A127" s="53"/>
      <c r="B127" s="42"/>
      <c r="C127" s="42"/>
      <c r="D127" s="54"/>
      <c r="E127" s="53"/>
      <c r="F127" s="53"/>
      <c r="G127" s="53"/>
      <c r="H127" s="54"/>
      <c r="I127" s="55" t="str">
        <f>IFERROR(VLOOKUP(D127,MasterTable[[#All],[WCAG guideline]:[Level]],3,FALSE)," ")</f>
        <v xml:space="preserve"> </v>
      </c>
      <c r="J127" s="44" t="str">
        <f>IFERROR(VLOOKUP(D127,MasterTable[[#All],[WCAG guideline]:[Level]],4,FALSE)," ")</f>
        <v xml:space="preserve"> </v>
      </c>
    </row>
    <row r="128" spans="1:10" ht="15.6" x14ac:dyDescent="0.3">
      <c r="A128" s="53"/>
      <c r="B128" s="42"/>
      <c r="C128" s="42"/>
      <c r="D128" s="54"/>
      <c r="E128" s="53"/>
      <c r="F128" s="53"/>
      <c r="G128" s="53"/>
      <c r="H128" s="54"/>
      <c r="I128" s="55" t="str">
        <f>IFERROR(VLOOKUP(D128,MasterTable[[#All],[WCAG guideline]:[Level]],3,FALSE)," ")</f>
        <v xml:space="preserve"> </v>
      </c>
      <c r="J128" s="44" t="str">
        <f>IFERROR(VLOOKUP(D128,MasterTable[[#All],[WCAG guideline]:[Level]],4,FALSE)," ")</f>
        <v xml:space="preserve"> </v>
      </c>
    </row>
    <row r="129" spans="1:10" ht="15.6" x14ac:dyDescent="0.3">
      <c r="A129" s="53"/>
      <c r="B129" s="42"/>
      <c r="C129" s="42"/>
      <c r="D129" s="54"/>
      <c r="E129" s="53"/>
      <c r="F129" s="53"/>
      <c r="G129" s="53"/>
      <c r="H129" s="54"/>
      <c r="I129" s="55" t="str">
        <f>IFERROR(VLOOKUP(D129,MasterTable[[#All],[WCAG guideline]:[Level]],3,FALSE)," ")</f>
        <v xml:space="preserve"> </v>
      </c>
      <c r="J129" s="44" t="str">
        <f>IFERROR(VLOOKUP(D129,MasterTable[[#All],[WCAG guideline]:[Level]],4,FALSE)," ")</f>
        <v xml:space="preserve"> </v>
      </c>
    </row>
    <row r="130" spans="1:10" ht="15.6" x14ac:dyDescent="0.3">
      <c r="A130" s="53"/>
      <c r="B130" s="42"/>
      <c r="C130" s="42"/>
      <c r="D130" s="54"/>
      <c r="E130" s="53"/>
      <c r="F130" s="53"/>
      <c r="G130" s="53"/>
      <c r="H130" s="54"/>
      <c r="I130" s="55" t="str">
        <f>IFERROR(VLOOKUP(D130,MasterTable[[#All],[WCAG guideline]:[Level]],3,FALSE)," ")</f>
        <v xml:space="preserve"> </v>
      </c>
      <c r="J130" s="44" t="str">
        <f>IFERROR(VLOOKUP(D130,MasterTable[[#All],[WCAG guideline]:[Level]],4,FALSE)," ")</f>
        <v xml:space="preserve"> </v>
      </c>
    </row>
    <row r="131" spans="1:10" ht="15.6" x14ac:dyDescent="0.3">
      <c r="A131" s="53"/>
      <c r="B131" s="42"/>
      <c r="C131" s="42"/>
      <c r="D131" s="54"/>
      <c r="E131" s="53"/>
      <c r="F131" s="53"/>
      <c r="G131" s="53"/>
      <c r="H131" s="54"/>
      <c r="I131" s="55" t="str">
        <f>IFERROR(VLOOKUP(D131,MasterTable[[#All],[WCAG guideline]:[Level]],3,FALSE)," ")</f>
        <v xml:space="preserve"> </v>
      </c>
      <c r="J131" s="44" t="str">
        <f>IFERROR(VLOOKUP(D131,MasterTable[[#All],[WCAG guideline]:[Level]],4,FALSE)," ")</f>
        <v xml:space="preserve"> </v>
      </c>
    </row>
    <row r="132" spans="1:10" ht="15.6" x14ac:dyDescent="0.3">
      <c r="A132" s="53"/>
      <c r="B132" s="42"/>
      <c r="C132" s="42"/>
      <c r="D132" s="54"/>
      <c r="E132" s="53"/>
      <c r="F132" s="53"/>
      <c r="G132" s="53"/>
      <c r="H132" s="54"/>
      <c r="I132" s="55" t="str">
        <f>IFERROR(VLOOKUP(D132,MasterTable[[#All],[WCAG guideline]:[Level]],3,FALSE)," ")</f>
        <v xml:space="preserve"> </v>
      </c>
      <c r="J132" s="44" t="str">
        <f>IFERROR(VLOOKUP(D132,MasterTable[[#All],[WCAG guideline]:[Level]],4,FALSE)," ")</f>
        <v xml:space="preserve"> </v>
      </c>
    </row>
    <row r="133" spans="1:10" ht="15.6" x14ac:dyDescent="0.3">
      <c r="A133" s="53"/>
      <c r="B133" s="42"/>
      <c r="C133" s="42"/>
      <c r="D133" s="54"/>
      <c r="E133" s="53"/>
      <c r="F133" s="53"/>
      <c r="G133" s="53"/>
      <c r="H133" s="54"/>
      <c r="I133" s="55" t="str">
        <f>IFERROR(VLOOKUP(D133,MasterTable[[#All],[WCAG guideline]:[Level]],3,FALSE)," ")</f>
        <v xml:space="preserve"> </v>
      </c>
      <c r="J133" s="44" t="str">
        <f>IFERROR(VLOOKUP(D133,MasterTable[[#All],[WCAG guideline]:[Level]],4,FALSE)," ")</f>
        <v xml:space="preserve"> </v>
      </c>
    </row>
    <row r="134" spans="1:10" ht="15.6" x14ac:dyDescent="0.3">
      <c r="A134" s="53"/>
      <c r="B134" s="42"/>
      <c r="C134" s="42"/>
      <c r="D134" s="54"/>
      <c r="E134" s="53"/>
      <c r="F134" s="53"/>
      <c r="G134" s="53"/>
      <c r="H134" s="54"/>
      <c r="I134" s="55" t="str">
        <f>IFERROR(VLOOKUP(D134,MasterTable[[#All],[WCAG guideline]:[Level]],3,FALSE)," ")</f>
        <v xml:space="preserve"> </v>
      </c>
      <c r="J134" s="44" t="str">
        <f>IFERROR(VLOOKUP(D134,MasterTable[[#All],[WCAG guideline]:[Level]],4,FALSE)," ")</f>
        <v xml:space="preserve"> </v>
      </c>
    </row>
    <row r="135" spans="1:10" ht="15.6" x14ac:dyDescent="0.3">
      <c r="A135" s="53"/>
      <c r="B135" s="42"/>
      <c r="C135" s="42"/>
      <c r="D135" s="54"/>
      <c r="E135" s="53"/>
      <c r="F135" s="53"/>
      <c r="G135" s="53"/>
      <c r="H135" s="54"/>
      <c r="I135" s="55" t="str">
        <f>IFERROR(VLOOKUP(D135,MasterTable[[#All],[WCAG guideline]:[Level]],3,FALSE)," ")</f>
        <v xml:space="preserve"> </v>
      </c>
      <c r="J135" s="44" t="str">
        <f>IFERROR(VLOOKUP(D135,MasterTable[[#All],[WCAG guideline]:[Level]],4,FALSE)," ")</f>
        <v xml:space="preserve"> </v>
      </c>
    </row>
    <row r="136" spans="1:10" ht="15.6" x14ac:dyDescent="0.3">
      <c r="A136" s="53"/>
      <c r="B136" s="42"/>
      <c r="C136" s="42"/>
      <c r="D136" s="54"/>
      <c r="E136" s="53"/>
      <c r="F136" s="53"/>
      <c r="G136" s="53"/>
      <c r="H136" s="54"/>
      <c r="I136" s="55" t="str">
        <f>IFERROR(VLOOKUP(D136,MasterTable[[#All],[WCAG guideline]:[Level]],3,FALSE)," ")</f>
        <v xml:space="preserve"> </v>
      </c>
      <c r="J136" s="44" t="str">
        <f>IFERROR(VLOOKUP(D136,MasterTable[[#All],[WCAG guideline]:[Level]],4,FALSE)," ")</f>
        <v xml:space="preserve"> </v>
      </c>
    </row>
    <row r="137" spans="1:10" ht="15.6" x14ac:dyDescent="0.3">
      <c r="A137" s="53"/>
      <c r="B137" s="42"/>
      <c r="C137" s="42"/>
      <c r="D137" s="54"/>
      <c r="E137" s="53"/>
      <c r="F137" s="53"/>
      <c r="G137" s="53"/>
      <c r="H137" s="54"/>
      <c r="I137" s="55" t="str">
        <f>IFERROR(VLOOKUP(D137,MasterTable[[#All],[WCAG guideline]:[Level]],3,FALSE)," ")</f>
        <v xml:space="preserve"> </v>
      </c>
      <c r="J137" s="44" t="str">
        <f>IFERROR(VLOOKUP(D137,MasterTable[[#All],[WCAG guideline]:[Level]],4,FALSE)," ")</f>
        <v xml:space="preserve"> </v>
      </c>
    </row>
    <row r="138" spans="1:10" ht="15.6" x14ac:dyDescent="0.3">
      <c r="A138" s="53"/>
      <c r="B138" s="42"/>
      <c r="C138" s="42"/>
      <c r="D138" s="54"/>
      <c r="E138" s="53"/>
      <c r="F138" s="53"/>
      <c r="G138" s="53"/>
      <c r="H138" s="54"/>
      <c r="I138" s="55" t="str">
        <f>IFERROR(VLOOKUP(D138,MasterTable[[#All],[WCAG guideline]:[Level]],3,FALSE)," ")</f>
        <v xml:space="preserve"> </v>
      </c>
      <c r="J138" s="44" t="str">
        <f>IFERROR(VLOOKUP(D138,MasterTable[[#All],[WCAG guideline]:[Level]],4,FALSE)," ")</f>
        <v xml:space="preserve"> </v>
      </c>
    </row>
    <row r="139" spans="1:10" ht="15.6" x14ac:dyDescent="0.3">
      <c r="A139" s="53"/>
      <c r="B139" s="42"/>
      <c r="C139" s="42"/>
      <c r="D139" s="54"/>
      <c r="E139" s="53"/>
      <c r="F139" s="53"/>
      <c r="G139" s="53"/>
      <c r="H139" s="54"/>
      <c r="I139" s="55" t="str">
        <f>IFERROR(VLOOKUP(D139,MasterTable[[#All],[WCAG guideline]:[Level]],3,FALSE)," ")</f>
        <v xml:space="preserve"> </v>
      </c>
      <c r="J139" s="44" t="str">
        <f>IFERROR(VLOOKUP(D139,MasterTable[[#All],[WCAG guideline]:[Level]],4,FALSE)," ")</f>
        <v xml:space="preserve"> </v>
      </c>
    </row>
    <row r="140" spans="1:10" ht="15.6" x14ac:dyDescent="0.3">
      <c r="A140" s="53"/>
      <c r="B140" s="42"/>
      <c r="C140" s="42"/>
      <c r="D140" s="54"/>
      <c r="E140" s="53"/>
      <c r="F140" s="53"/>
      <c r="G140" s="53"/>
      <c r="H140" s="54"/>
      <c r="I140" s="55" t="str">
        <f>IFERROR(VLOOKUP(D140,MasterTable[[#All],[WCAG guideline]:[Level]],3,FALSE)," ")</f>
        <v xml:space="preserve"> </v>
      </c>
      <c r="J140" s="44" t="str">
        <f>IFERROR(VLOOKUP(D140,MasterTable[[#All],[WCAG guideline]:[Level]],4,FALSE)," ")</f>
        <v xml:space="preserve"> </v>
      </c>
    </row>
    <row r="141" spans="1:10" ht="15.6" x14ac:dyDescent="0.3">
      <c r="A141" s="53"/>
      <c r="B141" s="42"/>
      <c r="C141" s="42"/>
      <c r="D141" s="54"/>
      <c r="E141" s="53"/>
      <c r="F141" s="53"/>
      <c r="G141" s="53"/>
      <c r="H141" s="54"/>
      <c r="I141" s="55" t="str">
        <f>IFERROR(VLOOKUP(D141,MasterTable[[#All],[WCAG guideline]:[Level]],3,FALSE)," ")</f>
        <v xml:space="preserve"> </v>
      </c>
      <c r="J141" s="44" t="str">
        <f>IFERROR(VLOOKUP(D141,MasterTable[[#All],[WCAG guideline]:[Level]],4,FALSE)," ")</f>
        <v xml:space="preserve"> </v>
      </c>
    </row>
    <row r="142" spans="1:10" ht="15.6" x14ac:dyDescent="0.3">
      <c r="A142" s="53"/>
      <c r="B142" s="42"/>
      <c r="C142" s="42"/>
      <c r="D142" s="54"/>
      <c r="E142" s="53"/>
      <c r="F142" s="53"/>
      <c r="G142" s="53"/>
      <c r="H142" s="54"/>
      <c r="I142" s="55" t="str">
        <f>IFERROR(VLOOKUP(D142,MasterTable[[#All],[WCAG guideline]:[Level]],3,FALSE)," ")</f>
        <v xml:space="preserve"> </v>
      </c>
      <c r="J142" s="44" t="str">
        <f>IFERROR(VLOOKUP(D142,MasterTable[[#All],[WCAG guideline]:[Level]],4,FALSE)," ")</f>
        <v xml:space="preserve"> </v>
      </c>
    </row>
    <row r="143" spans="1:10" ht="15.6" x14ac:dyDescent="0.3">
      <c r="A143" s="53"/>
      <c r="B143" s="42"/>
      <c r="C143" s="42"/>
      <c r="D143" s="54"/>
      <c r="E143" s="53"/>
      <c r="F143" s="53"/>
      <c r="G143" s="53"/>
      <c r="H143" s="54"/>
      <c r="I143" s="55" t="str">
        <f>IFERROR(VLOOKUP(D143,MasterTable[[#All],[WCAG guideline]:[Level]],3,FALSE)," ")</f>
        <v xml:space="preserve"> </v>
      </c>
      <c r="J143" s="44" t="str">
        <f>IFERROR(VLOOKUP(D143,MasterTable[[#All],[WCAG guideline]:[Level]],4,FALSE)," ")</f>
        <v xml:space="preserve"> </v>
      </c>
    </row>
    <row r="144" spans="1:10" ht="15.6" x14ac:dyDescent="0.3">
      <c r="A144" s="53"/>
      <c r="B144" s="42"/>
      <c r="C144" s="42"/>
      <c r="D144" s="54"/>
      <c r="E144" s="53"/>
      <c r="F144" s="53"/>
      <c r="G144" s="53"/>
      <c r="H144" s="54"/>
      <c r="I144" s="55" t="str">
        <f>IFERROR(VLOOKUP(D144,MasterTable[[#All],[WCAG guideline]:[Level]],3,FALSE)," ")</f>
        <v xml:space="preserve"> </v>
      </c>
      <c r="J144" s="44" t="str">
        <f>IFERROR(VLOOKUP(D144,MasterTable[[#All],[WCAG guideline]:[Level]],4,FALSE)," ")</f>
        <v xml:space="preserve"> </v>
      </c>
    </row>
    <row r="145" spans="1:10" ht="15.6" x14ac:dyDescent="0.3">
      <c r="A145" s="53"/>
      <c r="B145" s="42"/>
      <c r="C145" s="42"/>
      <c r="D145" s="54"/>
      <c r="E145" s="53"/>
      <c r="F145" s="53"/>
      <c r="G145" s="53"/>
      <c r="H145" s="54"/>
      <c r="I145" s="55" t="str">
        <f>IFERROR(VLOOKUP(D145,MasterTable[[#All],[WCAG guideline]:[Level]],3,FALSE)," ")</f>
        <v xml:space="preserve"> </v>
      </c>
      <c r="J145" s="44" t="str">
        <f>IFERROR(VLOOKUP(D145,MasterTable[[#All],[WCAG guideline]:[Level]],4,FALSE)," ")</f>
        <v xml:space="preserve"> </v>
      </c>
    </row>
    <row r="146" spans="1:10" ht="15.6" x14ac:dyDescent="0.3">
      <c r="A146" s="53"/>
      <c r="B146" s="42"/>
      <c r="C146" s="42"/>
      <c r="D146" s="54"/>
      <c r="E146" s="53"/>
      <c r="F146" s="53"/>
      <c r="G146" s="53"/>
      <c r="H146" s="54"/>
      <c r="I146" s="55" t="str">
        <f>IFERROR(VLOOKUP(D146,MasterTable[[#All],[WCAG guideline]:[Level]],3,FALSE)," ")</f>
        <v xml:space="preserve"> </v>
      </c>
      <c r="J146" s="44" t="str">
        <f>IFERROR(VLOOKUP(D146,MasterTable[[#All],[WCAG guideline]:[Level]],4,FALSE)," ")</f>
        <v xml:space="preserve"> </v>
      </c>
    </row>
    <row r="147" spans="1:10" ht="15.6" x14ac:dyDescent="0.3">
      <c r="A147" s="53"/>
      <c r="B147" s="42"/>
      <c r="C147" s="42"/>
      <c r="D147" s="54"/>
      <c r="E147" s="53"/>
      <c r="F147" s="53"/>
      <c r="G147" s="53"/>
      <c r="H147" s="54"/>
      <c r="I147" s="55" t="str">
        <f>IFERROR(VLOOKUP(D147,MasterTable[[#All],[WCAG guideline]:[Level]],3,FALSE)," ")</f>
        <v xml:space="preserve"> </v>
      </c>
      <c r="J147" s="44" t="str">
        <f>IFERROR(VLOOKUP(D147,MasterTable[[#All],[WCAG guideline]:[Level]],4,FALSE)," ")</f>
        <v xml:space="preserve"> </v>
      </c>
    </row>
    <row r="148" spans="1:10" ht="15.6" x14ac:dyDescent="0.3">
      <c r="A148" s="53"/>
      <c r="B148" s="42"/>
      <c r="C148" s="42"/>
      <c r="D148" s="54"/>
      <c r="E148" s="53"/>
      <c r="F148" s="53"/>
      <c r="G148" s="53"/>
      <c r="H148" s="54"/>
      <c r="I148" s="55" t="str">
        <f>IFERROR(VLOOKUP(D148,MasterTable[[#All],[WCAG guideline]:[Level]],3,FALSE)," ")</f>
        <v xml:space="preserve"> </v>
      </c>
      <c r="J148" s="44" t="str">
        <f>IFERROR(VLOOKUP(D148,MasterTable[[#All],[WCAG guideline]:[Level]],4,FALSE)," ")</f>
        <v xml:space="preserve"> </v>
      </c>
    </row>
    <row r="149" spans="1:10" ht="15.6" x14ac:dyDescent="0.3">
      <c r="A149" s="53"/>
      <c r="B149" s="42"/>
      <c r="C149" s="42"/>
      <c r="D149" s="54"/>
      <c r="E149" s="53"/>
      <c r="F149" s="53"/>
      <c r="G149" s="53"/>
      <c r="H149" s="54"/>
      <c r="I149" s="55" t="str">
        <f>IFERROR(VLOOKUP(D149,MasterTable[[#All],[WCAG guideline]:[Level]],3,FALSE)," ")</f>
        <v xml:space="preserve"> </v>
      </c>
      <c r="J149" s="44" t="str">
        <f>IFERROR(VLOOKUP(D149,MasterTable[[#All],[WCAG guideline]:[Level]],4,FALSE)," ")</f>
        <v xml:space="preserve"> </v>
      </c>
    </row>
    <row r="150" spans="1:10" ht="15.6" x14ac:dyDescent="0.3">
      <c r="A150" s="53"/>
      <c r="B150" s="42"/>
      <c r="C150" s="42"/>
      <c r="D150" s="54"/>
      <c r="E150" s="53"/>
      <c r="F150" s="53"/>
      <c r="G150" s="53"/>
      <c r="H150" s="54"/>
      <c r="I150" s="55" t="str">
        <f>IFERROR(VLOOKUP(D150,MasterTable[[#All],[WCAG guideline]:[Level]],3,FALSE)," ")</f>
        <v xml:space="preserve"> </v>
      </c>
      <c r="J150" s="44" t="str">
        <f>IFERROR(VLOOKUP(D150,MasterTable[[#All],[WCAG guideline]:[Level]],4,FALSE)," ")</f>
        <v xml:space="preserve"> </v>
      </c>
    </row>
    <row r="151" spans="1:10" ht="15.6" x14ac:dyDescent="0.3">
      <c r="A151" s="53"/>
      <c r="B151" s="42"/>
      <c r="C151" s="42"/>
      <c r="D151" s="54"/>
      <c r="E151" s="53"/>
      <c r="F151" s="53"/>
      <c r="G151" s="53"/>
      <c r="H151" s="54"/>
      <c r="I151" s="55" t="str">
        <f>IFERROR(VLOOKUP(D151,MasterTable[[#All],[WCAG guideline]:[Level]],3,FALSE)," ")</f>
        <v xml:space="preserve"> </v>
      </c>
      <c r="J151" s="44" t="str">
        <f>IFERROR(VLOOKUP(D151,MasterTable[[#All],[WCAG guideline]:[Level]],4,FALSE)," ")</f>
        <v xml:space="preserve"> </v>
      </c>
    </row>
    <row r="152" spans="1:10" ht="15.6" x14ac:dyDescent="0.3">
      <c r="A152" s="53"/>
      <c r="B152" s="42"/>
      <c r="C152" s="42"/>
      <c r="D152" s="54"/>
      <c r="E152" s="53"/>
      <c r="F152" s="53"/>
      <c r="G152" s="53"/>
      <c r="H152" s="54"/>
      <c r="I152" s="55" t="str">
        <f>IFERROR(VLOOKUP(D152,MasterTable[[#All],[WCAG guideline]:[Level]],3,FALSE)," ")</f>
        <v xml:space="preserve"> </v>
      </c>
      <c r="J152" s="44" t="str">
        <f>IFERROR(VLOOKUP(D152,MasterTable[[#All],[WCAG guideline]:[Level]],4,FALSE)," ")</f>
        <v xml:space="preserve"> </v>
      </c>
    </row>
    <row r="153" spans="1:10" ht="15.6" x14ac:dyDescent="0.3">
      <c r="A153" s="53"/>
      <c r="B153" s="42"/>
      <c r="C153" s="42"/>
      <c r="D153" s="54"/>
      <c r="E153" s="53"/>
      <c r="F153" s="53"/>
      <c r="G153" s="53"/>
      <c r="H153" s="54"/>
      <c r="I153" s="55" t="str">
        <f>IFERROR(VLOOKUP(D153,MasterTable[[#All],[WCAG guideline]:[Level]],3,FALSE)," ")</f>
        <v xml:space="preserve"> </v>
      </c>
      <c r="J153" s="44" t="str">
        <f>IFERROR(VLOOKUP(D153,MasterTable[[#All],[WCAG guideline]:[Level]],4,FALSE)," ")</f>
        <v xml:space="preserve"> </v>
      </c>
    </row>
    <row r="154" spans="1:10" ht="15.6" x14ac:dyDescent="0.3">
      <c r="A154" s="53"/>
      <c r="B154" s="42"/>
      <c r="C154" s="42"/>
      <c r="D154" s="54"/>
      <c r="E154" s="53"/>
      <c r="F154" s="53"/>
      <c r="G154" s="53"/>
      <c r="H154" s="54"/>
      <c r="I154" s="55" t="str">
        <f>IFERROR(VLOOKUP(D154,MasterTable[[#All],[WCAG guideline]:[Level]],3,FALSE)," ")</f>
        <v xml:space="preserve"> </v>
      </c>
      <c r="J154" s="44" t="str">
        <f>IFERROR(VLOOKUP(D154,MasterTable[[#All],[WCAG guideline]:[Level]],4,FALSE)," ")</f>
        <v xml:space="preserve"> </v>
      </c>
    </row>
    <row r="155" spans="1:10" ht="15.6" x14ac:dyDescent="0.3">
      <c r="A155" s="53"/>
      <c r="B155" s="42"/>
      <c r="C155" s="42"/>
      <c r="D155" s="54"/>
      <c r="E155" s="53"/>
      <c r="F155" s="53"/>
      <c r="G155" s="53"/>
      <c r="H155" s="54"/>
      <c r="I155" s="55" t="str">
        <f>IFERROR(VLOOKUP(D155,MasterTable[[#All],[WCAG guideline]:[Level]],3,FALSE)," ")</f>
        <v xml:space="preserve"> </v>
      </c>
      <c r="J155" s="44" t="str">
        <f>IFERROR(VLOOKUP(D155,MasterTable[[#All],[WCAG guideline]:[Level]],4,FALSE)," ")</f>
        <v xml:space="preserve"> </v>
      </c>
    </row>
    <row r="156" spans="1:10" ht="15.6" x14ac:dyDescent="0.3">
      <c r="A156" s="53"/>
      <c r="B156" s="42"/>
      <c r="C156" s="42"/>
      <c r="D156" s="54"/>
      <c r="E156" s="53"/>
      <c r="F156" s="53"/>
      <c r="G156" s="53"/>
      <c r="H156" s="54"/>
      <c r="I156" s="55" t="str">
        <f>IFERROR(VLOOKUP(D156,MasterTable[[#All],[WCAG guideline]:[Level]],3,FALSE)," ")</f>
        <v xml:space="preserve"> </v>
      </c>
      <c r="J156" s="44" t="str">
        <f>IFERROR(VLOOKUP(D156,MasterTable[[#All],[WCAG guideline]:[Level]],4,FALSE)," ")</f>
        <v xml:space="preserve"> </v>
      </c>
    </row>
    <row r="157" spans="1:10" ht="15.6" x14ac:dyDescent="0.3">
      <c r="A157" s="53"/>
      <c r="B157" s="42"/>
      <c r="C157" s="42"/>
      <c r="D157" s="54"/>
      <c r="E157" s="53"/>
      <c r="F157" s="53"/>
      <c r="G157" s="53"/>
      <c r="H157" s="54"/>
      <c r="I157" s="55" t="str">
        <f>IFERROR(VLOOKUP(D157,MasterTable[[#All],[WCAG guideline]:[Level]],3,FALSE)," ")</f>
        <v xml:space="preserve"> </v>
      </c>
      <c r="J157" s="44" t="str">
        <f>IFERROR(VLOOKUP(D157,MasterTable[[#All],[WCAG guideline]:[Level]],4,FALSE)," ")</f>
        <v xml:space="preserve"> </v>
      </c>
    </row>
    <row r="158" spans="1:10" ht="15.6" x14ac:dyDescent="0.3">
      <c r="A158" s="53"/>
      <c r="B158" s="42"/>
      <c r="C158" s="42"/>
      <c r="D158" s="54"/>
      <c r="E158" s="53"/>
      <c r="F158" s="53"/>
      <c r="G158" s="53"/>
      <c r="H158" s="54"/>
      <c r="I158" s="55" t="str">
        <f>IFERROR(VLOOKUP(D158,MasterTable[[#All],[WCAG guideline]:[Level]],3,FALSE)," ")</f>
        <v xml:space="preserve"> </v>
      </c>
      <c r="J158" s="44" t="str">
        <f>IFERROR(VLOOKUP(D158,MasterTable[[#All],[WCAG guideline]:[Level]],4,FALSE)," ")</f>
        <v xml:space="preserve"> </v>
      </c>
    </row>
    <row r="159" spans="1:10" ht="15.6" x14ac:dyDescent="0.3">
      <c r="A159" s="53"/>
      <c r="B159" s="42"/>
      <c r="C159" s="42"/>
      <c r="D159" s="54"/>
      <c r="E159" s="53"/>
      <c r="F159" s="53"/>
      <c r="G159" s="53"/>
      <c r="H159" s="54"/>
      <c r="I159" s="55" t="str">
        <f>IFERROR(VLOOKUP(D159,MasterTable[[#All],[WCAG guideline]:[Level]],3,FALSE)," ")</f>
        <v xml:space="preserve"> </v>
      </c>
      <c r="J159" s="44" t="str">
        <f>IFERROR(VLOOKUP(D159,MasterTable[[#All],[WCAG guideline]:[Level]],4,FALSE)," ")</f>
        <v xml:space="preserve"> </v>
      </c>
    </row>
    <row r="160" spans="1:10" ht="15.6" x14ac:dyDescent="0.3">
      <c r="A160" s="53"/>
      <c r="B160" s="42"/>
      <c r="C160" s="42"/>
      <c r="D160" s="54"/>
      <c r="E160" s="53"/>
      <c r="F160" s="53"/>
      <c r="G160" s="53"/>
      <c r="H160" s="54"/>
      <c r="I160" s="55" t="str">
        <f>IFERROR(VLOOKUP(D160,MasterTable[[#All],[WCAG guideline]:[Level]],3,FALSE)," ")</f>
        <v xml:space="preserve"> </v>
      </c>
      <c r="J160" s="44" t="str">
        <f>IFERROR(VLOOKUP(D160,MasterTable[[#All],[WCAG guideline]:[Level]],4,FALSE)," ")</f>
        <v xml:space="preserve"> </v>
      </c>
    </row>
    <row r="161" spans="1:10" ht="15.6" x14ac:dyDescent="0.3">
      <c r="A161" s="53"/>
      <c r="B161" s="42"/>
      <c r="C161" s="42"/>
      <c r="D161" s="54"/>
      <c r="E161" s="53"/>
      <c r="F161" s="53"/>
      <c r="G161" s="53"/>
      <c r="H161" s="54"/>
      <c r="I161" s="55" t="str">
        <f>IFERROR(VLOOKUP(D161,MasterTable[[#All],[WCAG guideline]:[Level]],3,FALSE)," ")</f>
        <v xml:space="preserve"> </v>
      </c>
      <c r="J161" s="44" t="str">
        <f>IFERROR(VLOOKUP(D161,MasterTable[[#All],[WCAG guideline]:[Level]],4,FALSE)," ")</f>
        <v xml:space="preserve"> </v>
      </c>
    </row>
    <row r="162" spans="1:10" ht="15.6" x14ac:dyDescent="0.3">
      <c r="A162" s="53"/>
      <c r="B162" s="42"/>
      <c r="C162" s="42"/>
      <c r="D162" s="54"/>
      <c r="E162" s="53"/>
      <c r="F162" s="53"/>
      <c r="G162" s="53"/>
      <c r="H162" s="54"/>
      <c r="I162" s="55" t="str">
        <f>IFERROR(VLOOKUP(D162,MasterTable[[#All],[WCAG guideline]:[Level]],3,FALSE)," ")</f>
        <v xml:space="preserve"> </v>
      </c>
      <c r="J162" s="44" t="str">
        <f>IFERROR(VLOOKUP(D162,MasterTable[[#All],[WCAG guideline]:[Level]],4,FALSE)," ")</f>
        <v xml:space="preserve"> </v>
      </c>
    </row>
    <row r="163" spans="1:10" ht="15.6" x14ac:dyDescent="0.3">
      <c r="A163" s="53"/>
      <c r="B163" s="42"/>
      <c r="C163" s="42"/>
      <c r="D163" s="54"/>
      <c r="E163" s="53"/>
      <c r="F163" s="53"/>
      <c r="G163" s="53"/>
      <c r="H163" s="54"/>
      <c r="I163" s="55" t="str">
        <f>IFERROR(VLOOKUP(D163,MasterTable[[#All],[WCAG guideline]:[Level]],3,FALSE)," ")</f>
        <v xml:space="preserve"> </v>
      </c>
      <c r="J163" s="44" t="str">
        <f>IFERROR(VLOOKUP(D163,MasterTable[[#All],[WCAG guideline]:[Level]],4,FALSE)," ")</f>
        <v xml:space="preserve"> </v>
      </c>
    </row>
    <row r="164" spans="1:10" ht="15.6" x14ac:dyDescent="0.3">
      <c r="A164" s="53"/>
      <c r="B164" s="42"/>
      <c r="C164" s="42"/>
      <c r="D164" s="54"/>
      <c r="E164" s="53"/>
      <c r="F164" s="53"/>
      <c r="G164" s="53"/>
      <c r="H164" s="54"/>
      <c r="I164" s="55" t="str">
        <f>IFERROR(VLOOKUP(D164,MasterTable[[#All],[WCAG guideline]:[Level]],3,FALSE)," ")</f>
        <v xml:space="preserve"> </v>
      </c>
      <c r="J164" s="44" t="str">
        <f>IFERROR(VLOOKUP(D164,MasterTable[[#All],[WCAG guideline]:[Level]],4,FALSE)," ")</f>
        <v xml:space="preserve"> </v>
      </c>
    </row>
    <row r="165" spans="1:10" ht="15.6" x14ac:dyDescent="0.3">
      <c r="A165" s="53"/>
      <c r="B165" s="42"/>
      <c r="C165" s="42"/>
      <c r="D165" s="54"/>
      <c r="E165" s="53"/>
      <c r="F165" s="53"/>
      <c r="G165" s="53"/>
      <c r="H165" s="54"/>
      <c r="I165" s="55" t="str">
        <f>IFERROR(VLOOKUP(D165,MasterTable[[#All],[WCAG guideline]:[Level]],3,FALSE)," ")</f>
        <v xml:space="preserve"> </v>
      </c>
      <c r="J165" s="44" t="str">
        <f>IFERROR(VLOOKUP(D165,MasterTable[[#All],[WCAG guideline]:[Level]],4,FALSE)," ")</f>
        <v xml:space="preserve"> </v>
      </c>
    </row>
  </sheetData>
  <mergeCells count="2">
    <mergeCell ref="A15:C15"/>
    <mergeCell ref="A23:B2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6429E9B0-559F-49D5-B5DD-F654BFAC7557}">
          <x14:formula1>
            <xm:f>'Validations List'!$E$4:$E$91</xm:f>
          </x14:formula1>
          <xm:sqref>D26:D165</xm:sqref>
        </x14:dataValidation>
        <x14:dataValidation type="list" showInputMessage="1" showErrorMessage="1" error="input severity level" xr:uid="{3281FF51-170F-458B-87EF-963966ABBEDB}">
          <x14:formula1>
            <xm:f>'Validations List'!$A$99:$A$103</xm:f>
          </x14:formula1>
          <xm:sqref>C26:C165</xm:sqref>
        </x14:dataValidation>
        <x14:dataValidation type="list" allowBlank="1" showInputMessage="1" xr:uid="{F4C2E267-CEDA-4C1E-81FD-E359D3298CC2}">
          <x14:formula1>
            <xm:f>'Validations List'!$AA$4:$AA$21</xm:f>
          </x14:formula1>
          <xm:sqref>G26:G165</xm:sqref>
        </x14:dataValidation>
        <x14:dataValidation type="list" allowBlank="1" showInputMessage="1" showErrorMessage="1" xr:uid="{3426ACAE-2640-4B69-8A0E-1BDC744BCE05}">
          <x14:formula1>
            <xm:f>'Validations List'!$A$105:$A$109</xm:f>
          </x14:formula1>
          <xm:sqref>B26:B165</xm:sqref>
        </x14:dataValidation>
        <x14:dataValidation type="list" allowBlank="1" showInputMessage="1" showErrorMessage="1" xr:uid="{BEDC484F-2446-49B2-B50F-E6B57C25C69F}">
          <x14:formula1>
            <xm:f>'Validations List'!$E$97:$E$100</xm:f>
          </x14:formula1>
          <xm:sqref>B16</xm:sqref>
        </x14:dataValidation>
        <x14:dataValidation type="list" allowBlank="1" showInputMessage="1" showErrorMessage="1" xr:uid="{09BF66F9-35A9-40C5-AA92-A9A157E3450A}">
          <x14:formula1>
            <xm:f>'Validations List'!$G$97:$G$100</xm:f>
          </x14:formula1>
          <xm:sqref>B17</xm:sqref>
        </x14:dataValidation>
        <x14:dataValidation type="list" allowBlank="1" showInputMessage="1" showErrorMessage="1" xr:uid="{D082F70D-508C-4624-B5E1-E1288CB20686}">
          <x14:formula1>
            <xm:f>'Validations List'!$I$97:$I$100</xm:f>
          </x14:formula1>
          <xm:sqref>B18</xm:sqref>
        </x14:dataValidation>
        <x14:dataValidation type="list" allowBlank="1" showInputMessage="1" showErrorMessage="1" xr:uid="{3F54AE31-1B0A-4432-9711-B95C7B13EC23}">
          <x14:formula1>
            <xm:f>'Validations List'!$K$97:$K$100</xm:f>
          </x14:formula1>
          <xm:sqref>B19</xm:sqref>
        </x14:dataValidation>
        <x14:dataValidation type="list" allowBlank="1" showInputMessage="1" showErrorMessage="1" xr:uid="{2927EC91-87D1-42AB-A38B-99F51A193603}">
          <x14:formula1>
            <xm:f>'Validations List'!$M$97:$M$100</xm:f>
          </x14:formula1>
          <xm:sqref>B20</xm:sqref>
        </x14:dataValidation>
        <x14:dataValidation type="list" allowBlank="1" showInputMessage="1" showErrorMessage="1" xr:uid="{35114FDF-66FB-4153-B89E-F361307F5585}">
          <x14:formula1>
            <xm:f>'Validations List'!$O$97:$O$100</xm:f>
          </x14:formula1>
          <xm:sqref>B21</xm:sqref>
        </x14:dataValidation>
        <x14:dataValidation type="list" allowBlank="1" showInputMessage="1" showErrorMessage="1" xr:uid="{CF18FE9A-3712-4B08-BA72-7A39530E1D7E}">
          <x14:formula1>
            <xm:f>'Validations List'!$Q$97:$Q$100</xm:f>
          </x14:formula1>
          <xm:sqref>B22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0AE7B-AEDC-4B85-AA99-2DD444171522}">
  <sheetPr>
    <tabColor theme="9" tint="0.59999389629810485"/>
  </sheetPr>
  <dimension ref="A1:K178"/>
  <sheetViews>
    <sheetView zoomScale="90" zoomScaleNormal="90" workbookViewId="0">
      <pane ySplit="1" topLeftCell="A12" activePane="bottomLeft" state="frozen"/>
      <selection pane="bottomLeft" activeCell="D13" sqref="D13"/>
    </sheetView>
  </sheetViews>
  <sheetFormatPr defaultColWidth="8.88671875" defaultRowHeight="13.8" x14ac:dyDescent="0.25"/>
  <cols>
    <col min="1" max="1" width="18.33203125" style="29" customWidth="1"/>
    <col min="2" max="2" width="35.44140625" style="29" customWidth="1"/>
    <col min="3" max="3" width="43.6640625" style="29" customWidth="1"/>
    <col min="4" max="4" width="29.88671875" style="29" customWidth="1"/>
    <col min="5" max="5" width="33.6640625" style="29" customWidth="1"/>
    <col min="6" max="6" width="59.5546875" style="29" customWidth="1"/>
    <col min="7" max="7" width="61.6640625" style="29" customWidth="1"/>
    <col min="8" max="8" width="48.33203125" style="29" customWidth="1"/>
    <col min="9" max="9" width="29.33203125" style="29" customWidth="1"/>
    <col min="10" max="10" width="15.88671875" style="29" customWidth="1"/>
    <col min="11" max="11" width="14.88671875" style="29" customWidth="1"/>
    <col min="12" max="16384" width="8.88671875" style="29"/>
  </cols>
  <sheetData>
    <row r="1" spans="1:11" ht="53.25" customHeight="1" x14ac:dyDescent="0.35">
      <c r="A1" s="146" t="s">
        <v>138</v>
      </c>
      <c r="B1" s="146" t="s">
        <v>139</v>
      </c>
      <c r="C1" s="146" t="s">
        <v>140</v>
      </c>
      <c r="D1" s="146" t="s">
        <v>129</v>
      </c>
      <c r="E1" s="147" t="s">
        <v>130</v>
      </c>
      <c r="F1" s="147" t="s">
        <v>141</v>
      </c>
      <c r="G1" s="147" t="s">
        <v>142</v>
      </c>
      <c r="H1" s="147" t="s">
        <v>134</v>
      </c>
      <c r="I1" s="147" t="s">
        <v>143</v>
      </c>
      <c r="J1" s="147" t="s">
        <v>136</v>
      </c>
      <c r="K1" s="147" t="s">
        <v>137</v>
      </c>
    </row>
    <row r="2" spans="1:11" ht="73.2" customHeight="1" x14ac:dyDescent="0.3">
      <c r="A2" s="159" t="s">
        <v>144</v>
      </c>
      <c r="B2" s="62" t="str">
        <f>IFERROR(VLOOKUP(A2,CustomScript[[#All],[Test '#]:[Level]],2,FALSE)," ")</f>
        <v>1.1.1 Non-Text Content</v>
      </c>
      <c r="C2" s="62" t="str">
        <f>IFERROR(VLOOKUP(A2,CustomScript[[#All],[Test '#]:[Level]],3,FALSE)," ")</f>
        <v xml:space="preserve"> Informative images must contain alternative text describing the purpose or meaning of the image.</v>
      </c>
      <c r="D2" s="42"/>
      <c r="E2" s="54"/>
      <c r="F2" s="42"/>
      <c r="G2" s="42"/>
      <c r="H2" s="42"/>
      <c r="I2" s="42"/>
      <c r="J2" s="63">
        <f>IFERROR(VLOOKUP(B2,MasterTable[[#All],[WCAG guideline]:[Level]],3,FALSE)," ")</f>
        <v>2</v>
      </c>
      <c r="K2" s="44" t="str">
        <f>IFERROR(VLOOKUP(B2,MasterTable[[#All],[WCAG guideline]:[2.2 Level]],4,FALSE), " ")</f>
        <v>A</v>
      </c>
    </row>
    <row r="3" spans="1:11" ht="78.599999999999994" customHeight="1" x14ac:dyDescent="0.3">
      <c r="A3" s="159" t="s">
        <v>145</v>
      </c>
      <c r="B3" s="62" t="str">
        <f>IFERROR(VLOOKUP(A3,CustomScript[[#All],[Test '#]:[Level]],2,FALSE)," ")</f>
        <v>1.1.1 Non-Text Content</v>
      </c>
      <c r="C3" s="62" t="str">
        <f>IFERROR(VLOOKUP(A3,CustomScript[[#All],[Test '#]:[Level]],3,FALSE)," ")</f>
        <v>Decorative images must have empty alternative text or be otherwise hidden from assistive technology. (alt, alt=” “, or role=”presentation” in cases).</v>
      </c>
      <c r="D3" s="42"/>
      <c r="E3" s="54"/>
      <c r="F3" s="42"/>
      <c r="G3" s="42"/>
      <c r="H3" s="42"/>
      <c r="I3" s="42"/>
      <c r="J3" s="63">
        <f>IFERROR(VLOOKUP(B3,MasterTable[[#All],[WCAG guideline]:[Level]],3,FALSE)," ")</f>
        <v>2</v>
      </c>
      <c r="K3" s="44" t="str">
        <f>IFERROR(VLOOKUP(B3,MasterTable[[#All],[WCAG guideline]:[2.2 Level]],4,FALSE), " ")</f>
        <v>A</v>
      </c>
    </row>
    <row r="4" spans="1:11" ht="66" customHeight="1" x14ac:dyDescent="0.3">
      <c r="A4" s="159" t="s">
        <v>146</v>
      </c>
      <c r="B4" s="62" t="str">
        <f>IFERROR(VLOOKUP(A4,CustomScript[[#All],[Test '#]:[Level]],2,FALSE)," ")</f>
        <v>1.1.1 Non-Text Content</v>
      </c>
      <c r="C4" s="62" t="str">
        <f>IFERROR(VLOOKUP(A4,CustomScript[[#All],[Test '#]:[Level]],3,FALSE)," ")</f>
        <v>Interactive images must have alternative text describing the input's purpose. (ensure accessible name matches the functionality)</v>
      </c>
      <c r="D4" s="42"/>
      <c r="E4" s="54"/>
      <c r="F4" s="42"/>
      <c r="G4" s="42"/>
      <c r="H4" s="42"/>
      <c r="I4" s="42"/>
      <c r="J4" s="63">
        <f>IFERROR(VLOOKUP(B4,MasterTable[[#All],[WCAG guideline]:[Level]],3,FALSE)," ")</f>
        <v>2</v>
      </c>
      <c r="K4" s="44" t="str">
        <f>IFERROR(VLOOKUP(B4,MasterTable[[#All],[WCAG guideline]:[2.2 Level]],4,FALSE), " ")</f>
        <v>A</v>
      </c>
    </row>
    <row r="5" spans="1:11" ht="84.6" customHeight="1" x14ac:dyDescent="0.3">
      <c r="A5" s="159" t="s">
        <v>147</v>
      </c>
      <c r="B5" s="62" t="str">
        <f>IFERROR(VLOOKUP(A5,CustomScript[[#All],[Test '#]:[Level]],2,FALSE)," ")</f>
        <v>1.1.1 Non-Text Content</v>
      </c>
      <c r="C5" s="62" t="str">
        <f>IFERROR(VLOOKUP(A5,CustomScript[[#All],[Test '#]:[Level]],3,FALSE)," ")</f>
        <v>Complex images (graphs, maps, charts) or images of text must have a text description of all relevant information.</v>
      </c>
      <c r="D5" s="42"/>
      <c r="E5" s="54"/>
      <c r="F5" s="42"/>
      <c r="G5" s="42"/>
      <c r="H5" s="42"/>
      <c r="I5" s="42"/>
      <c r="J5" s="63">
        <f>IFERROR(VLOOKUP(B5,MasterTable[[#All],[WCAG guideline]:[Level]],3,FALSE)," ")</f>
        <v>2</v>
      </c>
      <c r="K5" s="44" t="str">
        <f>IFERROR(VLOOKUP(B5,MasterTable[[#All],[WCAG guideline]:[2.2 Level]],4,FALSE), " ")</f>
        <v>A</v>
      </c>
    </row>
    <row r="6" spans="1:11" ht="59.4" customHeight="1" x14ac:dyDescent="0.3">
      <c r="A6" s="159" t="s">
        <v>148</v>
      </c>
      <c r="B6" s="62" t="str">
        <f>IFERROR(VLOOKUP(A6,CustomScript[[#All],[Test '#]:[Level]],2,FALSE)," ")</f>
        <v>1.1.1 Non-Text Content</v>
      </c>
      <c r="C6" s="62" t="str">
        <f>IFERROR(VLOOKUP(A6,CustomScript[[#All],[Test '#]:[Level]],3,FALSE)," ")</f>
        <v>CAPTCHAs must be identified with alternative text. CAPTCHA descriptive text contains the purpose of the CAPTCHA.</v>
      </c>
      <c r="D6" s="42"/>
      <c r="E6" s="54"/>
      <c r="F6" s="42"/>
      <c r="G6" s="42"/>
      <c r="H6" s="42"/>
      <c r="I6" s="42"/>
      <c r="J6" s="63">
        <f>IFERROR(VLOOKUP(B6,MasterTable[[#All],[WCAG guideline]:[Level]],3,FALSE)," ")</f>
        <v>2</v>
      </c>
      <c r="K6" s="44" t="str">
        <f>IFERROR(VLOOKUP(B6,MasterTable[[#All],[WCAG guideline]:[2.2 Level]],4,FALSE), " ")</f>
        <v>A</v>
      </c>
    </row>
    <row r="7" spans="1:11" ht="70.2" customHeight="1" x14ac:dyDescent="0.3">
      <c r="A7" s="159" t="s">
        <v>149</v>
      </c>
      <c r="B7" s="62" t="str">
        <f>IFERROR(VLOOKUP(A7,CustomScript[[#All],[Test '#]:[Level]],2,FALSE)," ")</f>
        <v>1.1.1 Non-text Content</v>
      </c>
      <c r="C7" s="62" t="str">
        <f>IFERROR(VLOOKUP(A7,CustomScript[[#All],[Test '#]:[Level]],3,FALSE)," ")</f>
        <v>CAPTCHAs which require user input offer at least two different modalities (e.g. visual and auditory)</v>
      </c>
      <c r="D7" s="42"/>
      <c r="E7" s="54"/>
      <c r="F7" s="42"/>
      <c r="G7" s="42"/>
      <c r="H7" s="42"/>
      <c r="I7" s="42"/>
      <c r="J7" s="63">
        <f>IFERROR(VLOOKUP(B7,MasterTable[[#All],[WCAG guideline]:[Level]],3,FALSE)," ")</f>
        <v>2</v>
      </c>
      <c r="K7" s="44" t="str">
        <f>IFERROR(VLOOKUP(B7,MasterTable[[#All],[WCAG guideline]:[2.2 Level]],4,FALSE), " ")</f>
        <v>A</v>
      </c>
    </row>
    <row r="8" spans="1:11" ht="67.95" customHeight="1" x14ac:dyDescent="0.3">
      <c r="A8" s="159" t="s">
        <v>150</v>
      </c>
      <c r="B8" s="62" t="str">
        <f>IFERROR(VLOOKUP(A8,CustomScript[[#All],[Test '#]:[Level]],2,FALSE)," ")</f>
        <v>1.1.1 Non-text Content</v>
      </c>
      <c r="C8" s="62" t="str">
        <f>IFERROR(VLOOKUP(A8,CustomScript[[#All],[Test '#]:[Level]],3,FALSE)," ")</f>
        <v>Adjacent links navigating to the same destination must be combined into a single link.  No repetitive links.</v>
      </c>
      <c r="D8" s="42"/>
      <c r="E8" s="54"/>
      <c r="F8" s="42"/>
      <c r="G8" s="42"/>
      <c r="H8" s="42"/>
      <c r="I8" s="42"/>
      <c r="J8" s="63">
        <f>IFERROR(VLOOKUP(B8,MasterTable[[#All],[WCAG guideline]:[Level]],3,FALSE)," ")</f>
        <v>2</v>
      </c>
      <c r="K8" s="44" t="str">
        <f>IFERROR(VLOOKUP(B8,MasterTable[[#All],[WCAG guideline]:[2.2 Level]],4,FALSE), " ")</f>
        <v>A</v>
      </c>
    </row>
    <row r="9" spans="1:11" ht="75.599999999999994" customHeight="1" x14ac:dyDescent="0.3">
      <c r="A9" s="159" t="s">
        <v>151</v>
      </c>
      <c r="B9" s="62" t="str">
        <f>IFERROR(VLOOKUP(A9,CustomScript[[#All],[Test '#]:[Level]],2,FALSE)," ")</f>
        <v>1.1.1 Non-Text Content</v>
      </c>
      <c r="C9" s="62" t="str">
        <f>IFERROR(VLOOKUP(A9,CustomScript[[#All],[Test '#]:[Level]],3,FALSE)," ")</f>
        <v xml:space="preserve"> Video and audio content or iFrames which present user-readable content require a title or description</v>
      </c>
      <c r="D9" s="42"/>
      <c r="E9" s="54"/>
      <c r="F9" s="42"/>
      <c r="G9" s="42"/>
      <c r="H9" s="42"/>
      <c r="I9" s="42"/>
      <c r="J9" s="63">
        <f>IFERROR(VLOOKUP(B9,MasterTable[[#All],[WCAG guideline]:[Level]],3,FALSE)," ")</f>
        <v>2</v>
      </c>
      <c r="K9" s="44" t="str">
        <f>IFERROR(VLOOKUP(B9,MasterTable[[#All],[WCAG guideline]:[2.2 Level]],4,FALSE), " ")</f>
        <v>A</v>
      </c>
    </row>
    <row r="10" spans="1:11" ht="73.2" customHeight="1" x14ac:dyDescent="0.3">
      <c r="A10" s="159" t="s">
        <v>152</v>
      </c>
      <c r="B10" s="62" t="str">
        <f>IFERROR(VLOOKUP(A10,CustomScript[[#All],[Test '#]:[Level]],2,FALSE)," ")</f>
        <v>1.1.1 Non-Text Content</v>
      </c>
      <c r="C10" s="62" t="str">
        <f>IFERROR(VLOOKUP(A10,CustomScript[[#All],[Test '#]:[Level]],3,FALSE)," ")</f>
        <v>When CSS is disabled, all meaningful images remain.</v>
      </c>
      <c r="D10" s="42"/>
      <c r="E10" s="54"/>
      <c r="F10" s="42"/>
      <c r="G10" s="42"/>
      <c r="H10" s="42"/>
      <c r="I10" s="42"/>
      <c r="J10" s="63">
        <f>IFERROR(VLOOKUP(B10,MasterTable[[#All],[WCAG guideline]:[Level]],3,FALSE)," ")</f>
        <v>2</v>
      </c>
      <c r="K10" s="44" t="str">
        <f>IFERROR(VLOOKUP(B10,MasterTable[[#All],[WCAG guideline]:[2.2 Level]],4,FALSE), " ")</f>
        <v>A</v>
      </c>
    </row>
    <row r="11" spans="1:11" ht="69.599999999999994" customHeight="1" x14ac:dyDescent="0.3">
      <c r="A11" s="159" t="s">
        <v>153</v>
      </c>
      <c r="B11" s="62" t="str">
        <f>IFERROR(VLOOKUP(A11,CustomScript[[#All],[Test '#]:[Level]],2,FALSE)," ")</f>
        <v>1.1.1 Non-Text Content</v>
      </c>
      <c r="C11" s="62" t="str">
        <f>IFERROR(VLOOKUP(A11,CustomScript[[#All],[Test '#]:[Level]],3,FALSE)," ")</f>
        <v>Software Only – The purpose and or function of a non-decorative image is properly conveyed in the Name property.</v>
      </c>
      <c r="D11" s="42"/>
      <c r="E11" s="54"/>
      <c r="F11" s="42"/>
      <c r="G11" s="42"/>
      <c r="H11" s="42"/>
      <c r="I11" s="42"/>
      <c r="J11" s="63">
        <f>IFERROR(VLOOKUP(B11,MasterTable[[#All],[WCAG guideline]:[Level]],3,FALSE)," ")</f>
        <v>2</v>
      </c>
      <c r="K11" s="44" t="str">
        <f>IFERROR(VLOOKUP(B11,MasterTable[[#All],[WCAG guideline]:[2.2 Level]],4,FALSE), " ")</f>
        <v>A</v>
      </c>
    </row>
    <row r="12" spans="1:11" ht="61.95" customHeight="1" x14ac:dyDescent="0.3">
      <c r="A12" s="159" t="s">
        <v>154</v>
      </c>
      <c r="B12" s="62" t="str">
        <f>IFERROR(VLOOKUP(A12,CustomScript[[#All],[Test '#]:[Level]],2,FALSE)," ")</f>
        <v>1.1.1 Non-Text Content</v>
      </c>
      <c r="C12" s="62" t="str">
        <f>IFERROR(VLOOKUP(A12,CustomScript[[#All],[Test '#]:[Level]],3,FALSE)," ")</f>
        <v>Software Only – Decorative images have a ‘None’ Name property.</v>
      </c>
      <c r="D12" s="42"/>
      <c r="E12" s="54"/>
      <c r="F12" s="42"/>
      <c r="G12" s="42"/>
      <c r="H12" s="42"/>
      <c r="I12" s="42"/>
      <c r="J12" s="63">
        <f>IFERROR(VLOOKUP(B12,MasterTable[[#All],[WCAG guideline]:[Level]],3,FALSE)," ")</f>
        <v>2</v>
      </c>
      <c r="K12" s="44" t="str">
        <f>IFERROR(VLOOKUP(B12,MasterTable[[#All],[WCAG guideline]:[2.2 Level]],4,FALSE), " ")</f>
        <v>A</v>
      </c>
    </row>
    <row r="13" spans="1:11" ht="82.95" customHeight="1" x14ac:dyDescent="0.3">
      <c r="A13" s="159" t="s">
        <v>155</v>
      </c>
      <c r="B13" s="62" t="str">
        <f>IFERROR(VLOOKUP(A13,CustomScript[[#All],[Test '#]:[Level]],2,FALSE)," ")</f>
        <v>1.2.1 Audio-only and Video-only (Prerecorded)</v>
      </c>
      <c r="C13" s="62" t="str">
        <f>IFERROR(VLOOKUP(A13,CustomScript[[#All],[Test '#]:[Level]],3,FALSE)," ")</f>
        <v>Audio-only content is accompanied by a transcript. The location must be referenced in the accessible name of the audio content.</v>
      </c>
      <c r="D13" s="42"/>
      <c r="E13" s="54"/>
      <c r="F13" s="42"/>
      <c r="G13" s="42"/>
      <c r="H13" s="42"/>
      <c r="I13" s="42"/>
      <c r="J13" s="63">
        <f>IFERROR(VLOOKUP(B13,MasterTable[[#All],[WCAG guideline]:[Level]],3,FALSE)," ")</f>
        <v>2</v>
      </c>
      <c r="K13" s="44" t="str">
        <f>IFERROR(VLOOKUP(B13,MasterTable[[#All],[WCAG guideline]:[2.2 Level]],4,FALSE), " ")</f>
        <v>A</v>
      </c>
    </row>
    <row r="14" spans="1:11" ht="66.599999999999994" customHeight="1" x14ac:dyDescent="0.3">
      <c r="A14" s="159" t="s">
        <v>156</v>
      </c>
      <c r="B14" s="62" t="str">
        <f>IFERROR(VLOOKUP(A14,CustomScript[[#All],[Test '#]:[Level]],2,FALSE)," ")</f>
        <v>1.2.1 Audio-only and Video-only (Prerecorded)</v>
      </c>
      <c r="C14" s="62" t="str">
        <f>IFERROR(VLOOKUP(A14,CustomScript[[#All],[Test '#]:[Level]],3,FALSE)," ")</f>
        <v>Audio-only content is accompanied by an accurate and complete transcript.</v>
      </c>
      <c r="D14" s="42"/>
      <c r="E14" s="54"/>
      <c r="F14" s="42"/>
      <c r="G14" s="42"/>
      <c r="H14" s="42"/>
      <c r="I14" s="42"/>
      <c r="J14" s="63">
        <f>IFERROR(VLOOKUP(B14,MasterTable[[#All],[WCAG guideline]:[Level]],3,FALSE)," ")</f>
        <v>2</v>
      </c>
      <c r="K14" s="44" t="str">
        <f>IFERROR(VLOOKUP(B14,MasterTable[[#All],[WCAG guideline]:[2.2 Level]],4,FALSE), " ")</f>
        <v>A</v>
      </c>
    </row>
    <row r="15" spans="1:11" ht="115.2" customHeight="1" x14ac:dyDescent="0.3">
      <c r="A15" s="159" t="s">
        <v>157</v>
      </c>
      <c r="B15" s="62" t="str">
        <f>IFERROR(VLOOKUP(A15,CustomScript[[#All],[Test '#]:[Level]],2,FALSE)," ")</f>
        <v>1.2.1 Audio-only and Video-only (Prerecorded)</v>
      </c>
      <c r="C15" s="62" t="str">
        <f>IFERROR(VLOOKUP(A15,CustomScript[[#All],[Test '#]:[Level]],3,FALSE)," ")</f>
        <v>Video-only content supplies either a text transcript or audio description.  The location must be referenced in the accessible name of the video content.</v>
      </c>
      <c r="D15" s="42"/>
      <c r="E15" s="54"/>
      <c r="F15" s="42"/>
      <c r="G15" s="42"/>
      <c r="H15" s="42"/>
      <c r="I15" s="42"/>
      <c r="J15" s="63">
        <f>IFERROR(VLOOKUP(B15,MasterTable[[#All],[WCAG guideline]:[Level]],3,FALSE)," ")</f>
        <v>2</v>
      </c>
      <c r="K15" s="44" t="str">
        <f>IFERROR(VLOOKUP(B15,MasterTable[[#All],[WCAG guideline]:[2.2 Level]],4,FALSE), " ")</f>
        <v>A</v>
      </c>
    </row>
    <row r="16" spans="1:11" ht="73.2" customHeight="1" x14ac:dyDescent="0.3">
      <c r="A16" s="159" t="s">
        <v>158</v>
      </c>
      <c r="B16" s="62" t="str">
        <f>IFERROR(VLOOKUP(A16,CustomScript[[#All],[Test '#]:[Level]],2,FALSE)," ")</f>
        <v>1.2.1 Audio-only and Video-only (Prerecorded)</v>
      </c>
      <c r="C16" s="62" t="str">
        <f>IFERROR(VLOOKUP(A16,CustomScript[[#All],[Test '#]:[Level]],3,FALSE)," ")</f>
        <v>All video-only text descriptions are accurate and complete.</v>
      </c>
      <c r="D16" s="42"/>
      <c r="E16" s="54"/>
      <c r="F16" s="42"/>
      <c r="G16" s="42"/>
      <c r="H16" s="42"/>
      <c r="I16" s="42"/>
      <c r="J16" s="63">
        <f>IFERROR(VLOOKUP(B16,MasterTable[[#All],[WCAG guideline]:[Level]],3,FALSE)," ")</f>
        <v>2</v>
      </c>
      <c r="K16" s="44" t="str">
        <f>IFERROR(VLOOKUP(B16,MasterTable[[#All],[WCAG guideline]:[2.2 Level]],4,FALSE), " ")</f>
        <v>A</v>
      </c>
    </row>
    <row r="17" spans="1:11" ht="70.2" customHeight="1" x14ac:dyDescent="0.3">
      <c r="A17" s="159" t="s">
        <v>159</v>
      </c>
      <c r="B17" s="62" t="str">
        <f>IFERROR(VLOOKUP(A17,CustomScript[[#All],[Test '#]:[Level]],2,FALSE)," ")</f>
        <v>1.2.1 Audio-only and Video-only (Prerecorded)</v>
      </c>
      <c r="C17" s="62" t="str">
        <f>IFERROR(VLOOKUP(A17,CustomScript[[#All],[Test '#]:[Level]],3,FALSE)," ")</f>
        <v>All video-only files with audio descriptions, the descriptions are accurate and complete.</v>
      </c>
      <c r="D17" s="42"/>
      <c r="E17" s="54"/>
      <c r="F17" s="42"/>
      <c r="G17" s="42"/>
      <c r="H17" s="42"/>
      <c r="I17" s="42"/>
      <c r="J17" s="63">
        <f>IFERROR(VLOOKUP(B17,MasterTable[[#All],[WCAG guideline]:[Level]],3,FALSE)," ")</f>
        <v>2</v>
      </c>
      <c r="K17" s="44" t="str">
        <f>IFERROR(VLOOKUP(B17,MasterTable[[#All],[WCAG guideline]:[2.2 Level]],4,FALSE), " ")</f>
        <v>A</v>
      </c>
    </row>
    <row r="18" spans="1:11" ht="115.2" customHeight="1" x14ac:dyDescent="0.3">
      <c r="A18" s="159" t="s">
        <v>160</v>
      </c>
      <c r="B18" s="62" t="str">
        <f>IFERROR(VLOOKUP(A18,CustomScript[[#All],[Test '#]:[Level]],2,FALSE)," ")</f>
        <v>1.2.1 Audio-only and Video-only (Prerecorded)</v>
      </c>
      <c r="C18" s="62" t="str">
        <f>IFERROR(VLOOKUP(A18,CustomScript[[#All],[Test '#]:[Level]],3,FALSE)," ")</f>
        <v>Any animation in software has a description (text or audio). The location must be referenced in the accessible name of the text or audio content.</v>
      </c>
      <c r="D18" s="42"/>
      <c r="E18" s="54"/>
      <c r="F18" s="42"/>
      <c r="G18" s="42"/>
      <c r="H18" s="42"/>
      <c r="I18" s="42"/>
      <c r="J18" s="63">
        <f>IFERROR(VLOOKUP(B18,MasterTable[[#All],[WCAG guideline]:[Level]],3,FALSE)," ")</f>
        <v>2</v>
      </c>
      <c r="K18" s="44" t="str">
        <f>IFERROR(VLOOKUP(B18,MasterTable[[#All],[WCAG guideline]:[2.2 Level]],4,FALSE), " ")</f>
        <v>A</v>
      </c>
    </row>
    <row r="19" spans="1:11" ht="67.95" customHeight="1" x14ac:dyDescent="0.3">
      <c r="A19" s="159" t="s">
        <v>161</v>
      </c>
      <c r="B19" s="62" t="str">
        <f>IFERROR(VLOOKUP(A19,CustomScript[[#All],[Test '#]:[Level]],2,FALSE)," ")</f>
        <v>1.2.1 Audio-only and Video-only (Prerecorded)</v>
      </c>
      <c r="C19" s="62" t="str">
        <f>IFERROR(VLOOKUP(A19,CustomScript[[#All],[Test '#]:[Level]],3,FALSE)," ")</f>
        <v>Any text or audio description provided for animation in software is accurate and complete.</v>
      </c>
      <c r="D19" s="42"/>
      <c r="E19" s="54"/>
      <c r="F19" s="42"/>
      <c r="G19" s="42"/>
      <c r="H19" s="42"/>
      <c r="I19" s="42"/>
      <c r="J19" s="63">
        <f>IFERROR(VLOOKUP(B19,MasterTable[[#All],[WCAG guideline]:[Level]],3,FALSE)," ")</f>
        <v>2</v>
      </c>
      <c r="K19" s="44" t="str">
        <f>IFERROR(VLOOKUP(B19,MasterTable[[#All],[WCAG guideline]:[2.2 Level]],4,FALSE), " ")</f>
        <v>A</v>
      </c>
    </row>
    <row r="20" spans="1:11" ht="52.2" customHeight="1" x14ac:dyDescent="0.3">
      <c r="A20" s="159" t="s">
        <v>162</v>
      </c>
      <c r="B20" s="62" t="str">
        <f>IFERROR(VLOOKUP(A20,CustomScript[[#All],[Test '#]:[Level]],2,FALSE)," ")</f>
        <v>1.2.2 Captions (Prerecorded)</v>
      </c>
      <c r="C20" s="62" t="str">
        <f>IFERROR(VLOOKUP(A20,CustomScript[[#All],[Test '#]:[Level]],3,FALSE)," ")</f>
        <v>All multimedia has caption support for audio.</v>
      </c>
      <c r="D20" s="42"/>
      <c r="E20" s="54"/>
      <c r="F20" s="42"/>
      <c r="G20" s="42"/>
      <c r="H20" s="42"/>
      <c r="I20" s="42"/>
      <c r="J20" s="63">
        <f>IFERROR(VLOOKUP(B20,MasterTable[[#All],[WCAG guideline]:[Level]],3,FALSE)," ")</f>
        <v>2</v>
      </c>
      <c r="K20" s="44" t="str">
        <f>IFERROR(VLOOKUP(B20,MasterTable[[#All],[WCAG guideline]:[2.2 Level]],4,FALSE), " ")</f>
        <v>A</v>
      </c>
    </row>
    <row r="21" spans="1:11" ht="73.2" customHeight="1" x14ac:dyDescent="0.3">
      <c r="A21" s="159" t="s">
        <v>163</v>
      </c>
      <c r="B21" s="62" t="str">
        <f>IFERROR(VLOOKUP(A21,CustomScript[[#All],[Test '#]:[Level]],2,FALSE)," ")</f>
        <v>1.2.2 Captions (Prerecorded)</v>
      </c>
      <c r="C21" s="62" t="str">
        <f>IFERROR(VLOOKUP(A21,CustomScript[[#All],[Test '#]:[Level]],3,FALSE)," ")</f>
        <v>Multimedia captions are accurate, must include dialogue, the individual speaking, and any relevant audio information.</v>
      </c>
      <c r="D21" s="42"/>
      <c r="E21" s="54"/>
      <c r="F21" s="42"/>
      <c r="G21" s="42"/>
      <c r="H21" s="42"/>
      <c r="I21" s="42"/>
      <c r="J21" s="63">
        <f>IFERROR(VLOOKUP(B21,MasterTable[[#All],[WCAG guideline]:[Level]],3,FALSE)," ")</f>
        <v>2</v>
      </c>
      <c r="K21" s="44" t="str">
        <f>IFERROR(VLOOKUP(B21,MasterTable[[#All],[WCAG guideline]:[2.2 Level]],4,FALSE), " ")</f>
        <v>A</v>
      </c>
    </row>
    <row r="22" spans="1:11" ht="62.4" customHeight="1" x14ac:dyDescent="0.3">
      <c r="A22" s="159" t="s">
        <v>164</v>
      </c>
      <c r="B22" s="62" t="str">
        <f>IFERROR(VLOOKUP(A22,CustomScript[[#All],[Test '#]:[Level]],2,FALSE)," ")</f>
        <v>1.2.2 Captions (Prerecorded)</v>
      </c>
      <c r="C22" s="62" t="str">
        <f>IFERROR(VLOOKUP(A22,CustomScript[[#All],[Test '#]:[Level]],3,FALSE)," ")</f>
        <v>Multimedia captions are in time with the dialogue and relevant sounds.</v>
      </c>
      <c r="D22" s="42"/>
      <c r="E22" s="54"/>
      <c r="F22" s="42"/>
      <c r="G22" s="42"/>
      <c r="H22" s="42"/>
      <c r="I22" s="42"/>
      <c r="J22" s="63">
        <f>IFERROR(VLOOKUP(B22,MasterTable[[#All],[WCAG guideline]:[Level]],3,FALSE)," ")</f>
        <v>2</v>
      </c>
      <c r="K22" s="44" t="str">
        <f>IFERROR(VLOOKUP(B22,MasterTable[[#All],[WCAG guideline]:[2.2 Level]],4,FALSE), " ")</f>
        <v>A</v>
      </c>
    </row>
    <row r="23" spans="1:11" ht="67.2" customHeight="1" x14ac:dyDescent="0.3">
      <c r="A23" s="159" t="s">
        <v>165</v>
      </c>
      <c r="B23" s="62" t="str">
        <f>IFERROR(VLOOKUP(A23,CustomScript[[#All],[Test '#]:[Level]],2,FALSE)," ")</f>
        <v xml:space="preserve">1.2.3 Audio Description or Media Altenative (Prerecorded) </v>
      </c>
      <c r="C23" s="62" t="str">
        <f>IFERROR(VLOOKUP(A23,CustomScript[[#All],[Test '#]:[Level]],3,FALSE)," ")</f>
        <v>Multimedia content must supply a text transcript OR an audio description.</v>
      </c>
      <c r="D23" s="42"/>
      <c r="E23" s="54"/>
      <c r="F23" s="42"/>
      <c r="G23" s="42"/>
      <c r="H23" s="42"/>
      <c r="I23" s="42"/>
      <c r="J23" s="63">
        <f>IFERROR(VLOOKUP(B23,MasterTable[[#All],[WCAG guideline]:[Level]],3,FALSE)," ")</f>
        <v>2</v>
      </c>
      <c r="K23" s="44" t="str">
        <f>IFERROR(VLOOKUP(B23,MasterTable[[#All],[WCAG guideline]:[2.2 Level]],4,FALSE), " ")</f>
        <v>A</v>
      </c>
    </row>
    <row r="24" spans="1:11" ht="73.2" customHeight="1" x14ac:dyDescent="0.3">
      <c r="A24" s="159" t="s">
        <v>166</v>
      </c>
      <c r="B24" s="62" t="str">
        <f>IFERROR(VLOOKUP(A24,CustomScript[[#All],[Test '#]:[Level]],2,FALSE)," ")</f>
        <v xml:space="preserve">1.2.3 Audio Description or Media Altenative (Prerecorded) </v>
      </c>
      <c r="C24" s="62" t="str">
        <f>IFERROR(VLOOKUP(A24,CustomScript[[#All],[Test '#]:[Level]],3,FALSE)," ")</f>
        <v>Multimedia is audio described and or has an alternative and the descriptions are accurate and complete.</v>
      </c>
      <c r="D24" s="42"/>
      <c r="E24" s="54"/>
      <c r="F24" s="42"/>
      <c r="G24" s="42"/>
      <c r="H24" s="42"/>
      <c r="I24" s="42"/>
      <c r="J24" s="63">
        <f>IFERROR(VLOOKUP(B24,MasterTable[[#All],[WCAG guideline]:[Level]],3,FALSE)," ")</f>
        <v>2</v>
      </c>
      <c r="K24" s="44" t="str">
        <f>IFERROR(VLOOKUP(B24,MasterTable[[#All],[WCAG guideline]:[2.2 Level]],4,FALSE), " ")</f>
        <v>A</v>
      </c>
    </row>
    <row r="25" spans="1:11" ht="67.2" customHeight="1" x14ac:dyDescent="0.3">
      <c r="A25" s="159" t="s">
        <v>167</v>
      </c>
      <c r="B25" s="62" t="str">
        <f>IFERROR(VLOOKUP(A25,CustomScript[[#All],[Test '#]:[Level]],2,FALSE)," ")</f>
        <v xml:space="preserve">1.2.3 Audio Description or Media Altenative (Prerecorded) </v>
      </c>
      <c r="C25" s="62" t="str">
        <f>IFERROR(VLOOKUP(A25,CustomScript[[#All],[Test '#]:[Level]],3,FALSE)," ")</f>
        <v>Multimedia is accurately and completely described and the audio description or alternative is timed correctly with the video.</v>
      </c>
      <c r="D25" s="42"/>
      <c r="E25" s="54"/>
      <c r="F25" s="42"/>
      <c r="G25" s="42"/>
      <c r="H25" s="42"/>
      <c r="I25" s="42"/>
      <c r="J25" s="63">
        <f>IFERROR(VLOOKUP(B25,MasterTable[[#All],[WCAG guideline]:[Level]],3,FALSE)," ")</f>
        <v>2</v>
      </c>
      <c r="K25" s="44" t="str">
        <f>IFERROR(VLOOKUP(B25,MasterTable[[#All],[WCAG guideline]:[2.2 Level]],4,FALSE), " ")</f>
        <v>A</v>
      </c>
    </row>
    <row r="26" spans="1:11" ht="94.5" customHeight="1" x14ac:dyDescent="0.3">
      <c r="A26" s="159" t="s">
        <v>168</v>
      </c>
      <c r="B26" s="62" t="str">
        <f>IFERROR(VLOOKUP(A26,CustomScript[[#All],[Test '#]:[Level]],2,FALSE)," ")</f>
        <v>1.2.4 Captions (Live)</v>
      </c>
      <c r="C26" s="62" t="str">
        <f>IFERROR(VLOOKUP(A26,CustomScript[[#All],[Test '#]:[Level]],3,FALSE)," ")</f>
        <v>Live multimedia content must be captioned.  Captions must be accurate, must include dialogue, the individual speaking, and any relevant audio information.</v>
      </c>
      <c r="D26" s="42"/>
      <c r="E26" s="54"/>
      <c r="F26" s="42"/>
      <c r="G26" s="42"/>
      <c r="H26" s="42"/>
      <c r="I26" s="42"/>
      <c r="J26" s="63">
        <f>IFERROR(VLOOKUP(B26,MasterTable[[#All],[WCAG guideline]:[Level]],3,FALSE)," ")</f>
        <v>2</v>
      </c>
      <c r="K26" s="44" t="str">
        <f>IFERROR(VLOOKUP(B26,MasterTable[[#All],[WCAG guideline]:[2.2 Level]],4,FALSE), " ")</f>
        <v>AA</v>
      </c>
    </row>
    <row r="27" spans="1:11" ht="71.400000000000006" customHeight="1" x14ac:dyDescent="0.3">
      <c r="A27" s="159" t="s">
        <v>169</v>
      </c>
      <c r="B27" s="62" t="str">
        <f>IFERROR(VLOOKUP(A27,CustomScript[[#All],[Test '#]:[Level]],2,FALSE)," ")</f>
        <v>1.2.5 Audio Description (Prerecorded)</v>
      </c>
      <c r="C27" s="62" t="str">
        <f>IFERROR(VLOOKUP(A27,CustomScript[[#All],[Test '#]:[Level]],3,FALSE)," ")</f>
        <v>Multimedia content must supply an audio description, which accurately informs the user of any important visual information not already conveyed through audio.</v>
      </c>
      <c r="D27" s="42"/>
      <c r="E27" s="54"/>
      <c r="F27" s="42"/>
      <c r="G27" s="42"/>
      <c r="H27" s="42"/>
      <c r="I27" s="42"/>
      <c r="J27" s="63">
        <f>IFERROR(VLOOKUP(B27,MasterTable[[#All],[WCAG guideline]:[Level]],3,FALSE)," ")</f>
        <v>2</v>
      </c>
      <c r="K27" s="44" t="str">
        <f>IFERROR(VLOOKUP(B27,MasterTable[[#All],[WCAG guideline]:[2.2 Level]],4,FALSE), " ")</f>
        <v>AA</v>
      </c>
    </row>
    <row r="28" spans="1:11" ht="48.6" customHeight="1" x14ac:dyDescent="0.3">
      <c r="A28" s="159" t="s">
        <v>170</v>
      </c>
      <c r="B28" s="62" t="str">
        <f>IFERROR(VLOOKUP(A28,CustomScript[[#All],[Test '#]:[Level]],2,FALSE)," ")</f>
        <v>1.3.1 Info and Relationships</v>
      </c>
      <c r="C28" s="62" t="str">
        <f>IFERROR(VLOOKUP(A28,CustomScript[[#All],[Test '#]:[Level]],3,FALSE)," ")</f>
        <v>Visually grouped blocks of content must be organized by appropriate landmarks.</v>
      </c>
      <c r="D28" s="42"/>
      <c r="E28" s="54"/>
      <c r="F28" s="42"/>
      <c r="G28" s="42"/>
      <c r="H28" s="42"/>
      <c r="I28" s="42"/>
      <c r="J28" s="63">
        <f>IFERROR(VLOOKUP(B28,MasterTable[[#All],[WCAG guideline]:[Level]],3,FALSE)," ")</f>
        <v>2</v>
      </c>
      <c r="K28" s="44" t="str">
        <f>IFERROR(VLOOKUP(B28,MasterTable[[#All],[WCAG guideline]:[2.2 Level]],4,FALSE), " ")</f>
        <v>A</v>
      </c>
    </row>
    <row r="29" spans="1:11" ht="69.75" customHeight="1" x14ac:dyDescent="0.3">
      <c r="A29" s="159" t="s">
        <v>171</v>
      </c>
      <c r="B29" s="62" t="str">
        <f>IFERROR(VLOOKUP(A29,CustomScript[[#All],[Test '#]:[Level]],2,FALSE)," ")</f>
        <v>1.3.1 Info and Relationships</v>
      </c>
      <c r="C29" s="62" t="str">
        <f>IFERROR(VLOOKUP(A29,CustomScript[[#All],[Test '#]:[Level]],3,FALSE)," ")</f>
        <v>Landmarks which are used more than once on a page are distinguishable from each other using ARIA</v>
      </c>
      <c r="D29" s="42"/>
      <c r="E29" s="54"/>
      <c r="F29" s="42"/>
      <c r="G29" s="42"/>
      <c r="H29" s="42"/>
      <c r="I29" s="42"/>
      <c r="J29" s="63">
        <f>IFERROR(VLOOKUP(B29,MasterTable[[#All],[WCAG guideline]:[Level]],3,FALSE)," ")</f>
        <v>2</v>
      </c>
      <c r="K29" s="44" t="str">
        <f>IFERROR(VLOOKUP(B29,MasterTable[[#All],[WCAG guideline]:[2.2 Level]],4,FALSE), " ")</f>
        <v>A</v>
      </c>
    </row>
    <row r="30" spans="1:11" ht="72.75" customHeight="1" x14ac:dyDescent="0.3">
      <c r="A30" s="159" t="s">
        <v>172</v>
      </c>
      <c r="B30" s="62" t="str">
        <f>IFERROR(VLOOKUP(A30,CustomScript[[#All],[Test '#]:[Level]],2,FALSE)," ")</f>
        <v>1.3.1 Info and Relationships</v>
      </c>
      <c r="C30" s="62" t="str">
        <f>IFERROR(VLOOKUP(A30,CustomScript[[#All],[Test '#]:[Level]],3,FALSE)," ")</f>
        <v>All content which conveys information through presentation (e.g., bold, italics, emphasis etc...) has that information conveyed semantically or in text.</v>
      </c>
      <c r="D30" s="42"/>
      <c r="E30" s="54"/>
      <c r="F30" s="42"/>
      <c r="G30" s="42"/>
      <c r="H30" s="42"/>
      <c r="I30" s="42"/>
      <c r="J30" s="63">
        <f>IFERROR(VLOOKUP(B30,MasterTable[[#All],[WCAG guideline]:[Level]],3,FALSE)," ")</f>
        <v>2</v>
      </c>
      <c r="K30" s="44" t="str">
        <f>IFERROR(VLOOKUP(B30,MasterTable[[#All],[WCAG guideline]:[2.2 Level]],4,FALSE), " ")</f>
        <v>A</v>
      </c>
    </row>
    <row r="31" spans="1:11" ht="54" customHeight="1" x14ac:dyDescent="0.3">
      <c r="A31" s="159" t="s">
        <v>173</v>
      </c>
      <c r="B31" s="62" t="str">
        <f>IFERROR(VLOOKUP(A31,CustomScript[[#All],[Test '#]:[Level]],2,FALSE)," ")</f>
        <v>1.3.1 Info and Relationships</v>
      </c>
      <c r="C31" s="62" t="str">
        <f>IFERROR(VLOOKUP(A31,CustomScript[[#All],[Test '#]:[Level]],3,FALSE)," ")</f>
        <v>Content which is visually presented as a heading or link must be a respective heading or link semantically.</v>
      </c>
      <c r="D31" s="42"/>
      <c r="E31" s="54"/>
      <c r="F31" s="42"/>
      <c r="G31" s="42"/>
      <c r="H31" s="42"/>
      <c r="I31" s="42"/>
      <c r="J31" s="63">
        <f>IFERROR(VLOOKUP(B31,MasterTable[[#All],[WCAG guideline]:[Level]],3,FALSE)," ")</f>
        <v>2</v>
      </c>
      <c r="K31" s="44" t="str">
        <f>IFERROR(VLOOKUP(B31,MasterTable[[#All],[WCAG guideline]:[2.2 Level]],4,FALSE), " ")</f>
        <v>A</v>
      </c>
    </row>
    <row r="32" spans="1:11" ht="56.4" customHeight="1" x14ac:dyDescent="0.3">
      <c r="A32" s="159" t="s">
        <v>174</v>
      </c>
      <c r="B32" s="62" t="str">
        <f>IFERROR(VLOOKUP(A32,CustomScript[[#All],[Test '#]:[Level]],2,FALSE)," ")</f>
        <v>1.3.1 Info and Relationships</v>
      </c>
      <c r="C32" s="62" t="str">
        <f>IFERROR(VLOOKUP(A32,CustomScript[[#All],[Test '#]:[Level]],3,FALSE)," ")</f>
        <v>Programmatically identified heading levels match the visual hierarchy level.</v>
      </c>
      <c r="D32" s="42"/>
      <c r="E32" s="54"/>
      <c r="F32" s="42"/>
      <c r="G32" s="42"/>
      <c r="H32" s="42"/>
      <c r="I32" s="42"/>
      <c r="J32" s="63">
        <f>IFERROR(VLOOKUP(B32,MasterTable[[#All],[WCAG guideline]:[Level]],3,FALSE)," ")</f>
        <v>2</v>
      </c>
      <c r="K32" s="44" t="str">
        <f>IFERROR(VLOOKUP(B32,MasterTable[[#All],[WCAG guideline]:[2.2 Level]],4,FALSE), " ")</f>
        <v>A</v>
      </c>
    </row>
    <row r="33" spans="1:11" ht="59.25" customHeight="1" x14ac:dyDescent="0.3">
      <c r="A33" s="159" t="s">
        <v>175</v>
      </c>
      <c r="B33" s="62" t="str">
        <f>IFERROR(VLOOKUP(A33,CustomScript[[#All],[Test '#]:[Level]],2,FALSE)," ")</f>
        <v>1.3.1 Info and Relationships</v>
      </c>
      <c r="C33" s="62" t="str">
        <f>IFERROR(VLOOKUP(A33,CustomScript[[#All],[Test '#]:[Level]],3,FALSE)," ")</f>
        <v>Page structure and semantics are implemented with HTML.  Page styling is implemented with CSS.</v>
      </c>
      <c r="D33" s="42"/>
      <c r="E33" s="54"/>
      <c r="F33" s="42"/>
      <c r="G33" s="42"/>
      <c r="H33" s="42"/>
      <c r="I33" s="42"/>
      <c r="J33" s="63">
        <f>IFERROR(VLOOKUP(B33,MasterTable[[#All],[WCAG guideline]:[Level]],3,FALSE)," ")</f>
        <v>2</v>
      </c>
      <c r="K33" s="44" t="str">
        <f>IFERROR(VLOOKUP(B33,MasterTable[[#All],[WCAG guideline]:[2.2 Level]],4,FALSE), " ")</f>
        <v>A</v>
      </c>
    </row>
    <row r="34" spans="1:11" ht="43.2" customHeight="1" x14ac:dyDescent="0.3">
      <c r="A34" s="159" t="s">
        <v>176</v>
      </c>
      <c r="B34" s="62" t="str">
        <f>IFERROR(VLOOKUP(A34,CustomScript[[#All],[Test '#]:[Level]],2,FALSE)," ")</f>
        <v>1.3.1 Info and Relationships</v>
      </c>
      <c r="C34" s="62" t="str">
        <f>IFERROR(VLOOKUP(A34,CustomScript[[#All],[Test '#]:[Level]],3,FALSE)," ")</f>
        <v>Form controls must have labels associated with them programmatically</v>
      </c>
      <c r="D34" s="42"/>
      <c r="E34" s="54"/>
      <c r="F34" s="42"/>
      <c r="G34" s="42"/>
      <c r="H34" s="42"/>
      <c r="I34" s="42"/>
      <c r="J34" s="63">
        <f>IFERROR(VLOOKUP(B34,MasterTable[[#All],[WCAG guideline]:[Level]],3,FALSE)," ")</f>
        <v>2</v>
      </c>
      <c r="K34" s="44" t="str">
        <f>IFERROR(VLOOKUP(B34,MasterTable[[#All],[WCAG guideline]:[2.2 Level]],4,FALSE), " ")</f>
        <v>A</v>
      </c>
    </row>
    <row r="35" spans="1:11" ht="55.5" customHeight="1" x14ac:dyDescent="0.3">
      <c r="A35" s="159" t="s">
        <v>177</v>
      </c>
      <c r="B35" s="62" t="str">
        <f>IFERROR(VLOOKUP(A35,CustomScript[[#All],[Test '#]:[Level]],2,FALSE)," ")</f>
        <v>1.3.1 Info and Relationships</v>
      </c>
      <c r="C35" s="62" t="str">
        <f>IFERROR(VLOOKUP(A35,CustomScript[[#All],[Test '#]:[Level]],3,FALSE)," ")</f>
        <v>Form controls as part of a group must be grouped together semantically.  The grouping must also be appropriately labeled.</v>
      </c>
      <c r="D35" s="42"/>
      <c r="E35" s="54"/>
      <c r="F35" s="42"/>
      <c r="G35" s="42"/>
      <c r="H35" s="42"/>
      <c r="I35" s="42"/>
      <c r="J35" s="63">
        <f>IFERROR(VLOOKUP(B35,MasterTable[[#All],[WCAG guideline]:[Level]],3,FALSE)," ")</f>
        <v>2</v>
      </c>
      <c r="K35" s="44" t="str">
        <f>IFERROR(VLOOKUP(B35,MasterTable[[#All],[WCAG guideline]:[2.2 Level]],4,FALSE), " ")</f>
        <v>A</v>
      </c>
    </row>
    <row r="36" spans="1:11" ht="70.95" customHeight="1" x14ac:dyDescent="0.3">
      <c r="A36" s="159" t="s">
        <v>178</v>
      </c>
      <c r="B36" s="62" t="str">
        <f>IFERROR(VLOOKUP(A36,CustomScript[[#All],[Test '#]:[Level]],2,FALSE)," ")</f>
        <v>1.3.1 Info and Relationships</v>
      </c>
      <c r="C36" s="62" t="str">
        <f>IFERROR(VLOOKUP(A36,CustomScript[[#All],[Test '#]:[Level]],3,FALSE)," ")</f>
        <v>Data tables are used to present tabular data.  Data tables must include table headers, which are associated to the correct table cells through the scope attribute.</v>
      </c>
      <c r="D36" s="42"/>
      <c r="E36" s="54"/>
      <c r="F36" s="42"/>
      <c r="G36" s="42"/>
      <c r="H36" s="42"/>
      <c r="I36" s="42"/>
      <c r="J36" s="63">
        <f>IFERROR(VLOOKUP(B36,MasterTable[[#All],[WCAG guideline]:[Level]],3,FALSE)," ")</f>
        <v>2</v>
      </c>
      <c r="K36" s="44" t="str">
        <f>IFERROR(VLOOKUP(B36,MasterTable[[#All],[WCAG guideline]:[2.2 Level]],4,FALSE), " ")</f>
        <v>A</v>
      </c>
    </row>
    <row r="37" spans="1:11" ht="60" customHeight="1" x14ac:dyDescent="0.3">
      <c r="A37" s="159" t="s">
        <v>179</v>
      </c>
      <c r="B37" s="62" t="str">
        <f>IFERROR(VLOOKUP(A37,CustomScript[[#All],[Test '#]:[Level]],2,FALSE)," ")</f>
        <v>1.3.1 Info and Relationships</v>
      </c>
      <c r="C37" s="62" t="str">
        <f>IFERROR(VLOOKUP(A37,CustomScript[[#All],[Test '#]:[Level]],3,FALSE)," ")</f>
        <v xml:space="preserve">All titled data tables have that title or description incorporated into the &lt;caption&gt; tag of the table. </v>
      </c>
      <c r="D37" s="42"/>
      <c r="E37" s="54"/>
      <c r="F37" s="42"/>
      <c r="G37" s="42"/>
      <c r="H37" s="42"/>
      <c r="I37" s="42"/>
      <c r="J37" s="63">
        <f>IFERROR(VLOOKUP(B37,MasterTable[[#All],[WCAG guideline]:[Level]],3,FALSE)," ")</f>
        <v>2</v>
      </c>
      <c r="K37" s="44" t="str">
        <f>IFERROR(VLOOKUP(B37,MasterTable[[#All],[WCAG guideline]:[2.2 Level]],4,FALSE), " ")</f>
        <v>A</v>
      </c>
    </row>
    <row r="38" spans="1:11" ht="85.95" customHeight="1" x14ac:dyDescent="0.3">
      <c r="A38" s="159" t="s">
        <v>180</v>
      </c>
      <c r="B38" s="62" t="str">
        <f>IFERROR(VLOOKUP(A38,CustomScript[[#All],[Test '#]:[Level]],2,FALSE)," ")</f>
        <v>1.3.1 Info and Relationships</v>
      </c>
      <c r="C38" s="62" t="str">
        <f>IFERROR(VLOOKUP(A38,CustomScript[[#All],[Test '#]:[Level]],3,FALSE)," ")</f>
        <v xml:space="preserve">All complex data tables, each data cell within each complex data table is correctly associated programmatically with its appropriate headers in the correct header order. </v>
      </c>
      <c r="D38" s="42"/>
      <c r="E38" s="54"/>
      <c r="F38" s="42"/>
      <c r="G38" s="42"/>
      <c r="H38" s="42"/>
      <c r="I38" s="42"/>
      <c r="J38" s="63">
        <f>IFERROR(VLOOKUP(B38,MasterTable[[#All],[WCAG guideline]:[Level]],3,FALSE)," ")</f>
        <v>2</v>
      </c>
      <c r="K38" s="44" t="str">
        <f>IFERROR(VLOOKUP(B38,MasterTable[[#All],[WCAG guideline]:[2.2 Level]],4,FALSE), " ")</f>
        <v>A</v>
      </c>
    </row>
    <row r="39" spans="1:11" ht="60.6" customHeight="1" x14ac:dyDescent="0.3">
      <c r="A39" s="159" t="s">
        <v>181</v>
      </c>
      <c r="B39" s="62" t="str">
        <f>IFERROR(VLOOKUP(A39,CustomScript[[#All],[Test '#]:[Level]],2,FALSE)," ")</f>
        <v>1.3.1 Info and Relationships</v>
      </c>
      <c r="C39" s="62" t="str">
        <f>IFERROR(VLOOKUP(A39,CustomScript[[#All],[Test '#]:[Level]],3,FALSE)," ")</f>
        <v>Layout tables must not include any table headers, captions, or summaries.  They should be marked with role="presentation"</v>
      </c>
      <c r="D39" s="42"/>
      <c r="E39" s="54"/>
      <c r="F39" s="42"/>
      <c r="G39" s="42"/>
      <c r="H39" s="42"/>
      <c r="I39" s="42"/>
      <c r="J39" s="63">
        <f>IFERROR(VLOOKUP(B39,MasterTable[[#All],[WCAG guideline]:[Level]],3,FALSE)," ")</f>
        <v>2</v>
      </c>
      <c r="K39" s="44" t="str">
        <f>IFERROR(VLOOKUP(B39,MasterTable[[#All],[WCAG guideline]:[2.2 Level]],4,FALSE), " ")</f>
        <v>A</v>
      </c>
    </row>
    <row r="40" spans="1:11" ht="61.95" customHeight="1" x14ac:dyDescent="0.3">
      <c r="A40" s="159" t="s">
        <v>182</v>
      </c>
      <c r="B40" s="62" t="str">
        <f>IFERROR(VLOOKUP(A40,CustomScript[[#All],[Test '#]:[Level]],2,FALSE)," ")</f>
        <v>1.3.1 Info and Relationships</v>
      </c>
      <c r="C40" s="62" t="str">
        <f>IFERROR(VLOOKUP(A40,CustomScript[[#All],[Test '#]:[Level]],3,FALSE)," ")</f>
        <v>All elements with semantic roles contain all their required parent and child elements. (e.g. a "list" must contain "listitem")</v>
      </c>
      <c r="D40" s="42"/>
      <c r="E40" s="54"/>
      <c r="F40" s="42"/>
      <c r="G40" s="42"/>
      <c r="H40" s="42"/>
      <c r="I40" s="42"/>
      <c r="J40" s="63">
        <f>IFERROR(VLOOKUP(B40,MasterTable[[#All],[WCAG guideline]:[Level]],3,FALSE)," ")</f>
        <v>2</v>
      </c>
      <c r="K40" s="44" t="str">
        <f>IFERROR(VLOOKUP(B40,MasterTable[[#All],[WCAG guideline]:[2.2 Level]],4,FALSE), " ")</f>
        <v>A</v>
      </c>
    </row>
    <row r="41" spans="1:11" ht="49.95" customHeight="1" x14ac:dyDescent="0.3">
      <c r="A41" s="159" t="s">
        <v>183</v>
      </c>
      <c r="B41" s="62" t="str">
        <f>IFERROR(VLOOKUP(A41,CustomScript[[#All],[Test '#]:[Level]],2,FALSE)," ")</f>
        <v>1.3.1 Info and Relationships</v>
      </c>
      <c r="C41" s="62" t="str">
        <f>IFERROR(VLOOKUP(A41,CustomScript[[#All],[Test '#]:[Level]],3,FALSE)," ")</f>
        <v>All content that has the visual appearance of a numbered list (order is important) is coded as an ordered list (ol).</v>
      </c>
      <c r="D41" s="42"/>
      <c r="E41" s="54"/>
      <c r="F41" s="42"/>
      <c r="G41" s="42"/>
      <c r="H41" s="42"/>
      <c r="I41" s="42"/>
      <c r="J41" s="63">
        <f>IFERROR(VLOOKUP(B41,MasterTable[[#All],[WCAG guideline]:[Level]],3,FALSE)," ")</f>
        <v>2</v>
      </c>
      <c r="K41" s="44" t="str">
        <f>IFERROR(VLOOKUP(B41,MasterTable[[#All],[WCAG guideline]:[2.2 Level]],4,FALSE), " ")</f>
        <v>A</v>
      </c>
    </row>
    <row r="42" spans="1:11" ht="60" customHeight="1" x14ac:dyDescent="0.3">
      <c r="A42" s="159" t="s">
        <v>184</v>
      </c>
      <c r="B42" s="62" t="str">
        <f>IFERROR(VLOOKUP(A42,CustomScript[[#All],[Test '#]:[Level]],2,FALSE)," ")</f>
        <v>1.3.1 Info and Relationships</v>
      </c>
      <c r="C42" s="62" t="str">
        <f>IFERROR(VLOOKUP(A42,CustomScript[[#All],[Test '#]:[Level]],3,FALSE)," ")</f>
        <v>All content that has the visual appearance of a list in which the order is NOT important is coded as an unordered list (ul).</v>
      </c>
      <c r="D42" s="42"/>
      <c r="E42" s="42"/>
      <c r="F42" s="42"/>
      <c r="G42" s="42"/>
      <c r="H42" s="42"/>
      <c r="I42" s="42"/>
      <c r="J42" s="63">
        <f>IFERROR(VLOOKUP(B42,MasterTable[[#All],[WCAG guideline]:[Level]],3,FALSE)," ")</f>
        <v>2</v>
      </c>
      <c r="K42" s="44" t="str">
        <f>IFERROR(VLOOKUP(B42,MasterTable[[#All],[WCAG guideline]:[2.2 Level]],4,FALSE), " ")</f>
        <v>A</v>
      </c>
    </row>
    <row r="43" spans="1:11" ht="88.5" customHeight="1" x14ac:dyDescent="0.3">
      <c r="A43" s="159" t="s">
        <v>185</v>
      </c>
      <c r="B43" s="62" t="str">
        <f>IFERROR(VLOOKUP(A43,CustomScript[[#All],[Test '#]:[Level]],2,FALSE)," ")</f>
        <v>1.3.1 Info and Relationships</v>
      </c>
      <c r="C43" s="62" t="str">
        <f>IFERROR(VLOOKUP(A43,CustomScript[[#All],[Test '#]:[Level]],3,FALSE)," ")</f>
        <v>All content that is coded as a description list (dl) (when groups of name-value pairs, for example: terms and definitions or questions and answers) is visually presented in the form of a list.</v>
      </c>
      <c r="D43" s="42"/>
      <c r="E43" s="42"/>
      <c r="F43" s="42"/>
      <c r="G43" s="42"/>
      <c r="H43" s="42"/>
      <c r="I43" s="42"/>
      <c r="J43" s="63">
        <f>IFERROR(VLOOKUP(B43,MasterTable[[#All],[WCAG guideline]:[Level]],3,FALSE)," ")</f>
        <v>2</v>
      </c>
      <c r="K43" s="44" t="str">
        <f>IFERROR(VLOOKUP(B43,MasterTable[[#All],[WCAG guideline]:[2.2 Level]],4,FALSE), " ")</f>
        <v>A</v>
      </c>
    </row>
    <row r="44" spans="1:11" ht="50.4" customHeight="1" x14ac:dyDescent="0.3">
      <c r="A44" s="159" t="s">
        <v>186</v>
      </c>
      <c r="B44" s="62" t="str">
        <f>IFERROR(VLOOKUP(A44,CustomScript[[#All],[Test '#]:[Level]],2,FALSE)," ")</f>
        <v>1.3.1 Info and Relationships</v>
      </c>
      <c r="C44" s="62" t="str">
        <f>IFERROR(VLOOKUP(A44,CustomScript[[#All],[Test '#]:[Level]],3,FALSE)," ")</f>
        <v>All meaningful content must be available to assistive technology.</v>
      </c>
      <c r="D44" s="42"/>
      <c r="E44" s="42"/>
      <c r="F44" s="42"/>
      <c r="G44" s="42"/>
      <c r="H44" s="42"/>
      <c r="I44" s="42"/>
      <c r="J44" s="63">
        <f>IFERROR(VLOOKUP(B44,MasterTable[[#All],[WCAG guideline]:[Level]],3,FALSE)," ")</f>
        <v>2</v>
      </c>
      <c r="K44" s="44" t="str">
        <f>IFERROR(VLOOKUP(B44,MasterTable[[#All],[WCAG guideline]:[2.2 Level]],4,FALSE), " ")</f>
        <v>A</v>
      </c>
    </row>
    <row r="45" spans="1:11" ht="77.400000000000006" customHeight="1" x14ac:dyDescent="0.3">
      <c r="A45" s="159" t="s">
        <v>187</v>
      </c>
      <c r="B45" s="62" t="str">
        <f>IFERROR(VLOOKUP(A45,CustomScript[[#All],[Test '#]:[Level]],2,FALSE)," ")</f>
        <v>1.3.1 Info and relationships</v>
      </c>
      <c r="C45" s="62" t="str">
        <f>IFERROR(VLOOKUP(A45,CustomScript[[#All],[Test '#]:[Level]],3,FALSE)," ")</f>
        <v>All Alternate keyboard commands are permanently in text on screen OR are revealed upon hover AND those Alternate commands function as directed.</v>
      </c>
      <c r="D45" s="42"/>
      <c r="E45" s="42"/>
      <c r="F45" s="42"/>
      <c r="G45" s="42"/>
      <c r="H45" s="42"/>
      <c r="I45" s="42"/>
      <c r="J45" s="63">
        <f>IFERROR(VLOOKUP(B45,MasterTable[[#All],[WCAG guideline]:[Level]],3,FALSE)," ")</f>
        <v>2</v>
      </c>
      <c r="K45" s="44" t="str">
        <f>IFERROR(VLOOKUP(B45,MasterTable[[#All],[WCAG guideline]:[2.2 Level]],4,FALSE), " ")</f>
        <v>A</v>
      </c>
    </row>
    <row r="46" spans="1:11" ht="63" customHeight="1" x14ac:dyDescent="0.3">
      <c r="A46" s="159" t="s">
        <v>188</v>
      </c>
      <c r="B46" s="62" t="str">
        <f>IFERROR(VLOOKUP(A46,CustomScript[[#All],[Test '#]:[Level]],2,FALSE)," ")</f>
        <v>1.3.2 Meaningful Sequence</v>
      </c>
      <c r="C46" s="62" t="str">
        <f>IFERROR(VLOOKUP(A46,CustomScript[[#All],[Test '#]:[Level]],3,FALSE)," ")</f>
        <v>The order which text is presented visually matches the order which text is presented programmatically (e.g., by a Screen Reader).</v>
      </c>
      <c r="D46" s="42"/>
      <c r="E46" s="42"/>
      <c r="F46" s="42"/>
      <c r="G46" s="42"/>
      <c r="H46" s="42"/>
      <c r="I46" s="42"/>
      <c r="J46" s="63">
        <f>IFERROR(VLOOKUP(B46,MasterTable[[#All],[WCAG guideline]:[Level]],3,FALSE)," ")</f>
        <v>2</v>
      </c>
      <c r="K46" s="44" t="str">
        <f>IFERROR(VLOOKUP(B46,MasterTable[[#All],[WCAG guideline]:[2.2 Level]],4,FALSE), " ")</f>
        <v>A</v>
      </c>
    </row>
    <row r="47" spans="1:11" ht="72" customHeight="1" x14ac:dyDescent="0.3">
      <c r="A47" s="159" t="s">
        <v>189</v>
      </c>
      <c r="B47" s="62" t="str">
        <f>IFERROR(VLOOKUP(A47,CustomScript[[#All],[Test '#]:[Level]],2,FALSE)," ")</f>
        <v>1.3.2 Meaningful Sequence</v>
      </c>
      <c r="C47" s="62" t="str">
        <f>IFERROR(VLOOKUP(A47,CustomScript[[#All],[Test '#]:[Level]],3,FALSE)," ")</f>
        <v>Whitespace is not utilized to create text spacing within a word.  Whitespace is not utilized to create columns or tables visually in plain text.</v>
      </c>
      <c r="D47" s="42"/>
      <c r="E47" s="42"/>
      <c r="F47" s="42"/>
      <c r="G47" s="42"/>
      <c r="H47" s="42"/>
      <c r="I47" s="42"/>
      <c r="J47" s="63">
        <f>IFERROR(VLOOKUP(B47,MasterTable[[#All],[WCAG guideline]:[Level]],3,FALSE)," ")</f>
        <v>2</v>
      </c>
      <c r="K47" s="44" t="str">
        <f>IFERROR(VLOOKUP(B47,MasterTable[[#All],[WCAG guideline]:[2.2 Level]],4,FALSE), " ")</f>
        <v>A</v>
      </c>
    </row>
    <row r="48" spans="1:11" ht="57.6" customHeight="1" x14ac:dyDescent="0.3">
      <c r="A48" s="159" t="s">
        <v>190</v>
      </c>
      <c r="B48" s="62" t="str">
        <f>IFERROR(VLOOKUP(A48,CustomScript[[#All],[Test '#]:[Level]],2,FALSE)," ")</f>
        <v>1.3.2 Meaningful Sequence</v>
      </c>
      <c r="C48" s="62" t="str">
        <f>IFERROR(VLOOKUP(A48,CustomScript[[#All],[Test '#]:[Level]],3,FALSE)," ")</f>
        <v>When CSS is disabled, all content continues in a logical order.</v>
      </c>
      <c r="D48" s="42"/>
      <c r="E48" s="42"/>
      <c r="F48" s="42"/>
      <c r="G48" s="42"/>
      <c r="H48" s="42"/>
      <c r="I48" s="42"/>
      <c r="J48" s="63">
        <f>IFERROR(VLOOKUP(B48,MasterTable[[#All],[WCAG guideline]:[Level]],3,FALSE)," ")</f>
        <v>2</v>
      </c>
      <c r="K48" s="44" t="str">
        <f>IFERROR(VLOOKUP(B48,MasterTable[[#All],[WCAG guideline]:[2.2 Level]],4,FALSE), " ")</f>
        <v>A</v>
      </c>
    </row>
    <row r="49" spans="1:11" ht="58.2" customHeight="1" x14ac:dyDescent="0.3">
      <c r="A49" s="159" t="s">
        <v>191</v>
      </c>
      <c r="B49" s="62" t="str">
        <f>IFERROR(VLOOKUP(A49,CustomScript[[#All],[Test '#]:[Level]],2,FALSE)," ")</f>
        <v>1.3.2 Meaningful Sequence</v>
      </c>
      <c r="C49" s="62" t="str">
        <f>IFERROR(VLOOKUP(A49,CustomScript[[#All],[Test '#]:[Level]],3,FALSE)," ")</f>
        <v>When CSS is disabled, no content becomes unavailable, and no unintended content becomes visible</v>
      </c>
      <c r="D49" s="42"/>
      <c r="E49" s="42"/>
      <c r="F49" s="42"/>
      <c r="G49" s="42"/>
      <c r="H49" s="42"/>
      <c r="I49" s="42"/>
      <c r="J49" s="63">
        <f>IFERROR(VLOOKUP(B49,MasterTable[[#All],[WCAG guideline]:[Level]],3,FALSE)," ")</f>
        <v>2</v>
      </c>
      <c r="K49" s="44" t="str">
        <f>IFERROR(VLOOKUP(B49,MasterTable[[#All],[WCAG guideline]:[2.2 Level]],4,FALSE), " ")</f>
        <v>A</v>
      </c>
    </row>
    <row r="50" spans="1:11" ht="90" customHeight="1" x14ac:dyDescent="0.3">
      <c r="A50" s="159" t="s">
        <v>192</v>
      </c>
      <c r="B50" s="62" t="str">
        <f>IFERROR(VLOOKUP(A50,CustomScript[[#All],[Test '#]:[Level]],2,FALSE)," ")</f>
        <v>1.3.3 Sensory Characteristics</v>
      </c>
      <c r="C50" s="62" t="str">
        <f>IFERROR(VLOOKUP(A50,CustomScript[[#All],[Test '#]:[Level]],3,FALSE)," ")</f>
        <v>Instructions for operating web-based content and cues for identifying content does not rely exclusively on color, shape, size, position, or sound. (Above/Below references allowed)</v>
      </c>
      <c r="D50" s="42"/>
      <c r="E50" s="42"/>
      <c r="F50" s="42"/>
      <c r="G50" s="42"/>
      <c r="H50" s="42"/>
      <c r="I50" s="42"/>
      <c r="J50" s="63">
        <f>IFERROR(VLOOKUP(B50,MasterTable[[#All],[WCAG guideline]:[Level]],3,FALSE)," ")</f>
        <v>2</v>
      </c>
      <c r="K50" s="44" t="str">
        <f>IFERROR(VLOOKUP(B50,MasterTable[[#All],[WCAG guideline]:[2.2 Level]],4,FALSE), " ")</f>
        <v>A</v>
      </c>
    </row>
    <row r="51" spans="1:11" ht="63.6" customHeight="1" x14ac:dyDescent="0.3">
      <c r="A51" s="159" t="s">
        <v>193</v>
      </c>
      <c r="B51" s="62" t="str">
        <f>IFERROR(VLOOKUP(A51,CustomScript[[#All],[Test '#]:[Level]],2,FALSE)," ")</f>
        <v>1.3.3 Sensory Characteristics</v>
      </c>
      <c r="C51" s="62" t="str">
        <f>IFERROR(VLOOKUP(A51,CustomScript[[#All],[Test '#]:[Level]],3,FALSE)," ")</f>
        <v>When CSS is disabled, all original content remains legible.</v>
      </c>
      <c r="D51" s="42"/>
      <c r="E51" s="42"/>
      <c r="F51" s="42"/>
      <c r="G51" s="42"/>
      <c r="H51" s="42"/>
      <c r="I51" s="42"/>
      <c r="J51" s="63">
        <f>IFERROR(VLOOKUP(B51,MasterTable[[#All],[WCAG guideline]:[Level]],3,FALSE)," ")</f>
        <v>2</v>
      </c>
      <c r="K51" s="44" t="str">
        <f>IFERROR(VLOOKUP(B51,MasterTable[[#All],[WCAG guideline]:[2.2 Level]],4,FALSE), " ")</f>
        <v>A</v>
      </c>
    </row>
    <row r="52" spans="1:11" ht="70.2" customHeight="1" x14ac:dyDescent="0.3">
      <c r="A52" s="159" t="s">
        <v>194</v>
      </c>
      <c r="B52" s="62" t="str">
        <f>IFERROR(VLOOKUP(A52,CustomScript[[#All],[Test '#]:[Level]],2,FALSE)," ")</f>
        <v>1.3.4 Orientation</v>
      </c>
      <c r="C52" s="62" t="str">
        <f>IFERROR(VLOOKUP(A52,CustomScript[[#All],[Test '#]:[Level]],3,FALSE)," ")</f>
        <v>Content does not restrict its view and operation to a single display orientation, such as portrait or landscape, unless a specific display orientation is essential.</v>
      </c>
      <c r="D52" s="42"/>
      <c r="E52" s="42"/>
      <c r="F52" s="42"/>
      <c r="G52" s="42"/>
      <c r="H52" s="42"/>
      <c r="I52" s="42"/>
      <c r="J52" s="63">
        <f>IFERROR(VLOOKUP(B52,MasterTable[[#All],[WCAG guideline]:[Level]],3,FALSE)," ")</f>
        <v>2.1</v>
      </c>
      <c r="K52" s="44" t="str">
        <f>IFERROR(VLOOKUP(B52,MasterTable[[#All],[WCAG guideline]:[2.2 Level]],4,FALSE), " ")</f>
        <v>AA</v>
      </c>
    </row>
    <row r="53" spans="1:11" ht="93" customHeight="1" x14ac:dyDescent="0.3">
      <c r="A53" s="159" t="s">
        <v>195</v>
      </c>
      <c r="B53" s="62" t="str">
        <f>IFERROR(VLOOKUP(A53,CustomScript[[#All],[Test '#]:[Level]],2,FALSE)," ")</f>
        <v>1.3.5 Identify Input Purpose</v>
      </c>
      <c r="C53" s="62" t="str">
        <f>IFERROR(VLOOKUP(A53,CustomScript[[#All],[Test '#]:[Level]],3,FALSE)," ")</f>
        <v xml:space="preserve"> The purpose of any form input about the user is identified in code when the purpose is defined in HTML.  (Name and address autocomplete)</v>
      </c>
      <c r="D53" s="42"/>
      <c r="E53" s="42"/>
      <c r="F53" s="42"/>
      <c r="G53" s="42"/>
      <c r="H53" s="42"/>
      <c r="I53" s="42"/>
      <c r="J53" s="63">
        <f>IFERROR(VLOOKUP(B53,MasterTable[[#All],[WCAG guideline]:[Level]],3,FALSE)," ")</f>
        <v>2.1</v>
      </c>
      <c r="K53" s="44" t="str">
        <f>IFERROR(VLOOKUP(B53,MasterTable[[#All],[WCAG guideline]:[2.2 Level]],4,FALSE), " ")</f>
        <v>AA</v>
      </c>
    </row>
    <row r="54" spans="1:11" ht="97.95" customHeight="1" x14ac:dyDescent="0.3">
      <c r="A54" s="159" t="s">
        <v>196</v>
      </c>
      <c r="B54" s="62" t="str">
        <f>IFERROR(VLOOKUP(A54,CustomScript[[#All],[Test '#]:[Level]],2,FALSE)," ")</f>
        <v>1.4.1 Use of Color</v>
      </c>
      <c r="C54" s="62" t="str">
        <f>IFERROR(VLOOKUP(A54,CustomScript[[#All],[Test '#]:[Level]],3,FALSE)," ")</f>
        <v>Color may not exclusively distinguish between plain text and interactive text without a 3:1 color contrast difference.
For any interactive text that is only identified by a color shift:
Ensure that the color contrast difference of the interactive text is a 3:1 color contrast difference from the surrounding text.
Ensure that the interactive text gains a different visual indicator when focused and hovered over.  Both must be true.</v>
      </c>
      <c r="D54" s="42"/>
      <c r="E54" s="42"/>
      <c r="F54" s="42"/>
      <c r="G54" s="42"/>
      <c r="H54" s="42"/>
      <c r="I54" s="42"/>
      <c r="J54" s="63">
        <f>IFERROR(VLOOKUP(B54,MasterTable[[#All],[WCAG guideline]:[Level]],3,FALSE)," ")</f>
        <v>2</v>
      </c>
      <c r="K54" s="44" t="str">
        <f>IFERROR(VLOOKUP(B54,MasterTable[[#All],[WCAG guideline]:[2.2 Level]],4,FALSE), " ")</f>
        <v>A</v>
      </c>
    </row>
    <row r="55" spans="1:11" ht="71.400000000000006" customHeight="1" x14ac:dyDescent="0.3">
      <c r="A55" s="159" t="s">
        <v>197</v>
      </c>
      <c r="B55" s="62" t="str">
        <f>IFERROR(VLOOKUP(A55,CustomScript[[#All],[Test '#]:[Level]],2,FALSE)," ")</f>
        <v>1.4.1 Use of Color</v>
      </c>
      <c r="C55" s="62" t="str">
        <f>IFERROR(VLOOKUP(A55,CustomScript[[#All],[Test '#]:[Level]],3,FALSE)," ")</f>
        <v>Color may not exclusively identify content or distinguish differences in any content (e.g. Red items are invalid, Green items are valid)</v>
      </c>
      <c r="D55" s="42"/>
      <c r="E55" s="42"/>
      <c r="F55" s="42"/>
      <c r="G55" s="42"/>
      <c r="H55" s="42"/>
      <c r="I55" s="42"/>
      <c r="J55" s="63">
        <f>IFERROR(VLOOKUP(B55,MasterTable[[#All],[WCAG guideline]:[Level]],3,FALSE)," ")</f>
        <v>2</v>
      </c>
      <c r="K55" s="44" t="str">
        <f>IFERROR(VLOOKUP(B55,MasterTable[[#All],[WCAG guideline]:[2.2 Level]],4,FALSE), " ")</f>
        <v>A</v>
      </c>
    </row>
    <row r="56" spans="1:11" ht="78" customHeight="1" x14ac:dyDescent="0.3">
      <c r="A56" s="159" t="s">
        <v>198</v>
      </c>
      <c r="B56" s="62" t="str">
        <f>IFERROR(VLOOKUP(A56,CustomScript[[#All],[Test '#]:[Level]],2,FALSE)," ")</f>
        <v>1.4.1 Use of Color</v>
      </c>
      <c r="C56" s="62" t="str">
        <f>IFERROR(VLOOKUP(A56,CustomScript[[#All],[Test '#]:[Level]],3,FALSE)," ")</f>
        <v>Website or application does not disrupt or disable user chosen accessibility settings in either the browser or user selected accessibility tools.</v>
      </c>
      <c r="D56" s="42"/>
      <c r="E56" s="42"/>
      <c r="F56" s="42"/>
      <c r="G56" s="42"/>
      <c r="H56" s="42"/>
      <c r="I56" s="42"/>
      <c r="J56" s="63">
        <f>IFERROR(VLOOKUP(B56,MasterTable[[#All],[WCAG guideline]:[Level]],3,FALSE)," ")</f>
        <v>2</v>
      </c>
      <c r="K56" s="44" t="str">
        <f>IFERROR(VLOOKUP(B56,MasterTable[[#All],[WCAG guideline]:[2.2 Level]],4,FALSE), " ")</f>
        <v>A</v>
      </c>
    </row>
    <row r="57" spans="1:11" ht="73.2" customHeight="1" x14ac:dyDescent="0.3">
      <c r="A57" s="159" t="s">
        <v>199</v>
      </c>
      <c r="B57" s="62" t="str">
        <f>IFERROR(VLOOKUP(A57,CustomScript[[#All],[Test '#]:[Level]],2,FALSE)," ")</f>
        <v>1.4.2 Audio Control</v>
      </c>
      <c r="C57" s="62" t="str">
        <f>IFERROR(VLOOKUP(A57,CustomScript[[#All],[Test '#]:[Level]],3,FALSE)," ")</f>
        <v>All audio that starts automatically and lasts more than three seconds has a mechanism to pause, stop or mute the audio source.</v>
      </c>
      <c r="D57" s="42"/>
      <c r="E57" s="42"/>
      <c r="F57" s="42"/>
      <c r="G57" s="42"/>
      <c r="H57" s="42"/>
      <c r="I57" s="42"/>
      <c r="J57" s="63">
        <f>IFERROR(VLOOKUP(B57,MasterTable[[#All],[WCAG guideline]:[Level]],3,FALSE)," ")</f>
        <v>2</v>
      </c>
      <c r="K57" s="44" t="str">
        <f>IFERROR(VLOOKUP(B57,MasterTable[[#All],[WCAG guideline]:[2.2 Level]],4,FALSE), " ")</f>
        <v>A</v>
      </c>
    </row>
    <row r="58" spans="1:11" ht="75.599999999999994" customHeight="1" x14ac:dyDescent="0.3">
      <c r="A58" s="159" t="s">
        <v>200</v>
      </c>
      <c r="B58" s="62" t="str">
        <f>IFERROR(VLOOKUP(A58,CustomScript[[#All],[Test '#]:[Level]],2,FALSE)," ")</f>
        <v>1.4.3 Contrast (Minimum)</v>
      </c>
      <c r="C58" s="62" t="str">
        <f>IFERROR(VLOOKUP(A58,CustomScript[[#All],[Test '#]:[Level]],3,FALSE)," ")</f>
        <v>Large-scale (24px or 19px bold) text must have a color contrast ratio of 3:1.  Logos, inactive components, and pure decoration excluded.</v>
      </c>
      <c r="D58" s="42"/>
      <c r="E58" s="42"/>
      <c r="F58" s="42"/>
      <c r="G58" s="42"/>
      <c r="H58" s="42"/>
      <c r="I58" s="42"/>
      <c r="J58" s="63">
        <f>IFERROR(VLOOKUP(B58,MasterTable[[#All],[WCAG guideline]:[Level]],3,FALSE)," ")</f>
        <v>2</v>
      </c>
      <c r="K58" s="44" t="str">
        <f>IFERROR(VLOOKUP(B58,MasterTable[[#All],[WCAG guideline]:[2.2 Level]],4,FALSE), " ")</f>
        <v>AA</v>
      </c>
    </row>
    <row r="59" spans="1:11" ht="90" customHeight="1" x14ac:dyDescent="0.3">
      <c r="A59" s="159" t="s">
        <v>201</v>
      </c>
      <c r="B59" s="62" t="str">
        <f>IFERROR(VLOOKUP(A59,CustomScript[[#All],[Test '#]:[Level]],2,FALSE)," ")</f>
        <v>1.4.3 Contrast (Minimum)</v>
      </c>
      <c r="C59" s="62" t="str">
        <f>IFERROR(VLOOKUP(A59,CustomScript[[#All],[Test '#]:[Level]],3,FALSE)," ")</f>
        <v>Text that is less than 24px or 19px bold or less than must have a color contrast ratio of 4.5:1. Logos, inactive components, and pure decoration excluded.</v>
      </c>
      <c r="D59" s="42"/>
      <c r="E59" s="42"/>
      <c r="F59" s="42"/>
      <c r="G59" s="42"/>
      <c r="H59" s="42"/>
      <c r="I59" s="42"/>
      <c r="J59" s="63">
        <f>IFERROR(VLOOKUP(B59,MasterTable[[#All],[WCAG guideline]:[Level]],3,FALSE)," ")</f>
        <v>2</v>
      </c>
      <c r="K59" s="44" t="str">
        <f>IFERROR(VLOOKUP(B59,MasterTable[[#All],[WCAG guideline]:[2.2 Level]],4,FALSE), " ")</f>
        <v>AA</v>
      </c>
    </row>
    <row r="60" spans="1:11" ht="45" customHeight="1" x14ac:dyDescent="0.3">
      <c r="A60" s="159" t="s">
        <v>202</v>
      </c>
      <c r="B60" s="62" t="str">
        <f>IFERROR(VLOOKUP(A60,CustomScript[[#All],[Test '#]:[Level]],2,FALSE)," ")</f>
        <v>1.4.4 Resize Text</v>
      </c>
      <c r="C60" s="62" t="str">
        <f>IFERROR(VLOOKUP(A60,CustomScript[[#All],[Test '#]:[Level]],3,FALSE)," ")</f>
        <v>Text can be resized up to 200% without page content disappearing or losing functionality.</v>
      </c>
      <c r="D60" s="42"/>
      <c r="E60" s="42"/>
      <c r="F60" s="42"/>
      <c r="G60" s="42"/>
      <c r="H60" s="42"/>
      <c r="I60" s="42"/>
      <c r="J60" s="63">
        <f>IFERROR(VLOOKUP(B60,MasterTable[[#All],[WCAG guideline]:[Level]],3,FALSE)," ")</f>
        <v>2</v>
      </c>
      <c r="K60" s="44" t="str">
        <f>IFERROR(VLOOKUP(B60,MasterTable[[#All],[WCAG guideline]:[2.2 Level]],4,FALSE), " ")</f>
        <v>AA</v>
      </c>
    </row>
    <row r="61" spans="1:11" ht="96.6" customHeight="1" x14ac:dyDescent="0.3">
      <c r="A61" s="159" t="s">
        <v>203</v>
      </c>
      <c r="B61" s="62" t="str">
        <f>IFERROR(VLOOKUP(A61,CustomScript[[#All],[Test '#]:[Level]],2,FALSE)," ")</f>
        <v>1.4.4 Resize Text</v>
      </c>
      <c r="C61" s="62" t="str">
        <f>IFERROR(VLOOKUP(A61,CustomScript[[#All],[Test '#]:[Level]],3,FALSE)," ")</f>
        <v>Except for captions and images of text, text can be resized with user selected accessibility tool up to 200 percent without clipping of content, or loss of content or functionality.</v>
      </c>
      <c r="D61" s="42"/>
      <c r="E61" s="42"/>
      <c r="F61" s="42"/>
      <c r="G61" s="42"/>
      <c r="H61" s="42"/>
      <c r="I61" s="42"/>
      <c r="J61" s="63">
        <f>IFERROR(VLOOKUP(B61,MasterTable[[#All],[WCAG guideline]:[Level]],3,FALSE)," ")</f>
        <v>2</v>
      </c>
      <c r="K61" s="44" t="str">
        <f>IFERROR(VLOOKUP(B61,MasterTable[[#All],[WCAG guideline]:[2.2 Level]],4,FALSE), " ")</f>
        <v>AA</v>
      </c>
    </row>
    <row r="62" spans="1:11" ht="66" customHeight="1" x14ac:dyDescent="0.3">
      <c r="A62" s="159" t="s">
        <v>204</v>
      </c>
      <c r="B62" s="62" t="str">
        <f>IFERROR(VLOOKUP(A62,CustomScript[[#All],[Test '#]:[Level]],2,FALSE)," ")</f>
        <v>1.4.5 Images of Text</v>
      </c>
      <c r="C62" s="62" t="str">
        <f>IFERROR(VLOOKUP(A62,CustomScript[[#All],[Test '#]:[Level]],3,FALSE)," ")</f>
        <v>Images of text are not used when the same presentation can be made with native HTML/CSS.  Logos and branding are excluded.</v>
      </c>
      <c r="D62" s="42"/>
      <c r="E62" s="42"/>
      <c r="F62" s="42"/>
      <c r="G62" s="42"/>
      <c r="H62" s="42"/>
      <c r="I62" s="42"/>
      <c r="J62" s="63">
        <f>IFERROR(VLOOKUP(B62,MasterTable[[#All],[WCAG guideline]:[Level]],3,FALSE)," ")</f>
        <v>2</v>
      </c>
      <c r="K62" s="44" t="str">
        <f>IFERROR(VLOOKUP(B62,MasterTable[[#All],[WCAG guideline]:[2.2 Level]],4,FALSE), " ")</f>
        <v>AA</v>
      </c>
    </row>
    <row r="63" spans="1:11" ht="118.95" customHeight="1" x14ac:dyDescent="0.3">
      <c r="A63" s="159" t="s">
        <v>205</v>
      </c>
      <c r="B63" s="62" t="str">
        <f>IFERROR(VLOOKUP(A63,CustomScript[[#All],[Test '#]:[Level]],2,FALSE)," ")</f>
        <v>1.4.10 Reflow</v>
      </c>
      <c r="C63" s="62" t="str">
        <f>IFERROR(VLOOKUP(A63,CustomScript[[#All],[Test '#]:[Level]],3,FALSE)," ")</f>
        <v>Content may only scroll in one dimension (horizontal or vertical) at a width and height equivalent of 320x256 pixels or larger.  Excluded is content where a two-dimensional layout is necessary (video, data tables, maps, diagrams etc..) (magnified 400 percent without loss of content or functionality.)</v>
      </c>
      <c r="D63" s="42"/>
      <c r="E63" s="42"/>
      <c r="F63" s="42"/>
      <c r="G63" s="42"/>
      <c r="H63" s="42"/>
      <c r="I63" s="42"/>
      <c r="J63" s="63">
        <f>IFERROR(VLOOKUP(B63,MasterTable[[#All],[WCAG guideline]:[Level]],3,FALSE)," ")</f>
        <v>2.1</v>
      </c>
      <c r="K63" s="44" t="str">
        <f>IFERROR(VLOOKUP(B63,MasterTable[[#All],[WCAG guideline]:[2.2 Level]],4,FALSE), " ")</f>
        <v>AA</v>
      </c>
    </row>
    <row r="64" spans="1:11" ht="77.400000000000006" customHeight="1" x14ac:dyDescent="0.3">
      <c r="A64" s="159" t="s">
        <v>206</v>
      </c>
      <c r="B64" s="62" t="str">
        <f>IFERROR(VLOOKUP(A64,CustomScript[[#All],[Test '#]:[Level]],2,FALSE)," ")</f>
        <v>1.4.11 Non-text Contrast</v>
      </c>
      <c r="C64" s="62" t="str">
        <f>IFERROR(VLOOKUP(A64,CustomScript[[#All],[Test '#]:[Level]],3,FALSE)," ")</f>
        <v xml:space="preserve">Active user interface components must meet a 3:1 color contrast ratio.  (This includes buttons, inputs, custom focus indicators, dropdowns, checkboxes, and radio buttons) </v>
      </c>
      <c r="D64" s="42"/>
      <c r="E64" s="42"/>
      <c r="F64" s="42"/>
      <c r="G64" s="42"/>
      <c r="H64" s="42"/>
      <c r="I64" s="42"/>
      <c r="J64" s="63">
        <f>IFERROR(VLOOKUP(B64,MasterTable[[#All],[WCAG guideline]:[Level]],3,FALSE)," ")</f>
        <v>2.1</v>
      </c>
      <c r="K64" s="44" t="str">
        <f>IFERROR(VLOOKUP(B64,MasterTable[[#All],[WCAG guideline]:[2.2 Level]],4,FALSE), " ")</f>
        <v>AA</v>
      </c>
    </row>
    <row r="65" spans="1:11" ht="99" customHeight="1" x14ac:dyDescent="0.3">
      <c r="A65" s="159" t="s">
        <v>207</v>
      </c>
      <c r="B65" s="62" t="str">
        <f>IFERROR(VLOOKUP(A65,CustomScript[[#All],[Test '#]:[Level]],2,FALSE)," ")</f>
        <v>1.4.11 Non-text Contrast</v>
      </c>
      <c r="C65" s="62" t="str">
        <f>IFERROR(VLOOKUP(A65,CustomScript[[#All],[Test '#]:[Level]],3,FALSE)," ")</f>
        <v>Graphical objects (e.g. icons used as interactive components) which describe important content must meet a 3:1 color contrast ratio; except flags, real life imagery, branding, reference screencaps, and heatmaps.</v>
      </c>
      <c r="D65" s="42"/>
      <c r="E65" s="42"/>
      <c r="F65" s="42"/>
      <c r="G65" s="42"/>
      <c r="H65" s="42"/>
      <c r="I65" s="42"/>
      <c r="J65" s="63">
        <f>IFERROR(VLOOKUP(B65,MasterTable[[#All],[WCAG guideline]:[Level]],3,FALSE)," ")</f>
        <v>2.1</v>
      </c>
      <c r="K65" s="44" t="str">
        <f>IFERROR(VLOOKUP(B65,MasterTable[[#All],[WCAG guideline]:[2.2 Level]],4,FALSE), " ")</f>
        <v>AA</v>
      </c>
    </row>
    <row r="66" spans="1:11" ht="109.2" customHeight="1" x14ac:dyDescent="0.3">
      <c r="A66" s="159" t="s">
        <v>208</v>
      </c>
      <c r="B66" s="62" t="str">
        <f>IFERROR(VLOOKUP(A66,CustomScript[[#All],[Test '#]:[Level]],2,FALSE)," ")</f>
        <v>1.4.12 Text Spacing</v>
      </c>
      <c r="C66" s="62" t="str">
        <f>IFERROR(VLOOKUP(A66,CustomScript[[#All],[Test '#]:[Level]],3,FALSE)," ")</f>
        <v>No content or functionality may be lost when text is set to: Line spacing of 1.5x font size, Letter Spacing at 0.12x font size, Word spacing at 0.16x font size, and paragraph spacing 2x the font size.</v>
      </c>
      <c r="D66" s="42"/>
      <c r="E66" s="42"/>
      <c r="F66" s="42"/>
      <c r="G66" s="42"/>
      <c r="H66" s="42"/>
      <c r="I66" s="42"/>
      <c r="J66" s="63">
        <f>IFERROR(VLOOKUP(B66,MasterTable[[#All],[WCAG guideline]:[Level]],3,FALSE)," ")</f>
        <v>2.1</v>
      </c>
      <c r="K66" s="44" t="str">
        <f>IFERROR(VLOOKUP(B66,MasterTable[[#All],[WCAG guideline]:[2.2 Level]],4,FALSE), " ")</f>
        <v>AA</v>
      </c>
    </row>
    <row r="67" spans="1:11" ht="54" customHeight="1" x14ac:dyDescent="0.3">
      <c r="A67" s="159" t="s">
        <v>209</v>
      </c>
      <c r="B67" s="62" t="str">
        <f>IFERROR(VLOOKUP(A67,CustomScript[[#All],[Test '#]:[Level]],2,FALSE)," ")</f>
        <v>1.4.13 Content on Hover or Focus</v>
      </c>
      <c r="C67" s="62" t="str">
        <f>IFERROR(VLOOKUP(A67,CustomScript[[#All],[Test '#]:[Level]],3,FALSE)," ")</f>
        <v>Content generated by hover or focus can be dismissed without moving hover or focus.</v>
      </c>
      <c r="D67" s="42"/>
      <c r="E67" s="42"/>
      <c r="F67" s="42"/>
      <c r="G67" s="42"/>
      <c r="H67" s="42"/>
      <c r="I67" s="42"/>
      <c r="J67" s="63">
        <f>IFERROR(VLOOKUP(B67,MasterTable[[#All],[WCAG guideline]:[Level]],3,FALSE)," ")</f>
        <v>2.1</v>
      </c>
      <c r="K67" s="44" t="str">
        <f>IFERROR(VLOOKUP(B67,MasterTable[[#All],[WCAG guideline]:[2.2 Level]],4,FALSE), " ")</f>
        <v>AA</v>
      </c>
    </row>
    <row r="68" spans="1:11" ht="63.75" customHeight="1" x14ac:dyDescent="0.3">
      <c r="A68" s="159" t="s">
        <v>210</v>
      </c>
      <c r="B68" s="62" t="str">
        <f>IFERROR(VLOOKUP(A68,CustomScript[[#All],[Test '#]:[Level]],2,FALSE)," ")</f>
        <v>1.4.13 Content on Hover or Focus</v>
      </c>
      <c r="C68" s="62" t="str">
        <f>IFERROR(VLOOKUP(A68,CustomScript[[#All],[Test '#]:[Level]],3,FALSE)," ")</f>
        <v>Content generated by hover or focus of an element can be hovered over without the content disappearing.</v>
      </c>
      <c r="D68" s="42"/>
      <c r="E68" s="42"/>
      <c r="F68" s="42"/>
      <c r="G68" s="42"/>
      <c r="H68" s="42"/>
      <c r="I68" s="42"/>
      <c r="J68" s="63">
        <f>IFERROR(VLOOKUP(B68,MasterTable[[#All],[WCAG guideline]:[Level]],3,FALSE)," ")</f>
        <v>2.1</v>
      </c>
      <c r="K68" s="44" t="str">
        <f>IFERROR(VLOOKUP(B68,MasterTable[[#All],[WCAG guideline]:[2.2 Level]],4,FALSE), " ")</f>
        <v>AA</v>
      </c>
    </row>
    <row r="69" spans="1:11" ht="60" customHeight="1" x14ac:dyDescent="0.3">
      <c r="A69" s="159" t="s">
        <v>211</v>
      </c>
      <c r="B69" s="62" t="str">
        <f>IFERROR(VLOOKUP(A69,CustomScript[[#All],[Test '#]:[Level]],2,FALSE)," ")</f>
        <v>1.4.13 Content on Hover or Focus</v>
      </c>
      <c r="C69" s="62" t="str">
        <f>IFERROR(VLOOKUP(A69,CustomScript[[#All],[Test '#]:[Level]],3,FALSE)," ")</f>
        <v>Content generated by hover or focus of an element do not disappear until dismissed, is no longer valid, or hover or focus is removed.</v>
      </c>
      <c r="D69" s="42"/>
      <c r="E69" s="42"/>
      <c r="F69" s="42"/>
      <c r="G69" s="42"/>
      <c r="H69" s="42"/>
      <c r="I69" s="42"/>
      <c r="J69" s="63">
        <f>IFERROR(VLOOKUP(B69,MasterTable[[#All],[WCAG guideline]:[Level]],3,FALSE)," ")</f>
        <v>2.1</v>
      </c>
      <c r="K69" s="44" t="str">
        <f>IFERROR(VLOOKUP(B69,MasterTable[[#All],[WCAG guideline]:[2.2 Level]],4,FALSE), " ")</f>
        <v>AA</v>
      </c>
    </row>
    <row r="70" spans="1:11" ht="67.2" customHeight="1" x14ac:dyDescent="0.3">
      <c r="A70" s="159" t="s">
        <v>212</v>
      </c>
      <c r="B70" s="62" t="str">
        <f>IFERROR(VLOOKUP(A70,CustomScript[[#All],[Test '#]:[Level]],2,FALSE)," ")</f>
        <v>2.1.1 Keyboard</v>
      </c>
      <c r="C70" s="62" t="str">
        <f>IFERROR(VLOOKUP(A70,CustomScript[[#All],[Test '#]:[Level]],3,FALSE)," ")</f>
        <v>All interactive elements must be able to be navigated to and interacted with using a Keyboard only.</v>
      </c>
      <c r="D70" s="42"/>
      <c r="E70" s="42"/>
      <c r="F70" s="42"/>
      <c r="G70" s="42"/>
      <c r="H70" s="42"/>
      <c r="I70" s="42"/>
      <c r="J70" s="63">
        <f>IFERROR(VLOOKUP(B70,MasterTable[[#All],[WCAG guideline]:[Level]],3,FALSE)," ")</f>
        <v>2</v>
      </c>
      <c r="K70" s="44" t="str">
        <f>IFERROR(VLOOKUP(B70,MasterTable[[#All],[WCAG guideline]:[2.2 Level]],4,FALSE), " ")</f>
        <v>A</v>
      </c>
    </row>
    <row r="71" spans="1:11" ht="100.95" customHeight="1" x14ac:dyDescent="0.3">
      <c r="A71" s="159" t="s">
        <v>213</v>
      </c>
      <c r="B71" s="62" t="str">
        <f>IFERROR(VLOOKUP(A71,CustomScript[[#All],[Test '#]:[Level]],2,FALSE)," ")</f>
        <v>2.1.1 Keyboard</v>
      </c>
      <c r="C71" s="62" t="str">
        <f>IFERROR(VLOOKUP(A71,CustomScript[[#All],[Test '#]:[Level]],3,FALSE)," ")</f>
        <v>Timing of keystrokes must not be required for interacting with any functionality (except when input requires path-dependent input).</v>
      </c>
      <c r="D71" s="42"/>
      <c r="E71" s="42"/>
      <c r="F71" s="42"/>
      <c r="G71" s="42"/>
      <c r="H71" s="42"/>
      <c r="I71" s="42"/>
      <c r="J71" s="63">
        <f>IFERROR(VLOOKUP(B71,MasterTable[[#All],[WCAG guideline]:[Level]],3,FALSE)," ")</f>
        <v>2</v>
      </c>
      <c r="K71" s="44" t="str">
        <f>IFERROR(VLOOKUP(B71,MasterTable[[#All],[WCAG guideline]:[2.2 Level]],4,FALSE), " ")</f>
        <v>A</v>
      </c>
    </row>
    <row r="72" spans="1:11" ht="87.6" customHeight="1" x14ac:dyDescent="0.3">
      <c r="A72" s="159" t="s">
        <v>214</v>
      </c>
      <c r="B72" s="62" t="str">
        <f>IFERROR(VLOOKUP(A72,CustomScript[[#All],[Test '#]:[Level]],2,FALSE)," ")</f>
        <v>2.1.1 Keyboard</v>
      </c>
      <c r="C72" s="62" t="str">
        <f>IFERROR(VLOOKUP(A72,CustomScript[[#All],[Test '#]:[Level]],3,FALSE)," ")</f>
        <v>Functionality available when hovering with a cursor must be available to keyboard input.</v>
      </c>
      <c r="D72" s="42"/>
      <c r="E72" s="42"/>
      <c r="F72" s="42"/>
      <c r="G72" s="42"/>
      <c r="H72" s="42"/>
      <c r="I72" s="42"/>
      <c r="J72" s="63">
        <f>IFERROR(VLOOKUP(B72,MasterTable[[#All],[WCAG guideline]:[Level]],3,FALSE)," ")</f>
        <v>2</v>
      </c>
      <c r="K72" s="44" t="str">
        <f>IFERROR(VLOOKUP(B72,MasterTable[[#All],[WCAG guideline]:[2.2 Level]],4,FALSE), " ")</f>
        <v>A</v>
      </c>
    </row>
    <row r="73" spans="1:11" ht="80.400000000000006" customHeight="1" x14ac:dyDescent="0.3">
      <c r="A73" s="159" t="s">
        <v>215</v>
      </c>
      <c r="B73" s="62" t="str">
        <f>IFERROR(VLOOKUP(A73,CustomScript[[#All],[Test '#]:[Level]],2,FALSE)," ")</f>
        <v>2.1.1 Keyboard</v>
      </c>
      <c r="C73" s="62" t="str">
        <f>IFERROR(VLOOKUP(A73,CustomScript[[#All],[Test '#]:[Level]],3,FALSE)," ")</f>
        <v>If alternative keyboard navigation is used within a grid-cell, then instructions are provided visually and semantically which function as instructed.</v>
      </c>
      <c r="D73" s="42"/>
      <c r="E73" s="42"/>
      <c r="F73" s="42"/>
      <c r="G73" s="42"/>
      <c r="H73" s="42"/>
      <c r="I73" s="42"/>
      <c r="J73" s="63">
        <f>IFERROR(VLOOKUP(B73,MasterTable[[#All],[WCAG guideline]:[Level]],3,FALSE)," ")</f>
        <v>2</v>
      </c>
      <c r="K73" s="44" t="str">
        <f>IFERROR(VLOOKUP(B73,MasterTable[[#All],[WCAG guideline]:[2.2 Level]],4,FALSE), " ")</f>
        <v>A</v>
      </c>
    </row>
    <row r="74" spans="1:11" ht="102.6" customHeight="1" x14ac:dyDescent="0.3">
      <c r="A74" s="159" t="s">
        <v>216</v>
      </c>
      <c r="B74" s="62" t="str">
        <f>IFERROR(VLOOKUP(A74,CustomScript[[#All],[Test '#]:[Level]],2,FALSE)," ")</f>
        <v>2.1.2 No Keyboard Trap</v>
      </c>
      <c r="C74" s="62" t="str">
        <f>IFERROR(VLOOKUP(A74,CustomScript[[#All],[Test '#]:[Level]],3,FALSE)," ")</f>
        <v>Focus that enters any element must be able to leave that element (in, through, throughout, and out).  If the method requires more than ESC, Arrow Keys, or Tab, the user must be informed of the method.</v>
      </c>
      <c r="D74" s="42"/>
      <c r="E74" s="42"/>
      <c r="F74" s="42"/>
      <c r="G74" s="42"/>
      <c r="H74" s="42"/>
      <c r="I74" s="42"/>
      <c r="J74" s="63">
        <f>IFERROR(VLOOKUP(B74,MasterTable[[#All],[WCAG guideline]:[Level]],3,FALSE)," ")</f>
        <v>2</v>
      </c>
      <c r="K74" s="44" t="str">
        <f>IFERROR(VLOOKUP(B74,MasterTable[[#All],[WCAG guideline]:[2.2 Level]],4,FALSE), " ")</f>
        <v>A</v>
      </c>
    </row>
    <row r="75" spans="1:11" ht="67.2" customHeight="1" x14ac:dyDescent="0.3">
      <c r="A75" s="159" t="s">
        <v>217</v>
      </c>
      <c r="B75" s="62" t="str">
        <f>IFERROR(VLOOKUP(A75,CustomScript[[#All],[Test '#]:[Level]],2,FALSE)," ")</f>
        <v>2.1.4 Character Key Shortcuts</v>
      </c>
      <c r="C75" s="62" t="str">
        <f>IFERROR(VLOOKUP(A75,CustomScript[[#All],[Test '#]:[Level]],3,FALSE)," ")</f>
        <v>If any single-key shortcut exists then there is a mechanism exists to remap, or turn-off the shortcut, or is active on focus only.</v>
      </c>
      <c r="D75" s="42"/>
      <c r="E75" s="42"/>
      <c r="F75" s="42"/>
      <c r="G75" s="42"/>
      <c r="H75" s="42"/>
      <c r="I75" s="42"/>
      <c r="J75" s="63">
        <f>IFERROR(VLOOKUP(B75,MasterTable[[#All],[WCAG guideline]:[Level]],3,FALSE)," ")</f>
        <v>2.1</v>
      </c>
      <c r="K75" s="44" t="str">
        <f>IFERROR(VLOOKUP(B75,MasterTable[[#All],[WCAG guideline]:[2.2 Level]],4,FALSE), " ")</f>
        <v>A</v>
      </c>
    </row>
    <row r="76" spans="1:11" ht="46.95" customHeight="1" x14ac:dyDescent="0.3">
      <c r="A76" s="159" t="s">
        <v>218</v>
      </c>
      <c r="B76" s="62" t="str">
        <f>IFERROR(VLOOKUP(A76,CustomScript[[#All],[Test '#]:[Level]],2,FALSE)," ")</f>
        <v>2.2.1 Timing Adjustable</v>
      </c>
      <c r="C76" s="62" t="str">
        <f>IFERROR(VLOOKUP(A76,CustomScript[[#All],[Test '#]:[Level]],3,FALSE)," ")</f>
        <v>All users are alerted of all pending time-outs.</v>
      </c>
      <c r="D76" s="42"/>
      <c r="E76" s="42"/>
      <c r="F76" s="42"/>
      <c r="G76" s="42"/>
      <c r="H76" s="42"/>
      <c r="I76" s="42"/>
      <c r="J76" s="63">
        <f>IFERROR(VLOOKUP(B76,MasterTable[[#All],[WCAG guideline]:[Level]],3,FALSE)," ")</f>
        <v>2</v>
      </c>
      <c r="K76" s="44" t="str">
        <f>IFERROR(VLOOKUP(B76,MasterTable[[#All],[WCAG guideline]:[2.2 Level]],4,FALSE), " ")</f>
        <v>A</v>
      </c>
    </row>
    <row r="77" spans="1:11" ht="73.2" customHeight="1" x14ac:dyDescent="0.3">
      <c r="A77" s="159" t="s">
        <v>219</v>
      </c>
      <c r="B77" s="62" t="str">
        <f>IFERROR(VLOOKUP(A77,CustomScript[[#All],[Test '#]:[Level]],2,FALSE)," ")</f>
        <v>2.2.1 Timing Adjustable</v>
      </c>
      <c r="C77" s="62" t="str">
        <f>IFERROR(VLOOKUP(A77,CustomScript[[#All],[Test '#]:[Level]],3,FALSE)," ")</f>
        <v>When a time-out occurs, and the alert notification is available for at least twenty seconds.</v>
      </c>
      <c r="D77" s="42"/>
      <c r="E77" s="42"/>
      <c r="F77" s="42"/>
      <c r="G77" s="42"/>
      <c r="H77" s="42"/>
      <c r="I77" s="42"/>
      <c r="J77" s="63">
        <f>IFERROR(VLOOKUP(B77,MasterTable[[#All],[WCAG guideline]:[Level]],3,FALSE)," ")</f>
        <v>2</v>
      </c>
      <c r="K77" s="44" t="str">
        <f>IFERROR(VLOOKUP(B77,MasterTable[[#All],[WCAG guideline]:[2.2 Level]],4,FALSE), " ")</f>
        <v>A</v>
      </c>
    </row>
    <row r="78" spans="1:11" ht="103.2" customHeight="1" x14ac:dyDescent="0.3">
      <c r="A78" s="159" t="s">
        <v>220</v>
      </c>
      <c r="B78" s="62" t="str">
        <f>IFERROR(VLOOKUP(A78,CustomScript[[#All],[Test '#]:[Level]],2,FALSE)," ")</f>
        <v>2.2.1 Timing Adjustable</v>
      </c>
      <c r="C78" s="62" t="str">
        <f>IFERROR(VLOOKUP(A78,CustomScript[[#All],[Test '#]:[Level]],3,FALSE)," ")</f>
        <v>Any time-out occurs and users can request more time of at least ten times the original limit (20 seconds minimum means it can be extended to 200 seconds or 3 minutes and 20 seconds) or disable the timer or has a time limit of 20 hours or more.</v>
      </c>
      <c r="D78" s="42"/>
      <c r="E78" s="42"/>
      <c r="F78" s="42"/>
      <c r="G78" s="42"/>
      <c r="H78" s="42"/>
      <c r="I78" s="42"/>
      <c r="J78" s="63">
        <f>IFERROR(VLOOKUP(B78,MasterTable[[#All],[WCAG guideline]:[Level]],3,FALSE)," ")</f>
        <v>2</v>
      </c>
      <c r="K78" s="44" t="str">
        <f>IFERROR(VLOOKUP(B78,MasterTable[[#All],[WCAG guideline]:[2.2 Level]],4,FALSE), " ")</f>
        <v>A</v>
      </c>
    </row>
    <row r="79" spans="1:11" ht="94.2" customHeight="1" x14ac:dyDescent="0.3">
      <c r="A79" s="159" t="s">
        <v>221</v>
      </c>
      <c r="B79" s="62" t="str">
        <f>IFERROR(VLOOKUP(A79,CustomScript[[#All],[Test '#]:[Level]],2,FALSE)," ")</f>
        <v>2.2.2 Pause, Stop, Hide</v>
      </c>
      <c r="C79" s="62" t="str">
        <f>IFERROR(VLOOKUP(A79,CustomScript[[#All],[Test '#]:[Level]],3,FALSE)," ")</f>
        <v>Any and all moving, blinking, scrolling, or updating content that is non-essential and lasts for more than five seconds has a mechanism to pause, stop, or hide that content change.</v>
      </c>
      <c r="D79" s="42"/>
      <c r="E79" s="42"/>
      <c r="F79" s="42"/>
      <c r="G79" s="42"/>
      <c r="H79" s="42"/>
      <c r="I79" s="42"/>
      <c r="J79" s="63">
        <f>IFERROR(VLOOKUP(B79,MasterTable[[#All],[WCAG guideline]:[Level]],3,FALSE)," ")</f>
        <v>2</v>
      </c>
      <c r="K79" s="44" t="str">
        <f>IFERROR(VLOOKUP(B79,MasterTable[[#All],[WCAG guideline]:[2.2 Level]],4,FALSE), " ")</f>
        <v>A</v>
      </c>
    </row>
    <row r="80" spans="1:11" ht="72.599999999999994" customHeight="1" x14ac:dyDescent="0.3">
      <c r="A80" s="159" t="s">
        <v>222</v>
      </c>
      <c r="B80" s="62" t="str">
        <f>IFERROR(VLOOKUP(A80,CustomScript[[#All],[Test '#]:[Level]],2,FALSE)," ")</f>
        <v>2.2.2 Pause, Stop, Hide</v>
      </c>
      <c r="C80" s="62" t="str">
        <f>IFERROR(VLOOKUP(A80,CustomScript[[#All],[Test '#]:[Level]],3,FALSE)," ")</f>
        <v>All mechanisms to pause, stop or hide non-essential content that started automatically, is not the only content on the page, and lasts for more than five seconds function properly.</v>
      </c>
      <c r="D80" s="42"/>
      <c r="E80" s="42"/>
      <c r="F80" s="42"/>
      <c r="G80" s="42"/>
      <c r="H80" s="42"/>
      <c r="I80" s="42"/>
      <c r="J80" s="63">
        <f>IFERROR(VLOOKUP(B80,MasterTable[[#All],[WCAG guideline]:[Level]],3,FALSE)," ")</f>
        <v>2</v>
      </c>
      <c r="K80" s="44" t="str">
        <f>IFERROR(VLOOKUP(B80,MasterTable[[#All],[WCAG guideline]:[2.2 Level]],4,FALSE), " ")</f>
        <v>A</v>
      </c>
    </row>
    <row r="81" spans="1:11" ht="81" customHeight="1" x14ac:dyDescent="0.3">
      <c r="A81" s="159" t="s">
        <v>223</v>
      </c>
      <c r="B81" s="62" t="str">
        <f>IFERROR(VLOOKUP(A81,CustomScript[[#All],[Test '#]:[Level]],2,FALSE)," ")</f>
        <v>2.3.1 Three Flashes or Below Threshold</v>
      </c>
      <c r="C81" s="62" t="str">
        <f>IFERROR(VLOOKUP(A81,CustomScript[[#All],[Test '#]:[Level]],3,FALSE)," ")</f>
        <v>Flashing area does not exceed 25 percent of any 10-degree visual field on the screen (Flashing area is contained to a maximum area 1/36 of the screen area).</v>
      </c>
      <c r="D81" s="42"/>
      <c r="E81" s="42"/>
      <c r="F81" s="42"/>
      <c r="G81" s="42"/>
      <c r="H81" s="42"/>
      <c r="I81" s="42"/>
      <c r="J81" s="63">
        <f>IFERROR(VLOOKUP(B81,MasterTable[[#All],[WCAG guideline]:[Level]],3,FALSE)," ")</f>
        <v>2</v>
      </c>
      <c r="K81" s="44" t="str">
        <f>IFERROR(VLOOKUP(B81,MasterTable[[#All],[WCAG guideline]:[2.2 Level]],4,FALSE), " ")</f>
        <v>A</v>
      </c>
    </row>
    <row r="82" spans="1:11" ht="57.6" customHeight="1" x14ac:dyDescent="0.3">
      <c r="A82" s="159" t="s">
        <v>224</v>
      </c>
      <c r="B82" s="62" t="str">
        <f>IFERROR(VLOOKUP(A82,CustomScript[[#All],[Test '#]:[Level]],2,FALSE)," ")</f>
        <v>2.3.1 Three Flashes or Below Threshold</v>
      </c>
      <c r="C82" s="62" t="str">
        <f>IFERROR(VLOOKUP(A82,CustomScript[[#All],[Test '#]:[Level]],3,FALSE)," ")</f>
        <v>There are no more than three general flashes and no more than three red flashes within any one-second period.</v>
      </c>
      <c r="D82" s="42"/>
      <c r="E82" s="42"/>
      <c r="F82" s="42"/>
      <c r="G82" s="42"/>
      <c r="H82" s="42"/>
      <c r="I82" s="42"/>
      <c r="J82" s="63">
        <f>IFERROR(VLOOKUP(B82,MasterTable[[#All],[WCAG guideline]:[Level]],3,FALSE)," ")</f>
        <v>2</v>
      </c>
      <c r="K82" s="44" t="str">
        <f>IFERROR(VLOOKUP(B82,MasterTable[[#All],[WCAG guideline]:[2.2 Level]],4,FALSE), " ")</f>
        <v>A</v>
      </c>
    </row>
    <row r="83" spans="1:11" ht="62.4" customHeight="1" x14ac:dyDescent="0.3">
      <c r="A83" s="159" t="s">
        <v>225</v>
      </c>
      <c r="B83" s="62" t="str">
        <f>IFERROR(VLOOKUP(A83,CustomScript[[#All],[Test '#]:[Level]],2,FALSE)," ")</f>
        <v>2.4.1 Bypass Blocks</v>
      </c>
      <c r="C83" s="62" t="str">
        <f>IFERROR(VLOOKUP(A83,CustomScript[[#All],[Test '#]:[Level]],3,FALSE)," ")</f>
        <v>Content which repeats on multiple webpages has a mechanism of skipping over it.</v>
      </c>
      <c r="D83" s="42"/>
      <c r="E83" s="42"/>
      <c r="F83" s="42"/>
      <c r="G83" s="42"/>
      <c r="H83" s="42"/>
      <c r="I83" s="42"/>
      <c r="J83" s="63">
        <f>IFERROR(VLOOKUP(B83,MasterTable[[#All],[WCAG guideline]:[Level]],3,FALSE)," ")</f>
        <v>2</v>
      </c>
      <c r="K83" s="44" t="str">
        <f>IFERROR(VLOOKUP(B83,MasterTable[[#All],[WCAG guideline]:[2.2 Level]],4,FALSE), " ")</f>
        <v>A</v>
      </c>
    </row>
    <row r="84" spans="1:11" ht="91.95" customHeight="1" x14ac:dyDescent="0.3">
      <c r="A84" s="159" t="s">
        <v>226</v>
      </c>
      <c r="B84" s="62" t="str">
        <f>IFERROR(VLOOKUP(A84,CustomScript[[#All],[Test '#]:[Level]],2,FALSE)," ")</f>
        <v>2.4.1 Bypass Blocks</v>
      </c>
      <c r="C84" s="62" t="str">
        <f>IFERROR(VLOOKUP(A84,CustomScript[[#All],[Test '#]:[Level]],3,FALSE)," ")</f>
        <v>The mechanism that can be used to skip over the repeated content is available to the user prior to any repeated content.</v>
      </c>
      <c r="D84" s="42"/>
      <c r="E84" s="42"/>
      <c r="F84" s="42"/>
      <c r="G84" s="42"/>
      <c r="H84" s="42"/>
      <c r="I84" s="42"/>
      <c r="J84" s="63">
        <f>IFERROR(VLOOKUP(B84,MasterTable[[#All],[WCAG guideline]:[Level]],3,FALSE)," ")</f>
        <v>2</v>
      </c>
      <c r="K84" s="44" t="str">
        <f>IFERROR(VLOOKUP(B84,MasterTable[[#All],[WCAG guideline]:[2.2 Level]],4,FALSE), " ")</f>
        <v>A</v>
      </c>
    </row>
    <row r="85" spans="1:11" ht="66.599999999999994" customHeight="1" x14ac:dyDescent="0.3">
      <c r="A85" s="159" t="s">
        <v>227</v>
      </c>
      <c r="B85" s="62" t="str">
        <f>IFERROR(VLOOKUP(A85,CustomScript[[#All],[Test '#]:[Level]],2,FALSE)," ")</f>
        <v>2.4.2 Page Titled</v>
      </c>
      <c r="C85" s="62" t="str">
        <f>IFERROR(VLOOKUP(A85,CustomScript[[#All],[Test '#]:[Level]],3,FALSE)," ")</f>
        <v xml:space="preserve">There is a Page title in plain language (not code) within the &lt;title&gt; attribute. </v>
      </c>
      <c r="D85" s="42"/>
      <c r="E85" s="42"/>
      <c r="F85" s="42"/>
      <c r="G85" s="42"/>
      <c r="H85" s="42"/>
      <c r="I85" s="42"/>
      <c r="J85" s="63">
        <f>IFERROR(VLOOKUP(B85,MasterTable[[#All],[WCAG guideline]:[Level]],3,FALSE)," ")</f>
        <v>2</v>
      </c>
      <c r="K85" s="44" t="str">
        <f>IFERROR(VLOOKUP(B85,MasterTable[[#All],[WCAG guideline]:[2.2 Level]],4,FALSE), " ")</f>
        <v>A</v>
      </c>
    </row>
    <row r="86" spans="1:11" ht="70.2" customHeight="1" x14ac:dyDescent="0.3">
      <c r="A86" s="159" t="s">
        <v>228</v>
      </c>
      <c r="B86" s="62" t="str">
        <f>IFERROR(VLOOKUP(A86,CustomScript[[#All],[Test '#]:[Level]],2,FALSE)," ")</f>
        <v>2.4.2 Page Titled</v>
      </c>
      <c r="C86" s="62" t="str">
        <f>IFERROR(VLOOKUP(A86,CustomScript[[#All],[Test '#]:[Level]],3,FALSE)," ")</f>
        <v>All pages have a title, which details the topic or purpose of the page.  Titles should be organized from most-specific to least-specific.</v>
      </c>
      <c r="D86" s="42"/>
      <c r="E86" s="42"/>
      <c r="F86" s="42"/>
      <c r="G86" s="42"/>
      <c r="H86" s="42"/>
      <c r="I86" s="42"/>
      <c r="J86" s="63">
        <f>IFERROR(VLOOKUP(B86,MasterTable[[#All],[WCAG guideline]:[Level]],3,FALSE)," ")</f>
        <v>2</v>
      </c>
      <c r="K86" s="44" t="str">
        <f>IFERROR(VLOOKUP(B86,MasterTable[[#All],[WCAG guideline]:[2.2 Level]],4,FALSE), " ")</f>
        <v>A</v>
      </c>
    </row>
    <row r="87" spans="1:11" ht="49.2" customHeight="1" x14ac:dyDescent="0.3">
      <c r="A87" s="159" t="s">
        <v>229</v>
      </c>
      <c r="B87" s="62" t="str">
        <f>IFERROR(VLOOKUP(A87,CustomScript[[#All],[Test '#]:[Level]],2,FALSE)," ")</f>
        <v>2.4.3 Focus Order</v>
      </c>
      <c r="C87" s="62" t="str">
        <f>IFERROR(VLOOKUP(A87,CustomScript[[#All],[Test '#]:[Level]],3,FALSE)," ")</f>
        <v>Focus order should closely follow the visual layout and design of the page.</v>
      </c>
      <c r="D87" s="42"/>
      <c r="E87" s="42"/>
      <c r="F87" s="42"/>
      <c r="G87" s="42"/>
      <c r="H87" s="42"/>
      <c r="I87" s="42"/>
      <c r="J87" s="63">
        <f>IFERROR(VLOOKUP(B87,MasterTable[[#All],[WCAG guideline]:[Level]],3,FALSE)," ")</f>
        <v>2</v>
      </c>
      <c r="K87" s="44" t="str">
        <f>IFERROR(VLOOKUP(B87,MasterTable[[#All],[WCAG guideline]:[2.2 Level]],4,FALSE), " ")</f>
        <v>A</v>
      </c>
    </row>
    <row r="88" spans="1:11" ht="52.2" customHeight="1" x14ac:dyDescent="0.3">
      <c r="A88" s="159" t="s">
        <v>230</v>
      </c>
      <c r="B88" s="62" t="str">
        <f>IFERROR(VLOOKUP(A88,CustomScript[[#All],[Test '#]:[Level]],2,FALSE)," ")</f>
        <v>2.4.3 Focus Order</v>
      </c>
      <c r="C88" s="62" t="str">
        <f>IFERROR(VLOOKUP(A88,CustomScript[[#All],[Test '#]:[Level]],3,FALSE)," ")</f>
        <v>Tabindex values must not interfere with the proper order of the page.</v>
      </c>
      <c r="D88" s="42"/>
      <c r="E88" s="42"/>
      <c r="F88" s="42"/>
      <c r="G88" s="42"/>
      <c r="H88" s="42"/>
      <c r="I88" s="42"/>
      <c r="J88" s="63">
        <f>IFERROR(VLOOKUP(B88,MasterTable[[#All],[WCAG guideline]:[Level]],3,FALSE)," ")</f>
        <v>2</v>
      </c>
      <c r="K88" s="44" t="str">
        <f>IFERROR(VLOOKUP(B88,MasterTable[[#All],[WCAG guideline]:[2.2 Level]],4,FALSE), " ")</f>
        <v>A</v>
      </c>
    </row>
    <row r="89" spans="1:11" ht="52.2" customHeight="1" x14ac:dyDescent="0.3">
      <c r="A89" s="159" t="s">
        <v>231</v>
      </c>
      <c r="B89" s="62" t="str">
        <f>IFERROR(VLOOKUP(A89,CustomScript[[#All],[Test '#]:[Level]],2,FALSE)," ")</f>
        <v>2.4.3 Focus Order</v>
      </c>
      <c r="C89" s="62" t="str">
        <f>IFERROR(VLOOKUP(A89,CustomScript[[#All],[Test '#]:[Level]],3,FALSE)," ")</f>
        <v>Modals or any popup/flyout must gain focus and keep focus until dismissed.</v>
      </c>
      <c r="D89" s="42"/>
      <c r="E89" s="42"/>
      <c r="F89" s="42"/>
      <c r="G89" s="42"/>
      <c r="H89" s="42"/>
      <c r="I89" s="42"/>
      <c r="J89" s="63">
        <f>IFERROR(VLOOKUP(B89,MasterTable[[#All],[WCAG guideline]:[Level]],3,FALSE)," ")</f>
        <v>2</v>
      </c>
      <c r="K89" s="44" t="str">
        <f>IFERROR(VLOOKUP(B89,MasterTable[[#All],[WCAG guideline]:[2.2 Level]],4,FALSE), " ")</f>
        <v>A</v>
      </c>
    </row>
    <row r="90" spans="1:11" ht="74.400000000000006" customHeight="1" x14ac:dyDescent="0.3">
      <c r="A90" s="159" t="s">
        <v>232</v>
      </c>
      <c r="B90" s="62" t="str">
        <f>IFERROR(VLOOKUP(A90,CustomScript[[#All],[Test '#]:[Level]],2,FALSE)," ")</f>
        <v>2.4.3 Focus Order</v>
      </c>
      <c r="C90" s="62" t="str">
        <f>IFERROR(VLOOKUP(A90,CustomScript[[#All],[Test '#]:[Level]],3,FALSE)," ")</f>
        <v>Focus moves to revealed content, or it is the next Tab stop and or instructions/ status are provided when focus does not move to revealed content.</v>
      </c>
      <c r="D90" s="42"/>
      <c r="E90" s="42"/>
      <c r="F90" s="42"/>
      <c r="G90" s="42"/>
      <c r="H90" s="42"/>
      <c r="I90" s="42"/>
      <c r="J90" s="63">
        <f>IFERROR(VLOOKUP(B90,MasterTable[[#All],[WCAG guideline]:[Level]],3,FALSE)," ")</f>
        <v>2</v>
      </c>
      <c r="K90" s="44" t="str">
        <f>IFERROR(VLOOKUP(B90,MasterTable[[#All],[WCAG guideline]:[2.2 Level]],4,FALSE), " ")</f>
        <v>A</v>
      </c>
    </row>
    <row r="91" spans="1:11" ht="81" customHeight="1" x14ac:dyDescent="0.3">
      <c r="A91" s="159" t="s">
        <v>233</v>
      </c>
      <c r="B91" s="62" t="str">
        <f>IFERROR(VLOOKUP(A91,CustomScript[[#All],[Test '#]:[Level]],2,FALSE)," ")</f>
        <v>2.4.3 Focus Order</v>
      </c>
      <c r="C91" s="62" t="str">
        <f>IFERROR(VLOOKUP(A91,CustomScript[[#All],[Test '#]:[Level]],3,FALSE)," ")</f>
        <v>When triggered on hover, if dismissed keyboard focus moves past (beyond revealed content) dismissed content or keyboard focus moves into revealed content when not dismissed.</v>
      </c>
      <c r="D91" s="42"/>
      <c r="E91" s="42"/>
      <c r="F91" s="42"/>
      <c r="G91" s="42"/>
      <c r="H91" s="42"/>
      <c r="I91" s="42"/>
      <c r="J91" s="63">
        <f>IFERROR(VLOOKUP(B91,MasterTable[[#All],[WCAG guideline]:[Level]],3,FALSE)," ")</f>
        <v>2</v>
      </c>
      <c r="K91" s="44" t="str">
        <f>IFERROR(VLOOKUP(B91,MasterTable[[#All],[WCAG guideline]:[2.2 Level]],4,FALSE), " ")</f>
        <v>A</v>
      </c>
    </row>
    <row r="92" spans="1:11" ht="90.6" customHeight="1" x14ac:dyDescent="0.3">
      <c r="A92" s="159" t="s">
        <v>234</v>
      </c>
      <c r="B92" s="62" t="str">
        <f>IFERROR(VLOOKUP(A92,CustomScript[[#All],[Test '#]:[Level]],2,FALSE)," ")</f>
        <v>2.4.4 Link Purpose (In Context)</v>
      </c>
      <c r="C92" s="62" t="str">
        <f>IFERROR(VLOOKUP(A92,CustomScript[[#All],[Test '#]:[Level]],3,FALSE)," ")</f>
        <v>Link destination is described by link text on its own or by link text programmatically associated with other text on the page (except where the destination is ambiguous to all users)</v>
      </c>
      <c r="D92" s="42"/>
      <c r="E92" s="42"/>
      <c r="F92" s="42"/>
      <c r="G92" s="42"/>
      <c r="H92" s="42"/>
      <c r="I92" s="42"/>
      <c r="J92" s="63">
        <f>IFERROR(VLOOKUP(B92,MasterTable[[#All],[WCAG guideline]:[Level]],3,FALSE)," ")</f>
        <v>2</v>
      </c>
      <c r="K92" s="44" t="str">
        <f>IFERROR(VLOOKUP(B92,MasterTable[[#All],[WCAG guideline]:[2.2 Level]],4,FALSE), " ")</f>
        <v>A</v>
      </c>
    </row>
    <row r="93" spans="1:11" ht="69" customHeight="1" x14ac:dyDescent="0.3">
      <c r="A93" s="159" t="s">
        <v>235</v>
      </c>
      <c r="B93" s="62" t="str">
        <f>IFERROR(VLOOKUP(A93,CustomScript[[#All],[Test '#]:[Level]],2,FALSE)," ")</f>
        <v>2.4.5 Multiple Ways</v>
      </c>
      <c r="C93" s="62" t="str">
        <f>IFERROR(VLOOKUP(A93,CustomScript[[#All],[Test '#]:[Level]],3,FALSE)," ")</f>
        <v>Two or more mechanisms of finding a webpage are available, unless the page is accessed as part of a step in a process.</v>
      </c>
      <c r="D93" s="42"/>
      <c r="E93" s="42"/>
      <c r="F93" s="42"/>
      <c r="G93" s="42"/>
      <c r="H93" s="42"/>
      <c r="I93" s="42"/>
      <c r="J93" s="63">
        <f>IFERROR(VLOOKUP(B93,MasterTable[[#All],[WCAG guideline]:[Level]],3,FALSE)," ")</f>
        <v>2</v>
      </c>
      <c r="K93" s="44" t="str">
        <f>IFERROR(VLOOKUP(B93,MasterTable[[#All],[WCAG guideline]:[2.2 Level]],4,FALSE), " ")</f>
        <v>AA</v>
      </c>
    </row>
    <row r="94" spans="1:11" ht="70.2" customHeight="1" x14ac:dyDescent="0.3">
      <c r="A94" s="159" t="s">
        <v>236</v>
      </c>
      <c r="B94" s="62" t="str">
        <f>IFERROR(VLOOKUP(A94,CustomScript[[#All],[Test '#]:[Level]],2,FALSE)," ")</f>
        <v>2.4.6 Headings and Labels</v>
      </c>
      <c r="C94" s="62" t="str">
        <f>IFERROR(VLOOKUP(A94,CustomScript[[#All],[Test '#]:[Level]],3,FALSE)," ")</f>
        <v>Headings that exist accurately and concisely describe topic or purpose that follows it.</v>
      </c>
      <c r="D94" s="42"/>
      <c r="E94" s="42"/>
      <c r="F94" s="42"/>
      <c r="G94" s="42"/>
      <c r="H94" s="42"/>
      <c r="I94" s="42"/>
      <c r="J94" s="63">
        <f>IFERROR(VLOOKUP(B94,MasterTable[[#All],[WCAG guideline]:[Level]],3,FALSE)," ")</f>
        <v>2</v>
      </c>
      <c r="K94" s="44" t="str">
        <f>IFERROR(VLOOKUP(B94,MasterTable[[#All],[WCAG guideline]:[2.2 Level]],4,FALSE), " ")</f>
        <v>AA</v>
      </c>
    </row>
    <row r="95" spans="1:11" ht="48.6" customHeight="1" x14ac:dyDescent="0.3">
      <c r="A95" s="159" t="s">
        <v>237</v>
      </c>
      <c r="B95" s="62" t="str">
        <f>IFERROR(VLOOKUP(A95,CustomScript[[#All],[Test '#]:[Level]],2,FALSE)," ")</f>
        <v>2.4.6 Headings and Labels</v>
      </c>
      <c r="C95" s="62" t="str">
        <f>IFERROR(VLOOKUP(A95,CustomScript[[#All],[Test '#]:[Level]],3,FALSE)," ")</f>
        <v>Labels describe the purpose of the inputs they are associated with.</v>
      </c>
      <c r="D95" s="42"/>
      <c r="E95" s="42"/>
      <c r="F95" s="42"/>
      <c r="G95" s="42"/>
      <c r="H95" s="42"/>
      <c r="I95" s="42"/>
      <c r="J95" s="63">
        <f>IFERROR(VLOOKUP(B95,MasterTable[[#All],[WCAG guideline]:[Level]],3,FALSE)," ")</f>
        <v>2</v>
      </c>
      <c r="K95" s="44" t="str">
        <f>IFERROR(VLOOKUP(B95,MasterTable[[#All],[WCAG guideline]:[2.2 Level]],4,FALSE), " ")</f>
        <v>AA</v>
      </c>
    </row>
    <row r="96" spans="1:11" ht="61.2" customHeight="1" x14ac:dyDescent="0.3">
      <c r="A96" s="159" t="s">
        <v>238</v>
      </c>
      <c r="B96" s="62" t="str">
        <f>IFERROR(VLOOKUP(A96,CustomScript[[#All],[Test '#]:[Level]],2,FALSE)," ")</f>
        <v>2.4.7 Focus Visible</v>
      </c>
      <c r="C96" s="62" t="str">
        <f>IFERROR(VLOOKUP(A96,CustomScript[[#All],[Test '#]:[Level]],3,FALSE)," ")</f>
        <v>All interactive components have a visible indication of the currently focused interactive component.</v>
      </c>
      <c r="D96" s="42"/>
      <c r="E96" s="42"/>
      <c r="F96" s="42"/>
      <c r="G96" s="42"/>
      <c r="H96" s="42"/>
      <c r="I96" s="42"/>
      <c r="J96" s="63">
        <f>IFERROR(VLOOKUP(B96,MasterTable[[#All],[WCAG guideline]:[Level]],3,FALSE)," ")</f>
        <v>2</v>
      </c>
      <c r="K96" s="44" t="str">
        <f>IFERROR(VLOOKUP(B96,MasterTable[[#All],[WCAG guideline]:[2.2 Level]],4,FALSE), " ")</f>
        <v>AA</v>
      </c>
    </row>
    <row r="97" spans="1:11" ht="83.4" customHeight="1" x14ac:dyDescent="0.3">
      <c r="A97" s="159" t="s">
        <v>239</v>
      </c>
      <c r="B97" s="62" t="str">
        <f>IFERROR(VLOOKUP(A97,CustomScript[[#All],[Test '#]:[Level]],2,FALSE)," ")</f>
        <v>2.4.7 Focus Visible</v>
      </c>
      <c r="C97" s="62" t="str">
        <f>IFERROR(VLOOKUP(A97,CustomScript[[#All],[Test '#]:[Level]],3,FALSE)," ")</f>
        <v>A visual indication of focus occurs on the correct currently focused interactive component.</v>
      </c>
      <c r="D97" s="42"/>
      <c r="E97" s="42"/>
      <c r="F97" s="42"/>
      <c r="G97" s="42"/>
      <c r="H97" s="42"/>
      <c r="I97" s="42"/>
      <c r="J97" s="63">
        <f>IFERROR(VLOOKUP(B97,MasterTable[[#All],[WCAG guideline]:[Level]],3,FALSE)," ")</f>
        <v>2</v>
      </c>
      <c r="K97" s="44" t="str">
        <f>IFERROR(VLOOKUP(B97,MasterTable[[#All],[WCAG guideline]:[2.2 Level]],4,FALSE), " ")</f>
        <v>AA</v>
      </c>
    </row>
    <row r="98" spans="1:11" ht="74.400000000000006" customHeight="1" x14ac:dyDescent="0.3">
      <c r="A98" s="159" t="s">
        <v>240</v>
      </c>
      <c r="B98" s="62" t="str">
        <f>IFERROR(VLOOKUP(A98,CustomScript[[#All],[Test '#]:[Level]],2,FALSE)," ")</f>
        <v>2.4.11 Focus Not Obscured (Minimum)</v>
      </c>
      <c r="C98" s="62" t="str">
        <f>IFERROR(VLOOKUP(A98,CustomScript[[#All],[Test '#]:[Level]],3,FALSE)," ")</f>
        <v>A visual indication of focus is NOT entirely covered by other author created content.</v>
      </c>
      <c r="D98" s="42"/>
      <c r="E98" s="42"/>
      <c r="F98" s="42"/>
      <c r="G98" s="42"/>
      <c r="H98" s="42"/>
      <c r="I98" s="42"/>
      <c r="J98" s="63">
        <f>IFERROR(VLOOKUP(B98,MasterTable[[#All],[WCAG guideline]:[Level]],3,FALSE)," ")</f>
        <v>2.2000000000000002</v>
      </c>
      <c r="K98" s="44" t="str">
        <f>IFERROR(VLOOKUP(B98,MasterTable[[#All],[WCAG guideline]:[2.2 Level]],4,FALSE), " ")</f>
        <v>AA</v>
      </c>
    </row>
    <row r="99" spans="1:11" ht="96" customHeight="1" x14ac:dyDescent="0.3">
      <c r="A99" s="159" t="s">
        <v>241</v>
      </c>
      <c r="B99" s="62" t="str">
        <f>IFERROR(VLOOKUP(A99,CustomScript[[#All],[Test '#]:[Level]],2,FALSE)," ")</f>
        <v>2.5.1 Pointer Gestures</v>
      </c>
      <c r="C99" s="62" t="str">
        <f>IFERROR(VLOOKUP(A99,CustomScript[[#All],[Test '#]:[Level]],3,FALSE)," ")</f>
        <v>All functionality which uses multipoint, or path-based gestures can be operated with a single pointer without a path-based gesture, unless essential.</v>
      </c>
      <c r="D99" s="42"/>
      <c r="E99" s="42"/>
      <c r="F99" s="42"/>
      <c r="G99" s="42"/>
      <c r="H99" s="42"/>
      <c r="I99" s="42"/>
      <c r="J99" s="63">
        <f>IFERROR(VLOOKUP(B99,MasterTable[[#All],[WCAG guideline]:[Level]],3,FALSE)," ")</f>
        <v>2.1</v>
      </c>
      <c r="K99" s="44" t="str">
        <f>IFERROR(VLOOKUP(B99,MasterTable[[#All],[WCAG guideline]:[2.2 Level]],4,FALSE), " ")</f>
        <v>A</v>
      </c>
    </row>
    <row r="100" spans="1:11" ht="45.6" customHeight="1" x14ac:dyDescent="0.3">
      <c r="A100" s="159" t="s">
        <v>242</v>
      </c>
      <c r="B100" s="62" t="str">
        <f>IFERROR(VLOOKUP(A100,CustomScript[[#All],[Test '#]:[Level]],2,FALSE)," ")</f>
        <v>2.5.2 Pointer Cancellation</v>
      </c>
      <c r="C100" s="62" t="str">
        <f>IFERROR(VLOOKUP(A100,CustomScript[[#All],[Test '#]:[Level]],3,FALSE)," ")</f>
        <v>Functionality operated with a single pointer must: Not fire on the down event, Fire on the up-event along with a way to abort or undo, Reverse the function on the up-event, or completing the function on the down event is essential.</v>
      </c>
      <c r="D100" s="42"/>
      <c r="E100" s="42"/>
      <c r="F100" s="42"/>
      <c r="G100" s="42"/>
      <c r="H100" s="42"/>
      <c r="I100" s="42"/>
      <c r="J100" s="63">
        <f>IFERROR(VLOOKUP(B100,MasterTable[[#All],[WCAG guideline]:[Level]],3,FALSE)," ")</f>
        <v>2.1</v>
      </c>
      <c r="K100" s="44" t="str">
        <f>IFERROR(VLOOKUP(B100,MasterTable[[#All],[WCAG guideline]:[2.2 Level]],4,FALSE), " ")</f>
        <v>A</v>
      </c>
    </row>
    <row r="101" spans="1:11" ht="85.2" customHeight="1" x14ac:dyDescent="0.3">
      <c r="A101" s="159" t="s">
        <v>243</v>
      </c>
      <c r="B101" s="62" t="str">
        <f>IFERROR(VLOOKUP(A101,CustomScript[[#All],[Test '#]:[Level]],2,FALSE)," ")</f>
        <v>2.5.3 Label in Name</v>
      </c>
      <c r="C101" s="62" t="str">
        <f>IFERROR(VLOOKUP(A101,CustomScript[[#All],[Test '#]:[Level]],3,FALSE)," ")</f>
        <v>The accessible name of any label includes all of the visual label's text.</v>
      </c>
      <c r="D101" s="42"/>
      <c r="E101" s="54"/>
      <c r="F101" s="54"/>
      <c r="G101" s="54"/>
      <c r="H101" s="54"/>
      <c r="I101" s="54"/>
      <c r="J101" s="63">
        <f>IFERROR(VLOOKUP(B101,MasterTable[[#All],[WCAG guideline]:[Level]],3,FALSE)," ")</f>
        <v>2.1</v>
      </c>
      <c r="K101" s="44" t="str">
        <f>IFERROR(VLOOKUP(B101,MasterTable[[#All],[WCAG guideline]:[2.2 Level]],4,FALSE), " ")</f>
        <v>A</v>
      </c>
    </row>
    <row r="102" spans="1:11" ht="84" customHeight="1" x14ac:dyDescent="0.3">
      <c r="A102" s="159" t="s">
        <v>244</v>
      </c>
      <c r="B102" s="62" t="str">
        <f>IFERROR(VLOOKUP(A102,CustomScript[[#All],[Test '#]:[Level]],2,FALSE)," ")</f>
        <v>2.5.4 Motion Actuation</v>
      </c>
      <c r="C102" s="62" t="str">
        <f>IFERROR(VLOOKUP(A102,CustomScript[[#All],[Test '#]:[Level]],3,FALSE)," ")</f>
        <v>Any functionality which is activated by device motion can be performed with a User interface component which does not require motion.</v>
      </c>
      <c r="D102" s="42"/>
      <c r="E102" s="54"/>
      <c r="F102" s="54"/>
      <c r="G102" s="54"/>
      <c r="H102" s="54"/>
      <c r="I102" s="54"/>
      <c r="J102" s="63">
        <f>IFERROR(VLOOKUP(B102,MasterTable[[#All],[WCAG guideline]:[Level]],3,FALSE)," ")</f>
        <v>2.1</v>
      </c>
      <c r="K102" s="44" t="str">
        <f>IFERROR(VLOOKUP(B102,MasterTable[[#All],[WCAG guideline]:[2.2 Level]],4,FALSE), " ")</f>
        <v>A</v>
      </c>
    </row>
    <row r="103" spans="1:11" ht="44.4" customHeight="1" x14ac:dyDescent="0.3">
      <c r="A103" s="159" t="s">
        <v>245</v>
      </c>
      <c r="B103" s="62" t="str">
        <f>IFERROR(VLOOKUP(A103,CustomScript[[#All],[Test '#]:[Level]],2,FALSE)," ")</f>
        <v>2.5.4 Motion Actuation</v>
      </c>
      <c r="C103" s="62" t="str">
        <f>IFERROR(VLOOKUP(A103,CustomScript[[#All],[Test '#]:[Level]],3,FALSE)," ")</f>
        <v>Any functionality which is activated by device motion can be disabled.</v>
      </c>
      <c r="D103" s="42"/>
      <c r="E103" s="54"/>
      <c r="F103" s="54"/>
      <c r="G103" s="54"/>
      <c r="H103" s="54"/>
      <c r="I103" s="54"/>
      <c r="J103" s="63">
        <f>IFERROR(VLOOKUP(B103,MasterTable[[#All],[WCAG guideline]:[Level]],3,FALSE)," ")</f>
        <v>2.1</v>
      </c>
      <c r="K103" s="44" t="str">
        <f>IFERROR(VLOOKUP(B103,MasterTable[[#All],[WCAG guideline]:[2.2 Level]],4,FALSE), " ")</f>
        <v>A</v>
      </c>
    </row>
    <row r="104" spans="1:11" ht="73.95" customHeight="1" x14ac:dyDescent="0.3">
      <c r="A104" s="159" t="s">
        <v>246</v>
      </c>
      <c r="B104" s="62" t="str">
        <f>IFERROR(VLOOKUP(A104,CustomScript[[#All],[Test '#]:[Level]],2,FALSE)," ")</f>
        <v>2.5.4 Motion Actuation</v>
      </c>
      <c r="C104" s="62" t="str">
        <f>IFERROR(VLOOKUP(A104,CustomScript[[#All],[Test '#]:[Level]],3,FALSE)," ")</f>
        <v>System level features which allow the user to disable motion actuation work as expected and are not disrupted or disabled.</v>
      </c>
      <c r="D104" s="42"/>
      <c r="E104" s="54"/>
      <c r="F104" s="54"/>
      <c r="G104" s="54"/>
      <c r="H104" s="54"/>
      <c r="I104" s="54"/>
      <c r="J104" s="63">
        <f>IFERROR(VLOOKUP(B104,MasterTable[[#All],[WCAG guideline]:[Level]],3,FALSE)," ")</f>
        <v>2.1</v>
      </c>
      <c r="K104" s="44" t="str">
        <f>IFERROR(VLOOKUP(B104,MasterTable[[#All],[WCAG guideline]:[2.2 Level]],4,FALSE), " ")</f>
        <v>A</v>
      </c>
    </row>
    <row r="105" spans="1:11" ht="138.6" customHeight="1" x14ac:dyDescent="0.3">
      <c r="A105" s="159" t="s">
        <v>247</v>
      </c>
      <c r="B105" s="62" t="str">
        <f>IFERROR(VLOOKUP(A105,CustomScript[[#All],[Test '#]:[Level]],2,FALSE)," ")</f>
        <v>2.5.7 Dragging Movements</v>
      </c>
      <c r="C105" s="62" t="str">
        <f>IFERROR(VLOOKUP(A105,CustomScript[[#All],[Test '#]:[Level]],3,FALSE)," ")</f>
        <v>All functionality that can be completed using dragging movements can also be achieved by a single pointer without dragging (specifically using only clicks from a pointer device or taps).</v>
      </c>
      <c r="D105" s="42"/>
      <c r="E105" s="54"/>
      <c r="F105" s="54"/>
      <c r="G105" s="54"/>
      <c r="H105" s="54"/>
      <c r="I105" s="54"/>
      <c r="J105" s="63">
        <f>IFERROR(VLOOKUP(B105,MasterTable[[#All],[WCAG guideline]:[Level]],3,FALSE)," ")</f>
        <v>2.2000000000000002</v>
      </c>
      <c r="K105" s="44" t="str">
        <f>IFERROR(VLOOKUP(B105,MasterTable[[#All],[WCAG guideline]:[2.2 Level]],4,FALSE), " ")</f>
        <v>AA</v>
      </c>
    </row>
    <row r="106" spans="1:11" ht="75" customHeight="1" x14ac:dyDescent="0.3">
      <c r="A106" s="159" t="s">
        <v>248</v>
      </c>
      <c r="B106" s="62" t="str">
        <f>IFERROR(VLOOKUP(A106,CustomScript[[#All],[Test '#]:[Level]],2,FALSE)," ")</f>
        <v>2.5.8 Target Size (Minimum)</v>
      </c>
      <c r="C106" s="62" t="str">
        <f>IFERROR(VLOOKUP(A106,CustomScript[[#All],[Test '#]:[Level]],3,FALSE)," ")</f>
        <v xml:space="preserve">All pointer inputs target size area are at least 24 by 24 CSS pixels, or a listed exception applies. </v>
      </c>
      <c r="D106" s="42"/>
      <c r="E106" s="54"/>
      <c r="F106" s="54"/>
      <c r="G106" s="54"/>
      <c r="H106" s="54"/>
      <c r="I106" s="54"/>
      <c r="J106" s="63">
        <f>IFERROR(VLOOKUP(B106,MasterTable[[#All],[WCAG guideline]:[Level]],3,FALSE)," ")</f>
        <v>2.2000000000000002</v>
      </c>
      <c r="K106" s="44" t="str">
        <f>IFERROR(VLOOKUP(B106,MasterTable[[#All],[WCAG guideline]:[2.2 Level]],4,FALSE), " ")</f>
        <v>AA</v>
      </c>
    </row>
    <row r="107" spans="1:11" ht="79.95" customHeight="1" x14ac:dyDescent="0.3">
      <c r="A107" s="159" t="s">
        <v>249</v>
      </c>
      <c r="B107" s="62" t="str">
        <f>IFERROR(VLOOKUP(A107,CustomScript[[#All],[Test '#]:[Level]],2,FALSE)," ")</f>
        <v>3.1.1 Language of Page</v>
      </c>
      <c r="C107" s="62" t="str">
        <f>IFERROR(VLOOKUP(A107,CustomScript[[#All],[Test '#]:[Level]],3,FALSE)," ")</f>
        <v>The default language of each page must be defined in the html tag.</v>
      </c>
      <c r="D107" s="42"/>
      <c r="E107" s="54"/>
      <c r="F107" s="54"/>
      <c r="G107" s="54"/>
      <c r="H107" s="54"/>
      <c r="I107" s="54"/>
      <c r="J107" s="63">
        <f>IFERROR(VLOOKUP(B107,MasterTable[[#All],[WCAG guideline]:[Level]],3,FALSE)," ")</f>
        <v>2</v>
      </c>
      <c r="K107" s="44" t="str">
        <f>IFERROR(VLOOKUP(B107,MasterTable[[#All],[WCAG guideline]:[2.2 Level]],4,FALSE), " ")</f>
        <v>A</v>
      </c>
    </row>
    <row r="108" spans="1:11" ht="165" customHeight="1" x14ac:dyDescent="0.3">
      <c r="A108" s="159" t="s">
        <v>250</v>
      </c>
      <c r="B108" s="62" t="str">
        <f>IFERROR(VLOOKUP(A108,CustomScript[[#All],[Test '#]:[Level]],2,FALSE)," ")</f>
        <v>3.1.2 Language of Parts</v>
      </c>
      <c r="C108" s="62" t="str">
        <f>IFERROR(VLOOKUP(A108,CustomScript[[#All],[Test '#]:[Level]],3,FALSE)," ")</f>
        <v>All text (content, image descriptions, form labels, etc.) in a different language than the page default is coded with the correct lang code for the different language used; aside from Proper names, technical terms, words without a defined language, and words which are part of the vernacular of the immediate surrounding text.</v>
      </c>
      <c r="D108" s="42"/>
      <c r="E108" s="54"/>
      <c r="F108" s="54"/>
      <c r="G108" s="54"/>
      <c r="H108" s="54"/>
      <c r="I108" s="54"/>
      <c r="J108" s="63">
        <f>IFERROR(VLOOKUP(B108,MasterTable[[#All],[WCAG guideline]:[Level]],3,FALSE)," ")</f>
        <v>2</v>
      </c>
      <c r="K108" s="44" t="str">
        <f>IFERROR(VLOOKUP(B108,MasterTable[[#All],[WCAG guideline]:[2.2 Level]],4,FALSE), " ")</f>
        <v>AA</v>
      </c>
    </row>
    <row r="109" spans="1:11" ht="97.95" customHeight="1" x14ac:dyDescent="0.3">
      <c r="A109" s="159" t="s">
        <v>251</v>
      </c>
      <c r="B109" s="62" t="str">
        <f>IFERROR(VLOOKUP(A109,CustomScript[[#All],[Test '#]:[Level]],2,FALSE)," ")</f>
        <v>3.2.1 On Focus</v>
      </c>
      <c r="C109" s="62" t="str">
        <f>IFERROR(VLOOKUP(A109,CustomScript[[#All],[Test '#]:[Level]],3,FALSE)," ")</f>
        <v>When any interactive component gains focus (keyboard or mouse), it does NOT trigger a change in context.</v>
      </c>
      <c r="D109" s="42"/>
      <c r="E109" s="54"/>
      <c r="F109" s="54"/>
      <c r="G109" s="54"/>
      <c r="H109" s="54"/>
      <c r="I109" s="54"/>
      <c r="J109" s="63">
        <f>IFERROR(VLOOKUP(B109,MasterTable[[#All],[WCAG guideline]:[Level]],3,FALSE)," ")</f>
        <v>2</v>
      </c>
      <c r="K109" s="44" t="str">
        <f>IFERROR(VLOOKUP(B109,MasterTable[[#All],[WCAG guideline]:[2.2 Level]],4,FALSE), " ")</f>
        <v>A</v>
      </c>
    </row>
    <row r="110" spans="1:11" ht="76.95" customHeight="1" x14ac:dyDescent="0.3">
      <c r="A110" s="159" t="s">
        <v>252</v>
      </c>
      <c r="B110" s="62" t="str">
        <f>IFERROR(VLOOKUP(A110,CustomScript[[#All],[Test '#]:[Level]],2,FALSE)," ")</f>
        <v>3.2.2 On Input</v>
      </c>
      <c r="C110" s="62" t="str">
        <f>IFERROR(VLOOKUP(A110,CustomScript[[#All],[Test '#]:[Level]],3,FALSE)," ")</f>
        <v>When the setting or value of a User Interface component is changed, that does not trigger a change of context unless the user is informed of the behavior beforehand.</v>
      </c>
      <c r="D110" s="42"/>
      <c r="E110" s="54"/>
      <c r="F110" s="54"/>
      <c r="G110" s="54"/>
      <c r="H110" s="54"/>
      <c r="I110" s="54"/>
      <c r="J110" s="63">
        <f>IFERROR(VLOOKUP(B110,MasterTable[[#All],[WCAG guideline]:[Level]],3,FALSE)," ")</f>
        <v>2</v>
      </c>
      <c r="K110" s="44" t="str">
        <f>IFERROR(VLOOKUP(B110,MasterTable[[#All],[WCAG guideline]:[2.2 Level]],4,FALSE), " ")</f>
        <v>A</v>
      </c>
    </row>
    <row r="111" spans="1:11" ht="108" customHeight="1" x14ac:dyDescent="0.3">
      <c r="A111" s="159" t="s">
        <v>253</v>
      </c>
      <c r="B111" s="62" t="str">
        <f>IFERROR(VLOOKUP(A111,CustomScript[[#All],[Test '#]:[Level]],2,FALSE)," ")</f>
        <v>3.2.3 Consistent Navigation</v>
      </c>
      <c r="C111" s="62" t="str">
        <f>IFERROR(VLOOKUP(A111,CustomScript[[#All],[Test '#]:[Level]],3,FALSE)," ")</f>
        <v>Navigations which are utilized on multiple pages keep the same relative order on all pages, unless the user initiates the change. (Items can be removed or added, but they must maintain the same order relative to each other)</v>
      </c>
      <c r="D111" s="42"/>
      <c r="E111" s="54"/>
      <c r="F111" s="54"/>
      <c r="G111" s="54"/>
      <c r="H111" s="54"/>
      <c r="I111" s="54"/>
      <c r="J111" s="63">
        <f>IFERROR(VLOOKUP(B111,MasterTable[[#All],[WCAG guideline]:[Level]],3,FALSE)," ")</f>
        <v>2</v>
      </c>
      <c r="K111" s="44" t="str">
        <f>IFERROR(VLOOKUP(B111,MasterTable[[#All],[WCAG guideline]:[2.2 Level]],4,FALSE), " ")</f>
        <v>AA</v>
      </c>
    </row>
    <row r="112" spans="1:11" ht="94.95" customHeight="1" x14ac:dyDescent="0.3">
      <c r="A112" s="159" t="s">
        <v>254</v>
      </c>
      <c r="B112" s="62" t="str">
        <f>IFERROR(VLOOKUP(A112,CustomScript[[#All],[Test '#]:[Level]],2,FALSE)," ")</f>
        <v>3.2.4 Consistent Identification</v>
      </c>
      <c r="C112" s="62" t="str">
        <f>IFERROR(VLOOKUP(A112,CustomScript[[#All],[Test '#]:[Level]],3,FALSE)," ")</f>
        <v>Any components with similar functionality used on multiple pages must be labeled identically and function identically. (e.g. a header Search field must be labeled the same on all pages)</v>
      </c>
      <c r="D112" s="42"/>
      <c r="E112" s="54"/>
      <c r="F112" s="54"/>
      <c r="G112" s="54"/>
      <c r="H112" s="54"/>
      <c r="I112" s="54"/>
      <c r="J112" s="63">
        <f>IFERROR(VLOOKUP(B112,MasterTable[[#All],[WCAG guideline]:[Level]],3,FALSE)," ")</f>
        <v>2</v>
      </c>
      <c r="K112" s="44" t="str">
        <f>IFERROR(VLOOKUP(B112,MasterTable[[#All],[WCAG guideline]:[2.2 Level]],4,FALSE), " ")</f>
        <v>AA</v>
      </c>
    </row>
    <row r="113" spans="1:11" ht="75" customHeight="1" x14ac:dyDescent="0.3">
      <c r="A113" s="159" t="s">
        <v>255</v>
      </c>
      <c r="B113" s="62" t="str">
        <f>IFERROR(VLOOKUP(A113,CustomScript[[#All],[Test '#]:[Level]],2,FALSE)," ")</f>
        <v>3.2.4 Consistent Identification</v>
      </c>
      <c r="C113" s="62" t="str">
        <f>IFERROR(VLOOKUP(A113,CustomScript[[#All],[Test '#]:[Level]],3,FALSE)," ")</f>
        <v>When the link text plus context is fully equivalent, then the two links navigate to the same destination, or the two user controls execute the same function.</v>
      </c>
      <c r="D113" s="42"/>
      <c r="E113" s="54"/>
      <c r="F113" s="54"/>
      <c r="G113" s="54"/>
      <c r="H113" s="54"/>
      <c r="I113" s="54"/>
      <c r="J113" s="63">
        <f>IFERROR(VLOOKUP(B113,MasterTable[[#All],[WCAG guideline]:[Level]],3,FALSE)," ")</f>
        <v>2</v>
      </c>
      <c r="K113" s="44" t="str">
        <f>IFERROR(VLOOKUP(B113,MasterTable[[#All],[WCAG guideline]:[2.2 Level]],4,FALSE), " ")</f>
        <v>AA</v>
      </c>
    </row>
    <row r="114" spans="1:11" ht="80.400000000000006" customHeight="1" x14ac:dyDescent="0.3">
      <c r="A114" s="159" t="s">
        <v>256</v>
      </c>
      <c r="B114" s="62" t="str">
        <f>IFERROR(VLOOKUP(A114,CustomScript[[#All],[Test '#]:[Level]],2,FALSE)," ")</f>
        <v>3.2.6 Consistent Help</v>
      </c>
      <c r="C114" s="62" t="str">
        <f>IFERROR(VLOOKUP(A114,CustomScript[[#All],[Test '#]:[Level]],3,FALSE)," ")</f>
        <v xml:space="preserve">All web pages with repeated help mechanisms, those help mechanisms occur in the same order relative to other page content. </v>
      </c>
      <c r="D114" s="42"/>
      <c r="E114" s="54"/>
      <c r="F114" s="54"/>
      <c r="G114" s="54"/>
      <c r="H114" s="54"/>
      <c r="I114" s="54"/>
      <c r="J114" s="63">
        <f>IFERROR(VLOOKUP(B114,MasterTable[[#All],[WCAG guideline]:[Level]],3,FALSE)," ")</f>
        <v>2.2000000000000002</v>
      </c>
      <c r="K114" s="44" t="str">
        <f>IFERROR(VLOOKUP(B114,MasterTable[[#All],[WCAG guideline]:[2.2 Level]],4,FALSE), " ")</f>
        <v>A</v>
      </c>
    </row>
    <row r="115" spans="1:11" ht="76.2" customHeight="1" x14ac:dyDescent="0.3">
      <c r="A115" s="159" t="s">
        <v>257</v>
      </c>
      <c r="B115" s="62" t="str">
        <f>IFERROR(VLOOKUP(A115,CustomScript[[#All],[Test '#]:[Level]],2,FALSE)," ")</f>
        <v>3.3.1 Error Identification</v>
      </c>
      <c r="C115" s="62" t="str">
        <f>IFERROR(VLOOKUP(A115,CustomScript[[#All],[Test '#]:[Level]],3,FALSE)," ")</f>
        <v xml:space="preserve">There is an alert whenever an input error is detected through validation. </v>
      </c>
      <c r="D115" s="42"/>
      <c r="E115" s="54"/>
      <c r="F115" s="54"/>
      <c r="G115" s="54"/>
      <c r="H115" s="54"/>
      <c r="I115" s="54"/>
      <c r="J115" s="63">
        <f>IFERROR(VLOOKUP(B115,MasterTable[[#All],[WCAG guideline]:[Level]],3,FALSE)," ")</f>
        <v>2</v>
      </c>
      <c r="K115" s="44" t="str">
        <f>IFERROR(VLOOKUP(B115,MasterTable[[#All],[WCAG guideline]:[2.2 Level]],4,FALSE), " ")</f>
        <v>A</v>
      </c>
    </row>
    <row r="116" spans="1:11" ht="80.400000000000006" customHeight="1" x14ac:dyDescent="0.3">
      <c r="A116" s="159" t="s">
        <v>258</v>
      </c>
      <c r="B116" s="62" t="str">
        <f>IFERROR(VLOOKUP(A116,CustomScript[[#All],[Test '#]:[Level]],2,FALSE)," ")</f>
        <v>3.3.1 Error Identification</v>
      </c>
      <c r="C116" s="62" t="str">
        <f>IFERROR(VLOOKUP(A116,CustomScript[[#All],[Test '#]:[Level]],3,FALSE)," ")</f>
        <v>Alerts are immediately perceived by screen reader AT users.</v>
      </c>
      <c r="D116" s="42"/>
      <c r="E116" s="54"/>
      <c r="F116" s="54"/>
      <c r="G116" s="54"/>
      <c r="H116" s="54"/>
      <c r="I116" s="54"/>
      <c r="J116" s="63">
        <f>IFERROR(VLOOKUP(B116,MasterTable[[#All],[WCAG guideline]:[Level]],3,FALSE)," ")</f>
        <v>2</v>
      </c>
      <c r="K116" s="44" t="str">
        <f>IFERROR(VLOOKUP(B116,MasterTable[[#All],[WCAG guideline]:[2.2 Level]],4,FALSE), " ")</f>
        <v>A</v>
      </c>
    </row>
    <row r="117" spans="1:11" ht="73.95" customHeight="1" x14ac:dyDescent="0.3">
      <c r="A117" s="159" t="s">
        <v>259</v>
      </c>
      <c r="B117" s="62" t="str">
        <f>IFERROR(VLOOKUP(A117,CustomScript[[#All],[Test '#]:[Level]],2,FALSE)," ")</f>
        <v>3.3.1 Error Identification</v>
      </c>
      <c r="C117" s="62" t="str">
        <f>IFERROR(VLOOKUP(A117,CustomScript[[#All],[Test '#]:[Level]],3,FALSE)," ")</f>
        <v>Detected input error alerts provide both the incorrect field and describe the error in text.</v>
      </c>
      <c r="D117" s="42"/>
      <c r="E117" s="54"/>
      <c r="F117" s="54"/>
      <c r="G117" s="54"/>
      <c r="H117" s="54"/>
      <c r="I117" s="54"/>
      <c r="J117" s="63">
        <f>IFERROR(VLOOKUP(B117,MasterTable[[#All],[WCAG guideline]:[Level]],3,FALSE)," ")</f>
        <v>2</v>
      </c>
      <c r="K117" s="44" t="str">
        <f>IFERROR(VLOOKUP(B117,MasterTable[[#All],[WCAG guideline]:[2.2 Level]],4,FALSE), " ")</f>
        <v>A</v>
      </c>
    </row>
    <row r="118" spans="1:11" ht="68.400000000000006" customHeight="1" x14ac:dyDescent="0.3">
      <c r="A118" s="159" t="s">
        <v>260</v>
      </c>
      <c r="B118" s="62" t="str">
        <f>IFERROR(VLOOKUP(A118,CustomScript[[#All],[Test '#]:[Level]],2,FALSE)," ")</f>
        <v>3.3.2 Labels or Instructions</v>
      </c>
      <c r="C118" s="62" t="str">
        <f>IFERROR(VLOOKUP(A118,CustomScript[[#All],[Test '#]:[Level]],3,FALSE)," ")</f>
        <v>Visible labels or instructions are available for all inputs and input groupings.</v>
      </c>
      <c r="D118" s="42"/>
      <c r="E118" s="54"/>
      <c r="F118" s="54"/>
      <c r="G118" s="54"/>
      <c r="H118" s="54"/>
      <c r="I118" s="54"/>
      <c r="J118" s="63">
        <f>IFERROR(VLOOKUP(B118,MasterTable[[#All],[WCAG guideline]:[Level]],3,FALSE)," ")</f>
        <v>2</v>
      </c>
      <c r="K118" s="44" t="str">
        <f>IFERROR(VLOOKUP(B118,MasterTable[[#All],[WCAG guideline]:[2.2 Level]],4,FALSE), " ")</f>
        <v>A</v>
      </c>
    </row>
    <row r="119" spans="1:11" ht="75" customHeight="1" x14ac:dyDescent="0.3">
      <c r="A119" s="159" t="s">
        <v>261</v>
      </c>
      <c r="B119" s="62" t="str">
        <f>IFERROR(VLOOKUP(A119,CustomScript[[#All],[Test '#]:[Level]],2,FALSE)," ")</f>
        <v>3.3.2 Labels or Instructions</v>
      </c>
      <c r="C119" s="62" t="str">
        <f>IFERROR(VLOOKUP(A119,CustomScript[[#All],[Test '#]:[Level]],3,FALSE)," ")</f>
        <v>Labels describe any required fields or required formatting requirements.  (e.g. If a MM/DD/YYYY format is required)</v>
      </c>
      <c r="D119" s="42"/>
      <c r="E119" s="54"/>
      <c r="F119" s="54"/>
      <c r="G119" s="54"/>
      <c r="H119" s="54"/>
      <c r="I119" s="54"/>
      <c r="J119" s="63">
        <f>IFERROR(VLOOKUP(B119,MasterTable[[#All],[WCAG guideline]:[Level]],3,FALSE)," ")</f>
        <v>2</v>
      </c>
      <c r="K119" s="44" t="str">
        <f>IFERROR(VLOOKUP(B119,MasterTable[[#All],[WCAG guideline]:[2.2 Level]],4,FALSE), " ")</f>
        <v>A</v>
      </c>
    </row>
    <row r="120" spans="1:11" ht="68.400000000000006" customHeight="1" x14ac:dyDescent="0.3">
      <c r="A120" s="159" t="s">
        <v>262</v>
      </c>
      <c r="B120" s="62" t="str">
        <f>IFERROR(VLOOKUP(A120,CustomScript[[#All],[Test '#]:[Level]],2,FALSE)," ")</f>
        <v>3.3.2 Labels or Instructions</v>
      </c>
      <c r="C120" s="62" t="str">
        <f>IFERROR(VLOOKUP(A120,CustomScript[[#All],[Test '#]:[Level]],3,FALSE)," ")</f>
        <v>For all form fields, the TITLE attribute is NOT the sole visual means of providing information (i.e., there is additional screen text or visual context).</v>
      </c>
      <c r="D120" s="42"/>
      <c r="E120" s="54"/>
      <c r="F120" s="54"/>
      <c r="G120" s="54"/>
      <c r="H120" s="54"/>
      <c r="I120" s="54"/>
      <c r="J120" s="63">
        <f>IFERROR(VLOOKUP(B120,MasterTable[[#All],[WCAG guideline]:[Level]],3,FALSE)," ")</f>
        <v>2</v>
      </c>
      <c r="K120" s="44" t="str">
        <f>IFERROR(VLOOKUP(B120,MasterTable[[#All],[WCAG guideline]:[2.2 Level]],4,FALSE), " ")</f>
        <v>A</v>
      </c>
    </row>
    <row r="121" spans="1:11" ht="87.6" customHeight="1" x14ac:dyDescent="0.3">
      <c r="A121" s="159" t="s">
        <v>263</v>
      </c>
      <c r="B121" s="62" t="str">
        <f>IFERROR(VLOOKUP(A121,CustomScript[[#All],[Test '#]:[Level]],2,FALSE)," ")</f>
        <v>3.3.3 Error Suggestion</v>
      </c>
      <c r="C121" s="62" t="str">
        <f>IFERROR(VLOOKUP(A121,CustomScript[[#All],[Test '#]:[Level]],3,FALSE)," ")</f>
        <v xml:space="preserve"> If an input error was detected due to a blank input on a required field, the user is informed of the fields which were left blank in the error message.</v>
      </c>
      <c r="D121" s="42"/>
      <c r="E121" s="54"/>
      <c r="F121" s="54"/>
      <c r="G121" s="54"/>
      <c r="H121" s="54"/>
      <c r="I121" s="54"/>
      <c r="J121" s="63">
        <f>IFERROR(VLOOKUP(B121,MasterTable[[#All],[WCAG guideline]:[Level]],3,FALSE)," ")</f>
        <v>2</v>
      </c>
      <c r="K121" s="44" t="str">
        <f>IFERROR(VLOOKUP(B121,MasterTable[[#All],[WCAG guideline]:[2.2 Level]],4,FALSE), " ")</f>
        <v>AA</v>
      </c>
    </row>
    <row r="122" spans="1:11" ht="78" customHeight="1" x14ac:dyDescent="0.3">
      <c r="A122" s="159" t="s">
        <v>264</v>
      </c>
      <c r="B122" s="62" t="str">
        <f>IFERROR(VLOOKUP(A122,CustomScript[[#All],[Test '#]:[Level]],2,FALSE)," ")</f>
        <v>3.3.3 Error Suggestion</v>
      </c>
      <c r="C122" s="62" t="str">
        <f>IFERROR(VLOOKUP(A122,CustomScript[[#All],[Test '#]:[Level]],3,FALSE)," ")</f>
        <v>Detected input error, when correction is known, provides specific format or value range.</v>
      </c>
      <c r="D122" s="42"/>
      <c r="E122" s="54"/>
      <c r="F122" s="54"/>
      <c r="G122" s="54"/>
      <c r="H122" s="54"/>
      <c r="I122" s="54"/>
      <c r="J122" s="63">
        <f>IFERROR(VLOOKUP(B122,MasterTable[[#All],[WCAG guideline]:[Level]],3,FALSE)," ")</f>
        <v>2</v>
      </c>
      <c r="K122" s="44" t="str">
        <f>IFERROR(VLOOKUP(B122,MasterTable[[#All],[WCAG guideline]:[2.2 Level]],4,FALSE), " ")</f>
        <v>AA</v>
      </c>
    </row>
    <row r="123" spans="1:11" ht="94.95" customHeight="1" x14ac:dyDescent="0.3">
      <c r="A123" s="159" t="s">
        <v>265</v>
      </c>
      <c r="B123" s="62" t="str">
        <f>IFERROR(VLOOKUP(A123,CustomScript[[#All],[Test '#]:[Level]],2,FALSE)," ")</f>
        <v>3.3.4 Error Prevention (legal, financial, data)</v>
      </c>
      <c r="C123" s="62" t="str">
        <f>IFERROR(VLOOKUP(A123,CustomScript[[#All],[Test '#]:[Level]],3,FALSE)," ")</f>
        <v>All forms that cause a legal commitment or financial obligation are either reversible, validated, or have a mechanism to confirm and correct the information prior to submission.</v>
      </c>
      <c r="D123" s="42"/>
      <c r="E123" s="54"/>
      <c r="F123" s="54"/>
      <c r="G123" s="54"/>
      <c r="H123" s="54"/>
      <c r="I123" s="54"/>
      <c r="J123" s="63">
        <f>IFERROR(VLOOKUP(B123,MasterTable[[#All],[WCAG guideline]:[Level]],3,FALSE)," ")</f>
        <v>2</v>
      </c>
      <c r="K123" s="44" t="str">
        <f>IFERROR(VLOOKUP(B123,MasterTable[[#All],[WCAG guideline]:[2.2 Level]],4,FALSE), " ")</f>
        <v>AA</v>
      </c>
    </row>
    <row r="124" spans="1:11" ht="90" customHeight="1" x14ac:dyDescent="0.3">
      <c r="A124" s="159" t="s">
        <v>266</v>
      </c>
      <c r="B124" s="62" t="str">
        <f>IFERROR(VLOOKUP(A124,CustomScript[[#All],[Test '#]:[Level]],2,FALSE)," ")</f>
        <v>3.3.7 Redundant Entry</v>
      </c>
      <c r="C124" s="62" t="str">
        <f>IFERROR(VLOOKUP(A124,CustomScript[[#All],[Test '#]:[Level]],3,FALSE)," ")</f>
        <v>Information previously entered by or provided to the user when required to enter again is offered as auto populated or user selected list or is a valid listed exception.</v>
      </c>
      <c r="D124" s="42"/>
      <c r="E124" s="54"/>
      <c r="F124" s="54"/>
      <c r="G124" s="54"/>
      <c r="H124" s="54"/>
      <c r="I124" s="54"/>
      <c r="J124" s="63">
        <f>IFERROR(VLOOKUP(B124,MasterTable[[#All],[WCAG guideline]:[Level]],3,FALSE)," ")</f>
        <v>2.2000000000000002</v>
      </c>
      <c r="K124" s="44" t="str">
        <f>IFERROR(VLOOKUP(B124,MasterTable[[#All],[WCAG guideline]:[2.2 Level]],4,FALSE), " ")</f>
        <v>A</v>
      </c>
    </row>
    <row r="125" spans="1:11" ht="83.4" customHeight="1" x14ac:dyDescent="0.3">
      <c r="A125" s="159" t="s">
        <v>267</v>
      </c>
      <c r="B125" s="62" t="str">
        <f>IFERROR(VLOOKUP(A125,CustomScript[[#All],[Test '#]:[Level]],2,FALSE)," ")</f>
        <v>3.3.8 Accessible Authentication (Minimum)</v>
      </c>
      <c r="C125" s="62" t="str">
        <f>IFERROR(VLOOKUP(A125,CustomScript[[#All],[Test '#]:[Level]],3,FALSE)," ")</f>
        <v xml:space="preserve">All authentication fields allow the paste function in those fields. </v>
      </c>
      <c r="D125" s="42"/>
      <c r="E125" s="54"/>
      <c r="F125" s="54"/>
      <c r="G125" s="54"/>
      <c r="H125" s="54"/>
      <c r="I125" s="54"/>
      <c r="J125" s="63">
        <f>IFERROR(VLOOKUP(B125,MasterTable[[#All],[WCAG guideline]:[Level]],3,FALSE)," ")</f>
        <v>2.2000000000000002</v>
      </c>
      <c r="K125" s="44" t="str">
        <f>IFERROR(VLOOKUP(B125,MasterTable[[#All],[WCAG guideline]:[2.2 Level]],4,FALSE), " ")</f>
        <v>AA</v>
      </c>
    </row>
    <row r="126" spans="1:11" ht="72.599999999999994" customHeight="1" x14ac:dyDescent="0.3">
      <c r="A126" s="159" t="s">
        <v>268</v>
      </c>
      <c r="B126" s="62" t="str">
        <f>IFERROR(VLOOKUP(A126,CustomScript[[#All],[Test '#]:[Level]],2,FALSE)," ")</f>
        <v>3.3.8 Accessible Authentication (Minimum)</v>
      </c>
      <c r="C126" s="62" t="str">
        <f>IFERROR(VLOOKUP(A126,CustomScript[[#All],[Test '#]:[Level]],3,FALSE)," ")</f>
        <v xml:space="preserve">All cognitive function tests required for any step in an authentication process have provided at least one of the four listed alternative options. </v>
      </c>
      <c r="D126" s="42"/>
      <c r="E126" s="54"/>
      <c r="F126" s="54"/>
      <c r="G126" s="54"/>
      <c r="H126" s="54"/>
      <c r="I126" s="54"/>
      <c r="J126" s="63">
        <f>IFERROR(VLOOKUP(B126,MasterTable[[#All],[WCAG guideline]:[Level]],3,FALSE)," ")</f>
        <v>2.2000000000000002</v>
      </c>
      <c r="K126" s="44" t="str">
        <f>IFERROR(VLOOKUP(B126,MasterTable[[#All],[WCAG guideline]:[2.2 Level]],4,FALSE), " ")</f>
        <v>AA</v>
      </c>
    </row>
    <row r="127" spans="1:11" ht="51" customHeight="1" x14ac:dyDescent="0.3">
      <c r="A127" s="159" t="s">
        <v>269</v>
      </c>
      <c r="B127" s="62" t="str">
        <f>IFERROR(VLOOKUP(A127,CustomScript[[#All],[Test '#]:[Level]],2,FALSE)," ")</f>
        <v>4.1.1 Parsing</v>
      </c>
      <c r="C127" s="62" t="str">
        <f>IFERROR(VLOOKUP(A127,CustomScript[[#All],[Test '#]:[Level]],3,FALSE)," ")</f>
        <v>Elements have proper start and end tags, are nested correctly, and do not contain duplicate or inappropriate attributes.</v>
      </c>
      <c r="D127" s="42"/>
      <c r="E127" s="54"/>
      <c r="F127" s="54"/>
      <c r="G127" s="54"/>
      <c r="H127" s="54"/>
      <c r="I127" s="54"/>
      <c r="J127" s="63">
        <f>IFERROR(VLOOKUP(B127,MasterTable[[#All],[WCAG guideline]:[Level]],3,FALSE)," ")</f>
        <v>2</v>
      </c>
      <c r="K127" s="44" t="str">
        <f>IFERROR(VLOOKUP(B127,MasterTable[[#All],[WCAG guideline]:[2.2 Level]],4,FALSE), " ")</f>
        <v>A</v>
      </c>
    </row>
    <row r="128" spans="1:11" ht="57" customHeight="1" x14ac:dyDescent="0.3">
      <c r="A128" s="159" t="s">
        <v>270</v>
      </c>
      <c r="B128" s="62" t="str">
        <f>IFERROR(VLOOKUP(A128,CustomScript[[#All],[Test '#]:[Level]],2,FALSE)," ")</f>
        <v>4.1.1 Parsing</v>
      </c>
      <c r="C128" s="62" t="str">
        <f>IFERROR(VLOOKUP(A128,CustomScript[[#All],[Test '#]:[Level]],3,FALSE)," ")</f>
        <v>The extension tool used finds NO parsing errors and no duplicate ids.</v>
      </c>
      <c r="D128" s="42"/>
      <c r="E128" s="54"/>
      <c r="F128" s="54"/>
      <c r="G128" s="54"/>
      <c r="H128" s="54"/>
      <c r="I128" s="54"/>
      <c r="J128" s="63">
        <f>IFERROR(VLOOKUP(B128,MasterTable[[#All],[WCAG guideline]:[Level]],3,FALSE)," ")</f>
        <v>2</v>
      </c>
      <c r="K128" s="44" t="str">
        <f>IFERROR(VLOOKUP(B128,MasterTable[[#All],[WCAG guideline]:[2.2 Level]],4,FALSE), " ")</f>
        <v>A</v>
      </c>
    </row>
    <row r="129" spans="1:11" ht="51" customHeight="1" x14ac:dyDescent="0.3">
      <c r="A129" s="159" t="s">
        <v>271</v>
      </c>
      <c r="B129" s="62" t="str">
        <f>IFERROR(VLOOKUP(A129,CustomScript[[#All],[Test '#]:[Level]],2,FALSE)," ")</f>
        <v>4.1.1 Parsing</v>
      </c>
      <c r="C129" s="62" t="str">
        <f>IFERROR(VLOOKUP(A129,CustomScript[[#All],[Test '#]:[Level]],3,FALSE)," ")</f>
        <v>Element IDs do not repeat more than once per page.</v>
      </c>
      <c r="D129" s="42"/>
      <c r="E129" s="54"/>
      <c r="F129" s="54"/>
      <c r="G129" s="54"/>
      <c r="H129" s="54"/>
      <c r="I129" s="54"/>
      <c r="J129" s="63">
        <f>IFERROR(VLOOKUP(B129,MasterTable[[#All],[WCAG guideline]:[Level]],3,FALSE)," ")</f>
        <v>2</v>
      </c>
      <c r="K129" s="44" t="str">
        <f>IFERROR(VLOOKUP(B129,MasterTable[[#All],[WCAG guideline]:[2.2 Level]],4,FALSE), " ")</f>
        <v>A</v>
      </c>
    </row>
    <row r="130" spans="1:11" ht="46.95" customHeight="1" x14ac:dyDescent="0.3">
      <c r="A130" s="159" t="s">
        <v>272</v>
      </c>
      <c r="B130" s="62" t="str">
        <f>IFERROR(VLOOKUP(A130,CustomScript[[#All],[Test '#]:[Level]],2,FALSE)," ")</f>
        <v>4.1.2 Name, Role, Value</v>
      </c>
      <c r="C130" s="62" t="str">
        <f>IFERROR(VLOOKUP(A130,CustomScript[[#All],[Test '#]:[Level]],3,FALSE)," ")</f>
        <v>All elements have appropriate accessible names and ARIA roles assigned.</v>
      </c>
      <c r="D130" s="42"/>
      <c r="E130" s="54"/>
      <c r="F130" s="54"/>
      <c r="G130" s="54"/>
      <c r="H130" s="54"/>
      <c r="I130" s="54"/>
      <c r="J130" s="63">
        <f>IFERROR(VLOOKUP(B130,MasterTable[[#All],[WCAG guideline]:[Level]],3,FALSE)," ")</f>
        <v>2</v>
      </c>
      <c r="K130" s="44" t="str">
        <f>IFERROR(VLOOKUP(B130,MasterTable[[#All],[WCAG guideline]:[2.2 Level]],4,FALSE), " ")</f>
        <v>A</v>
      </c>
    </row>
    <row r="131" spans="1:11" ht="82.2" customHeight="1" x14ac:dyDescent="0.3">
      <c r="A131" s="159" t="s">
        <v>273</v>
      </c>
      <c r="B131" s="62" t="str">
        <f>IFERROR(VLOOKUP(A131,CustomScript[[#All],[Test '#]:[Level]],2,FALSE)," ")</f>
        <v>4.1.2 Name, Role, Value</v>
      </c>
      <c r="C131" s="62" t="str">
        <f>IFERROR(VLOOKUP(A131,CustomScript[[#All],[Test '#]:[Level]],3,FALSE)," ")</f>
        <v>All custom functionality has the appropriate ARIA features for states, properties, and values implemented (e.g. aria-expanded, aria-haspopup)</v>
      </c>
      <c r="D131" s="42"/>
      <c r="E131" s="54"/>
      <c r="F131" s="54"/>
      <c r="G131" s="54"/>
      <c r="H131" s="54"/>
      <c r="I131" s="54"/>
      <c r="J131" s="63">
        <f>IFERROR(VLOOKUP(B131,MasterTable[[#All],[WCAG guideline]:[Level]],3,FALSE)," ")</f>
        <v>2</v>
      </c>
      <c r="K131" s="44" t="str">
        <f>IFERROR(VLOOKUP(B131,MasterTable[[#All],[WCAG guideline]:[2.2 Level]],4,FALSE), " ")</f>
        <v>A</v>
      </c>
    </row>
    <row r="132" spans="1:11" ht="109.2" customHeight="1" x14ac:dyDescent="0.3">
      <c r="A132" s="159" t="s">
        <v>274</v>
      </c>
      <c r="B132" s="62" t="str">
        <f>IFERROR(VLOOKUP(A132,CustomScript[[#All],[Test '#]:[Level]],2,FALSE)," ")</f>
        <v>4.1.2 Name, Role, Value</v>
      </c>
      <c r="C132" s="62" t="str">
        <f>IFERROR(VLOOKUP(A132,CustomScript[[#All],[Test '#]:[Level]],3,FALSE)," ")</f>
        <v xml:space="preserve">All multi-state components, native HTML and custom functionality, continually provide accurate, complete, and unambiguous Name, Role, and State (value) information.  </v>
      </c>
      <c r="D132" s="42"/>
      <c r="E132" s="54"/>
      <c r="F132" s="54"/>
      <c r="G132" s="54"/>
      <c r="H132" s="54"/>
      <c r="I132" s="54"/>
      <c r="J132" s="63">
        <f>IFERROR(VLOOKUP(B132,MasterTable[[#All],[WCAG guideline]:[Level]],3,FALSE)," ")</f>
        <v>2</v>
      </c>
      <c r="K132" s="44" t="str">
        <f>IFERROR(VLOOKUP(B132,MasterTable[[#All],[WCAG guideline]:[2.2 Level]],4,FALSE), " ")</f>
        <v>A</v>
      </c>
    </row>
    <row r="133" spans="1:11" ht="86.4" customHeight="1" x14ac:dyDescent="0.3">
      <c r="A133" s="159" t="s">
        <v>275</v>
      </c>
      <c r="B133" s="62" t="str">
        <f>IFERROR(VLOOKUP(A133,CustomScript[[#All],[Test '#]:[Level]],2,FALSE)," ")</f>
        <v>4.1.3 Status Messages</v>
      </c>
      <c r="C133" s="62" t="str">
        <f>IFERROR(VLOOKUP(A133,CustomScript[[#All],[Test '#]:[Level]],3,FALSE)," ")</f>
        <v>Status messages which change without a page reload notify users of assistive technologies without requiring focus.</v>
      </c>
      <c r="D133" s="42"/>
      <c r="E133" s="54"/>
      <c r="F133" s="54"/>
      <c r="G133" s="54"/>
      <c r="H133" s="54"/>
      <c r="I133" s="54"/>
      <c r="J133" s="63">
        <f>IFERROR(VLOOKUP(B133,MasterTable[[#All],[WCAG guideline]:[Level]],3,FALSE)," ")</f>
        <v>2.1</v>
      </c>
      <c r="K133" s="44" t="str">
        <f>IFERROR(VLOOKUP(B133,MasterTable[[#All],[WCAG guideline]:[2.2 Level]],4,FALSE), " ")</f>
        <v>AA</v>
      </c>
    </row>
    <row r="134" spans="1:11" ht="74.400000000000006" customHeight="1" x14ac:dyDescent="0.3">
      <c r="A134" s="159"/>
      <c r="B134" s="62" t="str">
        <f>IFERROR(VLOOKUP(A134,CustomScript[[#All],[Test '#]:[Level]],2,FALSE)," ")</f>
        <v xml:space="preserve"> </v>
      </c>
      <c r="C134" s="62" t="str">
        <f>IFERROR(VLOOKUP(A134,CustomScript[[#All],[Test '#]:[Level]],3,FALSE)," ")</f>
        <v xml:space="preserve"> </v>
      </c>
      <c r="D134" s="42"/>
      <c r="E134" s="54"/>
      <c r="F134" s="54"/>
      <c r="G134" s="54"/>
      <c r="H134" s="54"/>
      <c r="I134" s="54"/>
      <c r="J134" s="63" t="str">
        <f>IFERROR(VLOOKUP(B134,MasterTable[[#All],[WCAG guideline]:[Level]],3,FALSE)," ")</f>
        <v xml:space="preserve"> </v>
      </c>
      <c r="K134" s="44" t="str">
        <f>IFERROR(VLOOKUP(B134,MasterTable[[#All],[WCAG guideline]:[2.2 Level]],4,FALSE), " ")</f>
        <v xml:space="preserve"> </v>
      </c>
    </row>
    <row r="135" spans="1:11" ht="66.599999999999994" customHeight="1" x14ac:dyDescent="0.3">
      <c r="A135" s="159"/>
      <c r="B135" s="62" t="str">
        <f>IFERROR(VLOOKUP(A135,CustomScript[[#All],[Test '#]:[Level]],2,FALSE)," ")</f>
        <v xml:space="preserve"> </v>
      </c>
      <c r="C135" s="62" t="str">
        <f>IFERROR(VLOOKUP(A135,CustomScript[[#All],[Test '#]:[Level]],3,FALSE)," ")</f>
        <v xml:space="preserve"> </v>
      </c>
      <c r="D135" s="42"/>
      <c r="E135" s="54"/>
      <c r="F135" s="54"/>
      <c r="G135" s="54"/>
      <c r="H135" s="54"/>
      <c r="I135" s="54"/>
      <c r="J135" s="63" t="str">
        <f>IFERROR(VLOOKUP(B135,MasterTable[[#All],[WCAG guideline]:[Level]],3,FALSE)," ")</f>
        <v xml:space="preserve"> </v>
      </c>
      <c r="K135" s="44" t="str">
        <f>IFERROR(VLOOKUP(B135,MasterTable[[#All],[WCAG guideline]:[2.2 Level]],4,FALSE), " ")</f>
        <v xml:space="preserve"> </v>
      </c>
    </row>
    <row r="136" spans="1:11" ht="69" customHeight="1" x14ac:dyDescent="0.3">
      <c r="A136" s="159"/>
      <c r="B136" s="62" t="str">
        <f>IFERROR(VLOOKUP(A136,CustomScript[[#All],[Test '#]:[Level]],2,FALSE)," ")</f>
        <v xml:space="preserve"> </v>
      </c>
      <c r="C136" s="62" t="str">
        <f>IFERROR(VLOOKUP(A136,CustomScript[[#All],[Test '#]:[Level]],3,FALSE)," ")</f>
        <v xml:space="preserve"> </v>
      </c>
      <c r="D136" s="42"/>
      <c r="E136" s="54"/>
      <c r="F136" s="54"/>
      <c r="G136" s="54"/>
      <c r="H136" s="54"/>
      <c r="I136" s="54"/>
      <c r="J136" s="63" t="str">
        <f>IFERROR(VLOOKUP(B136,MasterTable[[#All],[WCAG guideline]:[Level]],3,FALSE)," ")</f>
        <v xml:space="preserve"> </v>
      </c>
      <c r="K136" s="44" t="str">
        <f>IFERROR(VLOOKUP(B136,MasterTable[[#All],[WCAG guideline]:[2.2 Level]],4,FALSE), " ")</f>
        <v xml:space="preserve"> </v>
      </c>
    </row>
    <row r="137" spans="1:11" ht="15.6" x14ac:dyDescent="0.3">
      <c r="A137" s="159"/>
      <c r="B137" s="62" t="str">
        <f>IFERROR(VLOOKUP(A137,CustomScript[[#All],[Test '#]:[Level]],2,FALSE)," ")</f>
        <v xml:space="preserve"> </v>
      </c>
      <c r="C137" s="62" t="str">
        <f>IFERROR(VLOOKUP(A137,CustomScript[[#All],[Test '#]:[Level]],3,FALSE)," ")</f>
        <v xml:space="preserve"> </v>
      </c>
      <c r="D137" s="42"/>
      <c r="E137" s="54"/>
      <c r="F137" s="54"/>
      <c r="G137" s="54"/>
      <c r="H137" s="54"/>
      <c r="I137" s="54"/>
      <c r="J137" s="63" t="str">
        <f>IFERROR(VLOOKUP(B137,MasterTable[[#All],[WCAG guideline]:[Level]],3,FALSE)," ")</f>
        <v xml:space="preserve"> </v>
      </c>
      <c r="K137" s="44" t="str">
        <f>IFERROR(VLOOKUP(B137,MasterTable[[#All],[WCAG guideline]:[2.2 Level]],4,FALSE), " ")</f>
        <v xml:space="preserve"> </v>
      </c>
    </row>
    <row r="138" spans="1:11" ht="15.6" x14ac:dyDescent="0.3">
      <c r="A138" s="159"/>
      <c r="B138" s="62" t="str">
        <f>IFERROR(VLOOKUP(A138,CustomScript[[#All],[Test '#]:[Level]],2,FALSE)," ")</f>
        <v xml:space="preserve"> </v>
      </c>
      <c r="C138" s="62" t="str">
        <f>IFERROR(VLOOKUP(A138,CustomScript[[#All],[Test '#]:[Level]],3,FALSE)," ")</f>
        <v xml:space="preserve"> </v>
      </c>
      <c r="D138" s="42"/>
      <c r="E138" s="54"/>
      <c r="F138" s="54"/>
      <c r="G138" s="54"/>
      <c r="H138" s="54"/>
      <c r="I138" s="54"/>
      <c r="J138" s="63" t="str">
        <f>IFERROR(VLOOKUP(B138,MasterTable[[#All],[WCAG guideline]:[Level]],3,FALSE)," ")</f>
        <v xml:space="preserve"> </v>
      </c>
      <c r="K138" s="44" t="str">
        <f>IFERROR(VLOOKUP(B138,MasterTable[[#All],[WCAG guideline]:[2.2 Level]],4,FALSE), " ")</f>
        <v xml:space="preserve"> </v>
      </c>
    </row>
    <row r="139" spans="1:11" ht="66" customHeight="1" x14ac:dyDescent="0.3">
      <c r="A139" s="159"/>
      <c r="B139" s="62" t="str">
        <f>IFERROR(VLOOKUP(A139,CustomScript[[#All],[Test '#]:[Level]],2,FALSE)," ")</f>
        <v xml:space="preserve"> </v>
      </c>
      <c r="C139" s="62" t="str">
        <f>IFERROR(VLOOKUP(A139,CustomScript[[#All],[Test '#]:[Level]],3,FALSE)," ")</f>
        <v xml:space="preserve"> </v>
      </c>
      <c r="D139" s="42"/>
      <c r="E139" s="54"/>
      <c r="F139" s="54"/>
      <c r="G139" s="54"/>
      <c r="H139" s="54"/>
      <c r="I139" s="54"/>
      <c r="J139" s="63" t="str">
        <f>IFERROR(VLOOKUP(B139,MasterTable[[#All],[WCAG guideline]:[Level]],3,FALSE)," ")</f>
        <v xml:space="preserve"> </v>
      </c>
      <c r="K139" s="44" t="str">
        <f>IFERROR(VLOOKUP(B139,MasterTable[[#All],[WCAG guideline]:[2.2 Level]],4,FALSE), " ")</f>
        <v xml:space="preserve"> </v>
      </c>
    </row>
    <row r="140" spans="1:11" ht="67.2" customHeight="1" x14ac:dyDescent="0.3">
      <c r="A140" s="159"/>
      <c r="B140" s="62" t="str">
        <f>IFERROR(VLOOKUP(A140,CustomScript[[#All],[Test '#]:[Level]],2,FALSE)," ")</f>
        <v xml:space="preserve"> </v>
      </c>
      <c r="C140" s="62" t="str">
        <f>IFERROR(VLOOKUP(A140,CustomScript[[#All],[Test '#]:[Level]],3,FALSE)," ")</f>
        <v xml:space="preserve"> </v>
      </c>
      <c r="D140" s="42"/>
      <c r="E140" s="54"/>
      <c r="F140" s="54"/>
      <c r="G140" s="54"/>
      <c r="H140" s="54"/>
      <c r="I140" s="54"/>
      <c r="J140" s="63" t="str">
        <f>IFERROR(VLOOKUP(B140,MasterTable[[#All],[WCAG guideline]:[Level]],3,FALSE)," ")</f>
        <v xml:space="preserve"> </v>
      </c>
      <c r="K140" s="44" t="str">
        <f>IFERROR(VLOOKUP(B140,MasterTable[[#All],[WCAG guideline]:[2.2 Level]],4,FALSE), " ")</f>
        <v xml:space="preserve"> </v>
      </c>
    </row>
    <row r="141" spans="1:11" ht="15.6" x14ac:dyDescent="0.3">
      <c r="A141" s="159"/>
      <c r="B141" s="62" t="str">
        <f>IFERROR(VLOOKUP(A141,CustomScript[[#All],[Test '#]:[Level]],2,FALSE)," ")</f>
        <v xml:space="preserve"> </v>
      </c>
      <c r="C141" s="62" t="str">
        <f>IFERROR(VLOOKUP(A141,CustomScript[[#All],[Test '#]:[Level]],3,FALSE)," ")</f>
        <v xml:space="preserve"> </v>
      </c>
      <c r="D141" s="42"/>
      <c r="E141" s="54"/>
      <c r="F141" s="54"/>
      <c r="G141" s="54"/>
      <c r="H141" s="54"/>
      <c r="I141" s="54"/>
      <c r="J141" s="63" t="str">
        <f>IFERROR(VLOOKUP(B141,MasterTable[[#All],[WCAG guideline]:[Level]],3,FALSE)," ")</f>
        <v xml:space="preserve"> </v>
      </c>
      <c r="K141" s="44" t="str">
        <f>IFERROR(VLOOKUP(B141,MasterTable[[#All],[WCAG guideline]:[2.2 Level]],4,FALSE), " ")</f>
        <v xml:space="preserve"> </v>
      </c>
    </row>
    <row r="142" spans="1:11" ht="15.6" x14ac:dyDescent="0.3">
      <c r="A142" s="81"/>
      <c r="B142" s="81"/>
      <c r="C142" s="64"/>
      <c r="D142" s="114"/>
      <c r="E142" s="114"/>
      <c r="F142" s="114"/>
      <c r="G142" s="114"/>
      <c r="H142" s="114"/>
      <c r="I142" s="114"/>
    </row>
    <row r="143" spans="1:11" ht="15.6" x14ac:dyDescent="0.3">
      <c r="A143" s="81"/>
      <c r="B143" s="81"/>
      <c r="C143" s="64"/>
      <c r="D143" s="114"/>
      <c r="E143" s="114"/>
      <c r="F143" s="114"/>
      <c r="G143" s="114"/>
      <c r="H143" s="114"/>
      <c r="I143" s="114"/>
    </row>
    <row r="144" spans="1:11" ht="15.6" x14ac:dyDescent="0.3">
      <c r="A144" s="81"/>
      <c r="B144" s="81"/>
      <c r="C144" s="64"/>
      <c r="D144" s="114"/>
      <c r="E144" s="114"/>
      <c r="F144" s="114"/>
      <c r="G144" s="114"/>
      <c r="H144" s="114"/>
      <c r="I144" s="114"/>
    </row>
    <row r="145" spans="1:9" ht="15.6" x14ac:dyDescent="0.3">
      <c r="A145" s="81"/>
      <c r="B145" s="81"/>
      <c r="C145" s="64"/>
      <c r="D145" s="114"/>
      <c r="E145" s="114"/>
      <c r="F145" s="114"/>
      <c r="G145" s="114"/>
      <c r="H145" s="114"/>
      <c r="I145" s="114"/>
    </row>
    <row r="146" spans="1:9" ht="15.6" x14ac:dyDescent="0.3">
      <c r="A146" s="81"/>
      <c r="B146" s="81"/>
      <c r="C146" s="64"/>
      <c r="D146" s="114"/>
      <c r="E146" s="114"/>
      <c r="F146" s="114"/>
      <c r="G146" s="114"/>
      <c r="H146" s="114"/>
      <c r="I146" s="114"/>
    </row>
    <row r="147" spans="1:9" ht="15.6" x14ac:dyDescent="0.3">
      <c r="A147" s="81"/>
      <c r="B147" s="81"/>
      <c r="C147" s="64"/>
      <c r="D147" s="114"/>
      <c r="E147" s="114"/>
      <c r="F147" s="114"/>
      <c r="G147" s="114"/>
      <c r="H147" s="114"/>
      <c r="I147" s="114"/>
    </row>
    <row r="148" spans="1:9" ht="15.6" x14ac:dyDescent="0.3">
      <c r="A148" s="81"/>
      <c r="B148" s="81"/>
      <c r="C148" s="64"/>
      <c r="D148" s="114"/>
      <c r="E148" s="114"/>
      <c r="F148" s="114"/>
      <c r="G148" s="114"/>
      <c r="H148" s="114"/>
      <c r="I148" s="114"/>
    </row>
    <row r="149" spans="1:9" ht="15.6" x14ac:dyDescent="0.3">
      <c r="A149" s="81"/>
      <c r="B149" s="81"/>
      <c r="C149" s="64"/>
      <c r="D149" s="114"/>
      <c r="E149" s="114"/>
      <c r="F149" s="114"/>
      <c r="G149" s="114"/>
      <c r="H149" s="114"/>
      <c r="I149" s="114"/>
    </row>
    <row r="150" spans="1:9" ht="15.6" x14ac:dyDescent="0.3">
      <c r="A150" s="81"/>
      <c r="B150" s="81"/>
      <c r="C150" s="64"/>
      <c r="D150" s="114"/>
      <c r="E150" s="114"/>
      <c r="F150" s="114"/>
      <c r="G150" s="114"/>
      <c r="H150" s="114"/>
      <c r="I150" s="114"/>
    </row>
    <row r="151" spans="1:9" ht="15.6" x14ac:dyDescent="0.3">
      <c r="A151" s="81"/>
      <c r="B151" s="81"/>
      <c r="C151" s="64"/>
      <c r="D151" s="114"/>
      <c r="E151" s="114"/>
      <c r="F151" s="114"/>
      <c r="G151" s="114"/>
      <c r="H151" s="114"/>
      <c r="I151" s="114"/>
    </row>
    <row r="152" spans="1:9" ht="15.6" x14ac:dyDescent="0.3">
      <c r="A152" s="81"/>
      <c r="B152" s="81"/>
      <c r="C152" s="114"/>
      <c r="D152" s="114"/>
      <c r="E152" s="114"/>
      <c r="F152" s="114"/>
      <c r="G152" s="114"/>
      <c r="H152" s="114"/>
      <c r="I152" s="114"/>
    </row>
    <row r="153" spans="1:9" ht="15.6" x14ac:dyDescent="0.3">
      <c r="A153" s="81"/>
      <c r="B153" s="81"/>
      <c r="C153" s="114"/>
      <c r="D153" s="114"/>
      <c r="E153" s="114"/>
      <c r="F153" s="114"/>
      <c r="G153" s="114"/>
      <c r="H153" s="114"/>
      <c r="I153" s="114"/>
    </row>
    <row r="154" spans="1:9" ht="15.6" x14ac:dyDescent="0.3">
      <c r="A154" s="81"/>
      <c r="B154" s="81"/>
      <c r="C154" s="114"/>
      <c r="D154" s="114"/>
      <c r="E154" s="114"/>
      <c r="F154" s="114"/>
      <c r="G154" s="114"/>
      <c r="H154" s="114"/>
      <c r="I154" s="114"/>
    </row>
    <row r="155" spans="1:9" ht="15.6" x14ac:dyDescent="0.3">
      <c r="A155" s="81"/>
      <c r="B155" s="81"/>
      <c r="C155" s="114"/>
      <c r="D155" s="114"/>
      <c r="E155" s="114"/>
      <c r="F155" s="114"/>
      <c r="G155" s="114"/>
      <c r="H155" s="114"/>
      <c r="I155" s="114"/>
    </row>
    <row r="156" spans="1:9" ht="15.6" x14ac:dyDescent="0.3">
      <c r="A156" s="81"/>
      <c r="B156" s="81"/>
      <c r="C156" s="114"/>
      <c r="D156" s="114"/>
      <c r="E156" s="114"/>
      <c r="F156" s="114"/>
      <c r="G156" s="114"/>
      <c r="H156" s="114"/>
      <c r="I156" s="114"/>
    </row>
    <row r="157" spans="1:9" ht="15.6" x14ac:dyDescent="0.3">
      <c r="A157" s="81"/>
      <c r="B157" s="81"/>
      <c r="C157" s="114"/>
      <c r="D157" s="114"/>
      <c r="E157" s="114"/>
      <c r="F157" s="114"/>
      <c r="G157" s="114"/>
      <c r="H157" s="114"/>
      <c r="I157" s="114"/>
    </row>
    <row r="158" spans="1:9" ht="15.6" x14ac:dyDescent="0.3">
      <c r="A158" s="81"/>
      <c r="B158" s="81"/>
      <c r="C158" s="114"/>
      <c r="D158" s="114"/>
      <c r="E158" s="114"/>
      <c r="F158" s="114"/>
      <c r="G158" s="114"/>
      <c r="H158" s="114"/>
      <c r="I158" s="114"/>
    </row>
    <row r="159" spans="1:9" ht="15.6" x14ac:dyDescent="0.3">
      <c r="A159" s="81"/>
      <c r="B159" s="81"/>
      <c r="C159" s="114"/>
      <c r="D159" s="114"/>
      <c r="E159" s="114"/>
      <c r="F159" s="114"/>
      <c r="G159" s="114"/>
      <c r="H159" s="114"/>
      <c r="I159" s="114"/>
    </row>
    <row r="160" spans="1:9" ht="15.6" x14ac:dyDescent="0.3">
      <c r="A160" s="81"/>
      <c r="B160" s="81"/>
      <c r="C160" s="114"/>
      <c r="D160" s="114"/>
      <c r="E160" s="114"/>
      <c r="F160" s="114"/>
      <c r="G160" s="114"/>
      <c r="H160" s="114"/>
      <c r="I160" s="114"/>
    </row>
    <row r="161" spans="1:9" ht="15.6" x14ac:dyDescent="0.3">
      <c r="A161" s="81"/>
      <c r="B161" s="81"/>
      <c r="C161" s="114"/>
      <c r="D161" s="114"/>
      <c r="E161" s="114"/>
      <c r="F161" s="114"/>
      <c r="G161" s="114"/>
      <c r="H161" s="114"/>
      <c r="I161" s="114"/>
    </row>
    <row r="162" spans="1:9" ht="15.6" x14ac:dyDescent="0.3">
      <c r="A162" s="81"/>
      <c r="B162" s="81"/>
      <c r="C162" s="114"/>
      <c r="D162" s="114"/>
      <c r="E162" s="114"/>
      <c r="F162" s="114"/>
      <c r="G162" s="114"/>
      <c r="H162" s="114"/>
      <c r="I162" s="114"/>
    </row>
    <row r="163" spans="1:9" ht="15.6" x14ac:dyDescent="0.3">
      <c r="A163" s="81"/>
      <c r="B163" s="81"/>
      <c r="C163" s="114"/>
      <c r="D163" s="114"/>
      <c r="E163" s="114"/>
      <c r="F163" s="114"/>
      <c r="G163" s="114"/>
      <c r="H163" s="114"/>
      <c r="I163" s="114"/>
    </row>
    <row r="164" spans="1:9" ht="15.6" x14ac:dyDescent="0.3">
      <c r="A164" s="81"/>
      <c r="B164" s="81"/>
      <c r="C164" s="114"/>
      <c r="D164" s="114"/>
      <c r="E164" s="114"/>
      <c r="F164" s="114"/>
      <c r="G164" s="114"/>
      <c r="H164" s="114"/>
      <c r="I164" s="114"/>
    </row>
    <row r="165" spans="1:9" ht="15.6" x14ac:dyDescent="0.3">
      <c r="A165" s="81"/>
      <c r="B165" s="81"/>
      <c r="C165" s="114"/>
      <c r="D165" s="114"/>
      <c r="E165" s="114"/>
      <c r="F165" s="114"/>
      <c r="G165" s="114"/>
      <c r="H165" s="114"/>
      <c r="I165" s="114"/>
    </row>
    <row r="166" spans="1:9" ht="15.6" x14ac:dyDescent="0.3">
      <c r="A166" s="81"/>
      <c r="B166" s="81"/>
      <c r="C166" s="114"/>
      <c r="D166" s="114"/>
      <c r="E166" s="114"/>
      <c r="F166" s="114"/>
      <c r="G166" s="114"/>
      <c r="H166" s="114"/>
      <c r="I166" s="114"/>
    </row>
    <row r="167" spans="1:9" ht="15.6" x14ac:dyDescent="0.3">
      <c r="A167" s="81"/>
      <c r="B167" s="81"/>
      <c r="C167" s="114"/>
      <c r="D167" s="114"/>
      <c r="E167" s="114"/>
      <c r="F167" s="114"/>
      <c r="G167" s="114"/>
      <c r="H167" s="114"/>
      <c r="I167" s="114"/>
    </row>
    <row r="168" spans="1:9" ht="15.6" x14ac:dyDescent="0.3">
      <c r="A168" s="81"/>
      <c r="B168" s="81"/>
      <c r="C168" s="114"/>
      <c r="D168" s="114"/>
      <c r="E168" s="114"/>
      <c r="F168" s="114"/>
      <c r="G168" s="114"/>
      <c r="H168" s="114"/>
      <c r="I168" s="114"/>
    </row>
    <row r="169" spans="1:9" ht="15.6" x14ac:dyDescent="0.3">
      <c r="A169" s="114"/>
      <c r="B169" s="114"/>
      <c r="C169" s="114"/>
      <c r="D169" s="114"/>
      <c r="E169" s="114"/>
      <c r="F169" s="114"/>
      <c r="G169" s="114"/>
      <c r="H169" s="114"/>
      <c r="I169" s="114"/>
    </row>
    <row r="170" spans="1:9" ht="15.6" x14ac:dyDescent="0.3">
      <c r="A170" s="114"/>
      <c r="B170" s="114"/>
      <c r="C170" s="114"/>
      <c r="D170" s="114"/>
      <c r="E170" s="114"/>
      <c r="F170" s="114"/>
      <c r="G170" s="114"/>
      <c r="H170" s="114"/>
      <c r="I170" s="114"/>
    </row>
    <row r="171" spans="1:9" ht="15.6" x14ac:dyDescent="0.3">
      <c r="A171" s="114"/>
      <c r="B171" s="114"/>
      <c r="C171" s="114"/>
      <c r="D171" s="114"/>
      <c r="E171" s="114"/>
      <c r="F171" s="114"/>
      <c r="G171" s="114"/>
      <c r="H171" s="114"/>
      <c r="I171" s="114"/>
    </row>
    <row r="172" spans="1:9" ht="15.6" x14ac:dyDescent="0.3">
      <c r="A172" s="114"/>
      <c r="B172" s="114"/>
      <c r="C172" s="114"/>
      <c r="D172" s="114"/>
      <c r="E172" s="114"/>
      <c r="F172" s="114"/>
      <c r="G172" s="114"/>
      <c r="H172" s="114"/>
      <c r="I172" s="114"/>
    </row>
    <row r="173" spans="1:9" ht="15.6" x14ac:dyDescent="0.3">
      <c r="A173" s="114"/>
      <c r="B173" s="114"/>
      <c r="C173" s="114"/>
      <c r="D173" s="114"/>
      <c r="E173" s="114"/>
      <c r="F173" s="114"/>
      <c r="G173" s="114"/>
      <c r="H173" s="114"/>
      <c r="I173" s="114"/>
    </row>
    <row r="174" spans="1:9" ht="15.6" x14ac:dyDescent="0.3">
      <c r="A174" s="114"/>
      <c r="B174" s="114"/>
      <c r="C174" s="114"/>
      <c r="D174" s="114"/>
      <c r="E174" s="114"/>
      <c r="F174" s="114"/>
      <c r="G174" s="114"/>
      <c r="H174" s="114"/>
      <c r="I174" s="114"/>
    </row>
    <row r="175" spans="1:9" ht="15.6" x14ac:dyDescent="0.3">
      <c r="A175" s="114"/>
      <c r="B175" s="114"/>
      <c r="C175" s="114"/>
      <c r="D175" s="114"/>
      <c r="E175" s="114"/>
      <c r="F175" s="114"/>
      <c r="G175" s="114"/>
      <c r="H175" s="114"/>
      <c r="I175" s="114"/>
    </row>
    <row r="176" spans="1:9" ht="15.6" x14ac:dyDescent="0.3">
      <c r="A176" s="114"/>
      <c r="B176" s="114"/>
      <c r="C176" s="114"/>
      <c r="D176" s="114"/>
      <c r="E176" s="114"/>
      <c r="F176" s="114"/>
      <c r="G176" s="114"/>
      <c r="H176" s="114"/>
      <c r="I176" s="114"/>
    </row>
    <row r="177" spans="1:9" ht="15.6" x14ac:dyDescent="0.3">
      <c r="A177" s="114"/>
      <c r="B177" s="114"/>
      <c r="C177" s="114"/>
      <c r="D177" s="114"/>
      <c r="E177" s="114"/>
      <c r="F177" s="114"/>
      <c r="G177" s="114"/>
      <c r="H177" s="114"/>
      <c r="I177" s="114"/>
    </row>
    <row r="178" spans="1:9" ht="15.6" x14ac:dyDescent="0.3">
      <c r="A178" s="114"/>
      <c r="B178" s="114"/>
      <c r="C178" s="114"/>
      <c r="D178" s="114"/>
      <c r="E178" s="114"/>
      <c r="F178" s="114"/>
      <c r="G178" s="114"/>
      <c r="H178" s="114"/>
      <c r="I178" s="114"/>
    </row>
  </sheetData>
  <phoneticPr fontId="7"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6832D254-5588-4B64-933C-F9AE15128C62}">
          <x14:formula1>
            <xm:f>'Validations List'!$A$105:$A$109</xm:f>
          </x14:formula1>
          <xm:sqref>D2:D141</xm:sqref>
        </x14:dataValidation>
        <x14:dataValidation type="list" allowBlank="1" showInputMessage="1" showErrorMessage="1" xr:uid="{C02944A7-FB56-4395-810A-435F5A773572}">
          <x14:formula1>
            <xm:f>'Validations List'!$A$99:$A$103</xm:f>
          </x14:formula1>
          <xm:sqref>E2:E141</xm:sqref>
        </x14:dataValidation>
        <x14:dataValidation type="list" allowBlank="1" showInputMessage="1" showErrorMessage="1" xr:uid="{9D083A2E-0250-455B-B1DB-0211A3E5A0B4}">
          <x14:formula1>
            <xm:f>'Validations List'!$Z$4:$Z$19</xm:f>
          </x14:formula1>
          <xm:sqref>H2:H141</xm:sqref>
        </x14:dataValidation>
        <x14:dataValidation type="list" allowBlank="1" showInputMessage="1" showErrorMessage="1" xr:uid="{BFA2D1AD-8327-4E6B-A4D3-EB1722DE5C6B}">
          <x14:formula1>
            <xm:f>'Validations List'!$B$227:$B$390</xm:f>
          </x14:formula1>
          <xm:sqref>A2:A141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A75A5-BCB2-4FE5-A3E6-F31C16EA7589}">
  <sheetPr>
    <tabColor theme="9" tint="0.59999389629810485"/>
  </sheetPr>
  <dimension ref="A1:A35"/>
  <sheetViews>
    <sheetView workbookViewId="0">
      <selection activeCell="A8" sqref="A8"/>
    </sheetView>
  </sheetViews>
  <sheetFormatPr defaultColWidth="8.88671875" defaultRowHeight="13.8" x14ac:dyDescent="0.25"/>
  <cols>
    <col min="1" max="1" width="52.6640625" style="29" customWidth="1"/>
    <col min="2" max="16384" width="8.88671875" style="29"/>
  </cols>
  <sheetData>
    <row r="1" spans="1:1" ht="105.6" customHeight="1" x14ac:dyDescent="0.25">
      <c r="A1" s="148" t="s">
        <v>276</v>
      </c>
    </row>
    <row r="2" spans="1:1" ht="20.399999999999999" x14ac:dyDescent="0.25">
      <c r="A2" s="73" t="s">
        <v>277</v>
      </c>
    </row>
    <row r="3" spans="1:1" ht="15.6" x14ac:dyDescent="0.25">
      <c r="A3" s="65"/>
    </row>
    <row r="4" spans="1:1" x14ac:dyDescent="0.25">
      <c r="A4" s="66"/>
    </row>
    <row r="5" spans="1:1" x14ac:dyDescent="0.25">
      <c r="A5" s="66"/>
    </row>
    <row r="6" spans="1:1" x14ac:dyDescent="0.25">
      <c r="A6" s="66"/>
    </row>
    <row r="8" spans="1:1" x14ac:dyDescent="0.25">
      <c r="A8" s="66"/>
    </row>
    <row r="9" spans="1:1" x14ac:dyDescent="0.25">
      <c r="A9" s="66"/>
    </row>
    <row r="10" spans="1:1" x14ac:dyDescent="0.25">
      <c r="A10" s="66"/>
    </row>
    <row r="11" spans="1:1" x14ac:dyDescent="0.25">
      <c r="A11" s="66"/>
    </row>
    <row r="12" spans="1:1" x14ac:dyDescent="0.25">
      <c r="A12" s="66"/>
    </row>
    <row r="13" spans="1:1" x14ac:dyDescent="0.25">
      <c r="A13" s="66"/>
    </row>
    <row r="14" spans="1:1" x14ac:dyDescent="0.25">
      <c r="A14" s="66"/>
    </row>
    <row r="15" spans="1:1" x14ac:dyDescent="0.25">
      <c r="A15" s="66"/>
    </row>
    <row r="16" spans="1:1" x14ac:dyDescent="0.25">
      <c r="A16" s="66"/>
    </row>
    <row r="17" spans="1:1" x14ac:dyDescent="0.25">
      <c r="A17" s="66"/>
    </row>
    <row r="18" spans="1:1" x14ac:dyDescent="0.25">
      <c r="A18" s="66"/>
    </row>
    <row r="19" spans="1:1" x14ac:dyDescent="0.25">
      <c r="A19" s="66"/>
    </row>
    <row r="20" spans="1:1" x14ac:dyDescent="0.25">
      <c r="A20" s="66"/>
    </row>
    <row r="21" spans="1:1" x14ac:dyDescent="0.25">
      <c r="A21" s="66"/>
    </row>
    <row r="22" spans="1:1" x14ac:dyDescent="0.25">
      <c r="A22" s="66"/>
    </row>
    <row r="24" spans="1:1" ht="17.399999999999999" x14ac:dyDescent="0.25">
      <c r="A24" s="67"/>
    </row>
    <row r="25" spans="1:1" ht="17.399999999999999" x14ac:dyDescent="0.25">
      <c r="A25" s="67"/>
    </row>
    <row r="26" spans="1:1" x14ac:dyDescent="0.25">
      <c r="A26" s="68"/>
    </row>
    <row r="27" spans="1:1" ht="17.399999999999999" x14ac:dyDescent="0.25">
      <c r="A27" s="67"/>
    </row>
    <row r="28" spans="1:1" x14ac:dyDescent="0.25">
      <c r="A28" s="66"/>
    </row>
    <row r="29" spans="1:1" ht="17.399999999999999" x14ac:dyDescent="0.25">
      <c r="A29" s="67"/>
    </row>
    <row r="30" spans="1:1" ht="17.399999999999999" x14ac:dyDescent="0.25">
      <c r="A30" s="67"/>
    </row>
    <row r="32" spans="1:1" ht="17.399999999999999" x14ac:dyDescent="0.25">
      <c r="A32" s="67"/>
    </row>
    <row r="33" spans="1:1" ht="17.399999999999999" x14ac:dyDescent="0.25">
      <c r="A33" s="67"/>
    </row>
    <row r="35" spans="1:1" ht="17.399999999999999" x14ac:dyDescent="0.25">
      <c r="A35" s="6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EBA9A-1277-42F4-8FBA-716560F20969}">
  <sheetPr>
    <tabColor theme="9" tint="0.59999389629810485"/>
  </sheetPr>
  <dimension ref="A1:I13"/>
  <sheetViews>
    <sheetView zoomScale="90" zoomScaleNormal="90" workbookViewId="0">
      <selection activeCell="E3" sqref="E3"/>
    </sheetView>
  </sheetViews>
  <sheetFormatPr defaultRowHeight="14.4" x14ac:dyDescent="0.3"/>
  <cols>
    <col min="1" max="1" width="56.33203125" customWidth="1"/>
    <col min="2" max="2" width="79.88671875" customWidth="1"/>
    <col min="3" max="3" width="40.33203125" customWidth="1"/>
    <col min="4" max="4" width="45.88671875" customWidth="1"/>
    <col min="5" max="5" width="45.109375" customWidth="1"/>
  </cols>
  <sheetData>
    <row r="1" spans="1:9" ht="54" customHeight="1" x14ac:dyDescent="0.3">
      <c r="A1" s="149" t="s">
        <v>278</v>
      </c>
      <c r="B1" s="29"/>
      <c r="C1" s="29"/>
      <c r="D1" s="29"/>
      <c r="E1" s="29"/>
      <c r="F1" s="29"/>
      <c r="G1" s="29"/>
      <c r="H1" s="29"/>
      <c r="I1" s="29"/>
    </row>
    <row r="2" spans="1:9" ht="22.8" x14ac:dyDescent="0.4">
      <c r="A2" s="33" t="s">
        <v>279</v>
      </c>
      <c r="B2" s="33" t="s">
        <v>280</v>
      </c>
      <c r="C2" s="33" t="s">
        <v>281</v>
      </c>
      <c r="D2" s="33" t="s">
        <v>282</v>
      </c>
      <c r="E2" s="29"/>
      <c r="F2" s="29"/>
      <c r="G2" s="29"/>
      <c r="H2" s="29"/>
    </row>
    <row r="3" spans="1:9" ht="96.6" customHeight="1" x14ac:dyDescent="0.3">
      <c r="A3" s="71" t="s">
        <v>283</v>
      </c>
      <c r="B3" s="72" t="str">
        <f>IFERROR(VLOOKUP(A3,MasterTable[[#All],[WCAG guideline]:[Level]],2,FALSE)," ")</f>
        <v>Information, structure, and relationships conveyed through presentation can be programmatically determined or are available in text.</v>
      </c>
      <c r="C3" s="150">
        <f>IFERROR(VLOOKUP(A3,MasterTable[[#All],[WCAG guideline]:[Level]],3,FALSE)," ")</f>
        <v>2</v>
      </c>
      <c r="D3" s="72" t="str">
        <f>IFERROR(VLOOKUP(A3,MasterTable[[#All],[WCAG guideline]:[2.2 Level]],4,FALSE), " ")</f>
        <v>A</v>
      </c>
      <c r="E3" s="29"/>
      <c r="F3" s="29"/>
      <c r="G3" s="29"/>
      <c r="H3" s="29"/>
    </row>
    <row r="4" spans="1:9" ht="121.95" customHeight="1" x14ac:dyDescent="0.3">
      <c r="A4" s="71" t="s">
        <v>284</v>
      </c>
      <c r="B4" s="72" t="str">
        <f>IFERROR(VLOOKUP(A4,MasterTable[[#All],[WCAG guideline]:[Level]],2,FALSE)," ")</f>
        <v>Content can be presented without loss of information or functionality, and without requiring scrolling in two dimensions for:</v>
      </c>
      <c r="C4" s="150">
        <f>IFERROR(VLOOKUP(A4,MasterTable[[#All],[WCAG guideline]:[Level]],3,FALSE)," ")</f>
        <v>2.1</v>
      </c>
      <c r="D4" s="72" t="str">
        <f>IFERROR(VLOOKUP(A4,MasterTable[[#All],[WCAG guideline]:[2.2 Level]],4,FALSE), " ")</f>
        <v>AA</v>
      </c>
      <c r="E4" s="29"/>
      <c r="F4" s="29"/>
      <c r="G4" s="29"/>
      <c r="H4" s="29"/>
    </row>
    <row r="5" spans="1:9" ht="109.2" customHeight="1" x14ac:dyDescent="0.3">
      <c r="A5" s="71" t="s">
        <v>285</v>
      </c>
      <c r="B5" s="72" t="str">
        <f>IFERROR(VLOOKUP(A5,MasterTable[[#All],[WCAG guideline]:[Level]],2,FALSE)," ")</f>
        <v>Where receiving and then removing pointer hover or keyboard focus triggers additional content to become visible and then hidden, the following are true: dismissible, hoverable, persistent</v>
      </c>
      <c r="C5" s="150">
        <f>IFERROR(VLOOKUP(A5,MasterTable[[#All],[WCAG guideline]:[Level]],3,FALSE)," ")</f>
        <v>2.1</v>
      </c>
      <c r="D5" s="72" t="str">
        <f>IFERROR(VLOOKUP(A5,MasterTable[[#All],[WCAG guideline]:[2.2 Level]],4,FALSE), " ")</f>
        <v>AA</v>
      </c>
      <c r="E5" s="29"/>
      <c r="F5" s="29"/>
      <c r="G5" s="29"/>
      <c r="H5" s="29"/>
    </row>
    <row r="6" spans="1:9" ht="87" customHeight="1" x14ac:dyDescent="0.3">
      <c r="A6" s="71" t="s">
        <v>286</v>
      </c>
      <c r="B6" s="72" t="str">
        <f>IFERROR(VLOOKUP(A6,MasterTable[[#All],[WCAG guideline]:[Level]],2,FALSE)," ")</f>
        <v>The default human language of each Web page can be programmatically determined.</v>
      </c>
      <c r="C6" s="150">
        <f>IFERROR(VLOOKUP(A6,MasterTable[[#All],[WCAG guideline]:[Level]],3,FALSE)," ")</f>
        <v>2</v>
      </c>
      <c r="D6" s="72" t="str">
        <f>IFERROR(VLOOKUP(A6,MasterTable[[#All],[WCAG guideline]:[2.2 Level]],4,FALSE), " ")</f>
        <v>A</v>
      </c>
      <c r="E6" s="29"/>
      <c r="F6" s="29"/>
      <c r="G6" s="29"/>
      <c r="H6" s="29"/>
    </row>
    <row r="7" spans="1:9" ht="76.2" customHeight="1" x14ac:dyDescent="0.3">
      <c r="A7" s="71" t="s">
        <v>287</v>
      </c>
      <c r="B7" s="72" t="str">
        <f>IFERROR(VLOOKUP(A7,MasterTable[[#All],[WCAG guideline]:[Level]],2,FALSE)," ")</f>
        <v>Components that have the same functionality within a set of Web pages are identified consistently.</v>
      </c>
      <c r="C7" s="150">
        <f>IFERROR(VLOOKUP(A7,MasterTable[[#All],[WCAG guideline]:[Level]],3,FALSE)," ")</f>
        <v>2</v>
      </c>
      <c r="D7" s="72" t="str">
        <f>IFERROR(VLOOKUP(A7,MasterTable[[#All],[WCAG guideline]:[2.2 Level]],4,FALSE), " ")</f>
        <v>AA</v>
      </c>
      <c r="E7" s="29"/>
      <c r="F7" s="29"/>
      <c r="G7" s="29"/>
      <c r="H7" s="29"/>
    </row>
    <row r="8" spans="1:9" ht="114.6" customHeight="1" x14ac:dyDescent="0.3">
      <c r="A8" s="71" t="s">
        <v>288</v>
      </c>
      <c r="B8" s="72" t="str">
        <f>IFERROR(VLOOKUP(A8,MasterTable[[#All],[WCAG guideline]:[Level]],2,FALSE)," ")</f>
        <v>Information previously entered by or provided to the user that is required to be entered again in the same process is either: auto-populated, or available for the user to select. Exceptions apply.</v>
      </c>
      <c r="C8" s="150">
        <f>IFERROR(VLOOKUP(A8,MasterTable[[#All],[WCAG guideline]:[Level]],3,FALSE)," ")</f>
        <v>2.2000000000000002</v>
      </c>
      <c r="D8" s="72" t="str">
        <f>IFERROR(VLOOKUP(A8,MasterTable[[#All],[WCAG guideline]:[2.2 Level]],4,FALSE), " ")</f>
        <v>A</v>
      </c>
      <c r="E8" s="29"/>
      <c r="F8" s="29"/>
      <c r="G8" s="29"/>
      <c r="H8" s="29"/>
    </row>
    <row r="9" spans="1:9" x14ac:dyDescent="0.3">
      <c r="A9" s="29"/>
      <c r="B9" s="29"/>
      <c r="C9" s="29"/>
      <c r="D9" s="29"/>
      <c r="E9" s="29"/>
      <c r="F9" s="29"/>
      <c r="G9" s="29"/>
      <c r="H9" s="29"/>
      <c r="I9" s="29"/>
    </row>
    <row r="10" spans="1:9" x14ac:dyDescent="0.3">
      <c r="A10" s="29"/>
      <c r="B10" s="29"/>
      <c r="C10" s="29"/>
      <c r="D10" s="29"/>
      <c r="E10" s="29"/>
      <c r="F10" s="29"/>
      <c r="G10" s="29"/>
      <c r="H10" s="29"/>
      <c r="I10" s="29"/>
    </row>
    <row r="11" spans="1:9" x14ac:dyDescent="0.3">
      <c r="A11" s="29"/>
      <c r="B11" s="29"/>
      <c r="C11" s="29"/>
      <c r="D11" s="29"/>
      <c r="E11" s="29"/>
      <c r="F11" s="29"/>
      <c r="G11" s="29"/>
      <c r="H11" s="29"/>
      <c r="I11" s="29"/>
    </row>
    <row r="12" spans="1:9" x14ac:dyDescent="0.3">
      <c r="A12" s="29"/>
      <c r="B12" s="29"/>
      <c r="C12" s="29"/>
      <c r="D12" s="29"/>
      <c r="E12" s="29"/>
      <c r="F12" s="29"/>
      <c r="G12" s="29"/>
      <c r="H12" s="29"/>
      <c r="I12" s="29"/>
    </row>
    <row r="13" spans="1:9" x14ac:dyDescent="0.3">
      <c r="A13" s="29"/>
      <c r="B13" s="29"/>
      <c r="C13" s="29"/>
      <c r="D13" s="29"/>
      <c r="E13" s="29"/>
      <c r="F13" s="29"/>
      <c r="G13" s="29"/>
      <c r="H13" s="29"/>
      <c r="I13" s="29"/>
    </row>
  </sheetData>
  <sheetProtection algorithmName="SHA-512" hashValue="oXGsQ/myY1J1StK5/qZVFvihAjOSkg4aI5meZ/cmwNHftMGa6U5B/fHVRXEaXRZ06lkXnymde46CT0GROu4dyw==" saltValue="HmtK+jJoBa1blUTETskkKg==" spinCount="100000" sheet="1" objects="1" scenario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6A23392-F762-486F-BBA0-EBBE99D02A43}">
          <x14:formula1>
            <xm:f>'Validations List'!$E$4:$E$90</xm:f>
          </x14:formula1>
          <xm:sqref>A3:A8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22E97-EE45-4A0A-AB91-0556C222C3A4}">
  <sheetPr>
    <tabColor theme="9" tint="0.59999389629810485"/>
  </sheetPr>
  <dimension ref="A1:B6"/>
  <sheetViews>
    <sheetView workbookViewId="0">
      <selection activeCell="B12" sqref="B12"/>
    </sheetView>
  </sheetViews>
  <sheetFormatPr defaultColWidth="8.88671875" defaultRowHeight="13.8" x14ac:dyDescent="0.25"/>
  <cols>
    <col min="1" max="1" width="33.109375" style="29" customWidth="1"/>
    <col min="2" max="2" width="99.109375" style="29" customWidth="1"/>
    <col min="3" max="16384" width="8.88671875" style="29"/>
  </cols>
  <sheetData>
    <row r="1" spans="1:2" ht="58.95" customHeight="1" x14ac:dyDescent="0.3">
      <c r="A1" s="151" t="s">
        <v>289</v>
      </c>
    </row>
    <row r="2" spans="1:2" ht="22.8" x14ac:dyDescent="0.4">
      <c r="A2" s="33" t="s">
        <v>290</v>
      </c>
      <c r="B2" s="33" t="s">
        <v>291</v>
      </c>
    </row>
    <row r="3" spans="1:2" ht="59.1" customHeight="1" x14ac:dyDescent="0.35">
      <c r="A3" s="74" t="s">
        <v>292</v>
      </c>
      <c r="B3" s="30" t="str">
        <f>VLOOKUP(A3,'Validations List'!Y4:AA21,3,FALSE)</f>
        <v>https://www.w3schools.com/howto/howto_js_topnav_responsive.asp</v>
      </c>
    </row>
    <row r="4" spans="1:2" ht="56.4" customHeight="1" x14ac:dyDescent="0.35">
      <c r="A4" s="74" t="s">
        <v>293</v>
      </c>
      <c r="B4" s="30" t="str">
        <f>VLOOKUP(A4,'Validations List'!Y4:AA21,3,FALSE)</f>
        <v>https://www.w3schools.com/howto/howto_js_mobile_navbar.asp</v>
      </c>
    </row>
    <row r="5" spans="1:2" ht="52.5" customHeight="1" x14ac:dyDescent="0.35">
      <c r="A5" s="74" t="s">
        <v>294</v>
      </c>
      <c r="B5" s="30" t="str">
        <f>VLOOKUP(A5,'Validations List'!Y4:AA21,3,FALSE)</f>
        <v>https://www.w3schools.com/howto/howto_html_download_link.asp</v>
      </c>
    </row>
    <row r="6" spans="1:2" ht="50.1" customHeight="1" x14ac:dyDescent="0.35">
      <c r="A6" s="74" t="s">
        <v>295</v>
      </c>
      <c r="B6" s="30" t="str">
        <f>VLOOKUP(A6,'Validations List'!Y4:AA21,3,FALSE)</f>
        <v>https://www.w3.org/WAI/ARIA/apg/patterns/</v>
      </c>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41BEFC1-B78D-4BFD-94AA-8BB25708914A}">
          <x14:formula1>
            <xm:f>'Validations List'!$Y$4:$Y$21</xm:f>
          </x14:formula1>
          <xm:sqref>A3:A6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446C7-723E-4551-99FB-56B4284C3788}">
  <sheetPr>
    <tabColor rgb="FFCC0000"/>
  </sheetPr>
  <dimension ref="A1:Z94"/>
  <sheetViews>
    <sheetView zoomScale="70" zoomScaleNormal="70" workbookViewId="0">
      <selection activeCell="I97" sqref="I97"/>
    </sheetView>
  </sheetViews>
  <sheetFormatPr defaultColWidth="8.88671875" defaultRowHeight="13.8" x14ac:dyDescent="0.25"/>
  <cols>
    <col min="1" max="1" width="41.6640625" style="29" customWidth="1"/>
    <col min="2" max="2" width="24.33203125" style="29" customWidth="1"/>
    <col min="3" max="3" width="19.33203125" style="29" customWidth="1"/>
    <col min="4" max="4" width="25.5546875" style="29" customWidth="1"/>
    <col min="5" max="5" width="21.33203125" style="29" customWidth="1"/>
    <col min="6" max="6" width="20.44140625" style="29" customWidth="1"/>
    <col min="7" max="7" width="19.33203125" style="29" customWidth="1"/>
    <col min="8" max="8" width="39.33203125" style="29" customWidth="1"/>
    <col min="9" max="9" width="27.33203125" style="29" customWidth="1"/>
    <col min="10" max="10" width="16" style="29" customWidth="1"/>
    <col min="11" max="11" width="22.109375" style="29" customWidth="1"/>
    <col min="12" max="12" width="21.109375" style="29" customWidth="1"/>
    <col min="13" max="13" width="23.6640625" style="29" customWidth="1"/>
    <col min="14" max="14" width="22.33203125" style="29" customWidth="1"/>
    <col min="15" max="15" width="17.109375" style="29" customWidth="1"/>
    <col min="16" max="16" width="18.33203125" style="29" customWidth="1"/>
    <col min="17" max="17" width="27.44140625" style="29" customWidth="1"/>
    <col min="18" max="18" width="22.6640625" style="29" customWidth="1"/>
    <col min="19" max="19" width="18.6640625" style="29" customWidth="1"/>
    <col min="20" max="20" width="24.33203125" style="29" customWidth="1"/>
    <col min="21" max="22" width="28.44140625" style="29" customWidth="1"/>
    <col min="23" max="24" width="23.33203125" style="29" customWidth="1"/>
    <col min="25" max="25" width="17.6640625" style="29" customWidth="1"/>
    <col min="26" max="26" width="15.88671875" style="29" customWidth="1"/>
    <col min="27" max="16384" width="8.88671875" style="29"/>
  </cols>
  <sheetData>
    <row r="1" spans="1:26" ht="62.4" customHeight="1" x14ac:dyDescent="0.4">
      <c r="A1" s="89" t="s">
        <v>296</v>
      </c>
      <c r="B1" s="90" t="s">
        <v>137</v>
      </c>
      <c r="C1" s="91" t="s">
        <v>297</v>
      </c>
      <c r="D1" s="91" t="s">
        <v>298</v>
      </c>
      <c r="E1" s="91" t="s">
        <v>299</v>
      </c>
      <c r="F1" s="91" t="s">
        <v>300</v>
      </c>
      <c r="G1" s="91" t="s">
        <v>301</v>
      </c>
      <c r="H1" s="92" t="s">
        <v>302</v>
      </c>
      <c r="I1" s="91" t="s">
        <v>303</v>
      </c>
      <c r="J1" s="91" t="s">
        <v>304</v>
      </c>
      <c r="K1" s="91" t="s">
        <v>305</v>
      </c>
      <c r="L1" s="91" t="s">
        <v>306</v>
      </c>
      <c r="M1" s="91" t="s">
        <v>49</v>
      </c>
      <c r="N1" s="91" t="s">
        <v>307</v>
      </c>
      <c r="O1" s="91" t="s">
        <v>46</v>
      </c>
      <c r="P1" s="91" t="s">
        <v>308</v>
      </c>
      <c r="Q1" s="91" t="s">
        <v>48</v>
      </c>
      <c r="R1" s="91" t="s">
        <v>309</v>
      </c>
      <c r="S1" s="91" t="s">
        <v>47</v>
      </c>
      <c r="T1" s="91" t="s">
        <v>310</v>
      </c>
      <c r="U1" s="91" t="s">
        <v>45</v>
      </c>
      <c r="V1" s="91" t="s">
        <v>311</v>
      </c>
      <c r="W1" s="91" t="s">
        <v>44</v>
      </c>
      <c r="X1" s="91" t="s">
        <v>312</v>
      </c>
      <c r="Y1" s="91" t="s">
        <v>50</v>
      </c>
      <c r="Z1" s="91" t="s">
        <v>313</v>
      </c>
    </row>
    <row r="2" spans="1:26" ht="45" customHeight="1" x14ac:dyDescent="0.4">
      <c r="A2" s="75" t="s">
        <v>314</v>
      </c>
      <c r="B2" s="44" t="str">
        <f>IFERROR(VLOOKUP(A2,MasterTable[[#All],[WCAG guideline]:[2.2 Level]],4,FALSE), "Not found")</f>
        <v>A</v>
      </c>
      <c r="C2" s="44">
        <f>COUNTIFS('Custom Test Script'!B2:B200,"*"&amp;'Findings Breakdown'!A2&amp;"*",'Custom Test Script'!D2:D200,'Validations List'!A107)+COUNTIFS('Report Entry'!D26:D207,"*"&amp;'Findings Breakdown'!A2&amp;"*",'Report Entry'!B26:B207,'Validations List'!A107)</f>
        <v>0</v>
      </c>
      <c r="D2" s="44">
        <f>COUNTIFS('Custom Test Script'!B2:B200,"*"&amp;'Findings Breakdown'!A2&amp;"*",'Custom Test Script'!D2:D200,'Validations List'!A106)+COUNTIFS('Report Entry'!D26:D207,"*"&amp;'Findings Breakdown'!A2&amp;"*",'Report Entry'!B26:B207,'Validations List'!A106)</f>
        <v>0</v>
      </c>
      <c r="E2" s="44">
        <f>COUNTIFS('Custom Test Script'!B2:B200,"*"&amp;'Findings Breakdown'!A2&amp;"*",'Custom Test Script'!D2:D200,'Validations List'!A105)+COUNTIFS('Report Entry'!D26:D207,"*"&amp;'Findings Breakdown'!A2&amp;"*",'Report Entry'!B26:B207,'Validations List'!A105)</f>
        <v>0</v>
      </c>
      <c r="F2" s="44">
        <f>COUNTIFS('Custom Test Script'!B2:B200,"*"&amp;'Findings Breakdown'!A2&amp;"*",'Custom Test Script'!D2:D200,'Validations List'!A108)+COUNTIFS('Report Entry'!D26:D207,"*"&amp;'Findings Breakdown'!A2&amp;"*",'Report Entry'!B26:B207,'Validations List'!A108)</f>
        <v>0</v>
      </c>
      <c r="G2" s="44">
        <f>COUNTIFS('Custom Test Script'!B2:B200,"*"&amp;'Findings Breakdown'!A2&amp;"*",'Custom Test Script'!D2:D200,'Validations List'!A109)+COUNTIFS('Report Entry'!D26:D207,"*"&amp;'Findings Breakdown'!A2&amp;"*",'Report Entry'!B26:B207,'Validations List'!A109)</f>
        <v>0</v>
      </c>
      <c r="H2" s="93" t="str" cm="1">
        <f t="array" ref="H2">INDEX('Validations List'!A120:D120,SUMPRODUCT(MAX(('Validations List'!A120:D143=A2)*(COLUMN('Validations List'!A120:D143))))-COLUMN('Validations List'!A120)+1)</f>
        <v>Extremely Important</v>
      </c>
      <c r="I2" s="76">
        <f>IFERROR(WCAG20results[[#This Row],['# Support w/ Exceptions]]*WCAG20results[[#This Row],[Excepts Value per]]+(WCAG20results[[#This Row],['# Supports]]+WCAG20results[[#This Row],['# Does Not Apply]])*WCAG20results[[#This Row],[Supports Value per]]," ")</f>
        <v>0</v>
      </c>
      <c r="J2" s="76" t="str">
        <f>IFERROR(MasterTable[[#This Row],['# Custom Test questions]]*WCAG20results[[#This Row],[Supports Value per]]," ")</f>
        <v xml:space="preserve"> </v>
      </c>
      <c r="K2" s="77">
        <f>IF(WCAG20results[[#This Row],[Importance by Agency]]='Validations List'!A113,'Validations List'!D113,IF(WCAG20results[[#This Row],[Importance by Agency]]='Validations List'!A114,'Validations List'!D114,IF(WCAG20results[[#This Row],[Importance by Agency]]='Validations List'!A115,'Validations List'!D115,"Not Ranked")))</f>
        <v>300</v>
      </c>
      <c r="L2" s="77">
        <f>IF(WCAG20results[[#This Row],[Importance by Agency]]='Validations List'!A113,'Validations List'!C113,IF(WCAG20results[[#This Row],[Importance by Agency]]='Validations List'!A114,'Validations List'!C114,IF(WCAG20results[[#This Row],[Importance by Agency]]='Validations List'!A115,'Validations List'!C115,"Not Ranked")))</f>
        <v>150</v>
      </c>
      <c r="M2" s="76">
        <f>IFERROR(IFERROR(VLOOKUP(A2,MasterTable[[#All],[WCAG guideline]:[Epilepsy]],6,FALSE)," ")*I2,0)</f>
        <v>0</v>
      </c>
      <c r="N2" s="76">
        <f>IFERROR(IFERROR(VLOOKUP(A2,MasterTable[[#All],[WCAG guideline]:[Epilepsy]],6,FALSE)," ")*J2,0)</f>
        <v>0</v>
      </c>
      <c r="O2" s="77">
        <f>IFERROR(IFERROR(VLOOKUP(A2,MasterTable[[#All],[WCAG guideline]:[Epilepsy]],7,FALSE)," ")*I2,0)</f>
        <v>0</v>
      </c>
      <c r="P2" s="77">
        <f>IFERROR(IFERROR(VLOOKUP(A2,MasterTable[[#All],[WCAG guideline]:[Epilepsy]],7,FALSE)," ")*J2,0)</f>
        <v>0</v>
      </c>
      <c r="Q2" s="77">
        <f>IFERROR(IFERROR(VLOOKUP(A2,MasterTable[[#All],[WCAG guideline]:[Epilepsy]],8,FALSE)," ")*I2,0)</f>
        <v>0</v>
      </c>
      <c r="R2" s="77">
        <f>IFERROR(IFERROR(VLOOKUP(A2,MasterTable[[#All],[WCAG guideline]:[Epilepsy]],8,FALSE)," ")*J2,0)</f>
        <v>0</v>
      </c>
      <c r="S2" s="77">
        <f>IFERROR(IFERROR(VLOOKUP(A2,MasterTable[[#All],[WCAG guideline]:[Epilepsy]],9,FALSE)," ")*I2,0)</f>
        <v>0</v>
      </c>
      <c r="T2" s="77">
        <f>IFERROR(IFERROR(VLOOKUP(A2,MasterTable[[#All],[WCAG guideline]:[Epilepsy]],9,FALSE)," ")*J2,0)</f>
        <v>0</v>
      </c>
      <c r="U2" s="77">
        <f>IFERROR(IFERROR(VLOOKUP(A2,MasterTable[[#All],[WCAG guideline]:[Epilepsy]],10,FALSE)," ")*I2,0)</f>
        <v>0</v>
      </c>
      <c r="V2" s="77">
        <f>IFERROR(IFERROR(VLOOKUP(A2,MasterTable[[#All],[WCAG guideline]:[Epilepsy]],10,FALSE)," ")*J2,0)</f>
        <v>0</v>
      </c>
      <c r="W2" s="77">
        <f>IFERROR(IFERROR(VLOOKUP(A2,MasterTable[[#All],[WCAG guideline]:[Epilepsy]],11,FALSE)," ")*I2,0)</f>
        <v>0</v>
      </c>
      <c r="X2" s="77">
        <f>IFERROR(IFERROR(VLOOKUP(A2,MasterTable[[#All],[WCAG guideline]:[Epilepsy]],11,FALSE)," ")*J2,0)</f>
        <v>0</v>
      </c>
      <c r="Y2" s="77">
        <f>IFERROR(IFERROR(VLOOKUP(A2,MasterTable[[#All],[WCAG guideline]:[Epilepsy]],12,FALSE)," ")*I2,0)</f>
        <v>0</v>
      </c>
      <c r="Z2" s="77">
        <f>IFERROR(IFERROR(VLOOKUP(A2,MasterTable[[#All],[WCAG guideline]:[Epilepsy]],12,FALSE)," ")*J2,0)</f>
        <v>0</v>
      </c>
    </row>
    <row r="3" spans="1:26" ht="45" customHeight="1" x14ac:dyDescent="0.4">
      <c r="A3" s="75" t="s">
        <v>315</v>
      </c>
      <c r="B3" s="44" t="str">
        <f>IFERROR(VLOOKUP(A3,MasterTable[[#All],[WCAG guideline]:[2.2 Level]],4,FALSE), "Not found")</f>
        <v>A</v>
      </c>
      <c r="C3" s="44">
        <f>COUNTIFS('Custom Test Script'!B2:B200,"*"&amp;'Findings Breakdown'!A3&amp;"*",'Custom Test Script'!D2:D200,'Validations List'!A107)+COUNTIFS('Report Entry'!D26:D207,"*"&amp;'Findings Breakdown'!A3&amp;"*",'Report Entry'!B26:B207,'Validations List'!A107)</f>
        <v>0</v>
      </c>
      <c r="D3" s="44">
        <f>COUNTIFS('Custom Test Script'!B2:B200,"*"&amp;'Findings Breakdown'!A3&amp;"*",'Custom Test Script'!D2:D200,'Validations List'!A106)+COUNTIFS('Report Entry'!D26:D207,"*"&amp;'Findings Breakdown'!A3&amp;"*",'Report Entry'!B26:B207,'Validations List'!A106)</f>
        <v>0</v>
      </c>
      <c r="E3" s="44">
        <f>COUNTIFS('Custom Test Script'!B2:B200,"*"&amp;'Findings Breakdown'!A3&amp;"*",'Custom Test Script'!D2:D200,'Validations List'!A105)+COUNTIFS('Report Entry'!D26:D207,"*"&amp;'Findings Breakdown'!A3&amp;"*",'Report Entry'!B26:B207,'Validations List'!A105)</f>
        <v>0</v>
      </c>
      <c r="F3" s="44">
        <f>COUNTIFS('Custom Test Script'!B2:B200,"*"&amp;'Findings Breakdown'!A3&amp;"*",'Custom Test Script'!D2:D200,'Validations List'!A108)+COUNTIFS('Report Entry'!D26:D207,"*"&amp;'Findings Breakdown'!A3&amp;"*",'Report Entry'!B26:B207,'Validations List'!A108)</f>
        <v>0</v>
      </c>
      <c r="G3" s="44">
        <f>COUNTIFS('Custom Test Script'!B2:B200,"*"&amp;'Findings Breakdown'!A3&amp;"*",'Custom Test Script'!D2:D200,'Validations List'!A109)+COUNTIFS('Report Entry'!D26:D207,"*"&amp;'Findings Breakdown'!A3&amp;"*",'Report Entry'!B26:B207,'Validations List'!A109)</f>
        <v>0</v>
      </c>
      <c r="H3" s="93" t="str" cm="1">
        <f t="array" ref="H3">INDEX('Validations List'!A120:D120,SUMPRODUCT(MAX(('Validations List'!A120:D143='Findings Breakdown'!A3)*(COLUMN('Validations List'!A120:D143))))-COLUMN('Validations List'!A120)+1)</f>
        <v>Important</v>
      </c>
      <c r="I3" s="76">
        <f>IFERROR(WCAG20results[[#This Row],['# Support w/ Exceptions]]*WCAG20results[[#This Row],[Excepts Value per]]+(WCAG20results[[#This Row],['# Supports]]+WCAG20results[[#This Row],['# Does Not Apply]])*WCAG20results[[#This Row],[Supports Value per]]," ")</f>
        <v>0</v>
      </c>
      <c r="J3" s="76" t="str">
        <f>IFERROR(MasterTable[[#This Row],['# Custom Test questions]]*WCAG20results[[#This Row],[Supports Value per]]," ")</f>
        <v xml:space="preserve"> </v>
      </c>
      <c r="K3" s="77">
        <f>IF(WCAG20results[[#This Row],[Importance by Agency]]='Validations List'!A113,'Validations List'!D113,IF(WCAG20results[[#This Row],[Importance by Agency]]='Validations List'!A114,'Validations List'!D114,IF(WCAG20results[[#This Row],[Importance by Agency]]='Validations List'!A115,'Validations List'!D115,"Not Ranked")))</f>
        <v>100</v>
      </c>
      <c r="L3" s="44">
        <f>IF(WCAG20results[[#This Row],[Importance by Agency]]='Validations List'!A113,'Validations List'!C113,IF(WCAG20results[[#This Row],[Importance by Agency]]='Validations List'!A114,'Validations List'!C114,IF(WCAG20results[[#This Row],[Importance by Agency]]='Validations List'!A115,'Validations List'!C115,"Not Ranked")))</f>
        <v>50</v>
      </c>
      <c r="M3" s="76">
        <f>IFERROR(IFERROR(VLOOKUP(A3,MasterTable[[#All],[WCAG guideline]:[Epilepsy]],6,FALSE)," ")*I3,0)</f>
        <v>0</v>
      </c>
      <c r="N3" s="76">
        <f>IFERROR(IFERROR(VLOOKUP(A3,MasterTable[[#All],[WCAG guideline]:[Epilepsy]],6,FALSE)," ")*J3,0)</f>
        <v>0</v>
      </c>
      <c r="O3" s="77">
        <f>IFERROR(IFERROR(VLOOKUP(A3,MasterTable[[#All],[WCAG guideline]:[Epilepsy]],7,FALSE)," ")*I3,0)</f>
        <v>0</v>
      </c>
      <c r="P3" s="77">
        <f>IFERROR(IFERROR(VLOOKUP(A3,MasterTable[[#All],[WCAG guideline]:[Epilepsy]],7,FALSE)," ")*J3,0)</f>
        <v>0</v>
      </c>
      <c r="Q3" s="77">
        <f>IFERROR(IFERROR(VLOOKUP(A3,MasterTable[[#All],[WCAG guideline]:[Epilepsy]],8,FALSE)," ")*I3,0)</f>
        <v>0</v>
      </c>
      <c r="R3" s="77">
        <f>IFERROR(IFERROR(VLOOKUP(A3,MasterTable[[#All],[WCAG guideline]:[Epilepsy]],8,FALSE)," ")*J3,0)</f>
        <v>0</v>
      </c>
      <c r="S3" s="77">
        <f>IFERROR(IFERROR(VLOOKUP(A3,MasterTable[[#All],[WCAG guideline]:[Epilepsy]],9,FALSE)," ")*I3,0)</f>
        <v>0</v>
      </c>
      <c r="T3" s="77">
        <f>IFERROR(IFERROR(VLOOKUP(A3,MasterTable[[#All],[WCAG guideline]:[Epilepsy]],9,FALSE)," ")*J3,0)</f>
        <v>0</v>
      </c>
      <c r="U3" s="77">
        <f>IFERROR(IFERROR(VLOOKUP(A3,MasterTable[[#All],[WCAG guideline]:[Epilepsy]],10,FALSE)," ")*I3,0)</f>
        <v>0</v>
      </c>
      <c r="V3" s="77">
        <f>IFERROR(IFERROR(VLOOKUP(A3,MasterTable[[#All],[WCAG guideline]:[Epilepsy]],10,FALSE)," ")*J3,0)</f>
        <v>0</v>
      </c>
      <c r="W3" s="77">
        <f>IFERROR(IFERROR(VLOOKUP(A3,MasterTable[[#All],[WCAG guideline]:[Epilepsy]],11,FALSE)," ")*I3,0)</f>
        <v>0</v>
      </c>
      <c r="X3" s="77">
        <f>IFERROR(IFERROR(VLOOKUP(A3,MasterTable[[#All],[WCAG guideline]:[Epilepsy]],11,FALSE)," ")*J3,0)</f>
        <v>0</v>
      </c>
      <c r="Y3" s="77">
        <f>IFERROR(IFERROR(VLOOKUP(A3,MasterTable[[#All],[WCAG guideline]:[Epilepsy]],12,FALSE)," ")*I3,0)</f>
        <v>0</v>
      </c>
      <c r="Z3" s="77">
        <f>IFERROR(IFERROR(VLOOKUP(A3,MasterTable[[#All],[WCAG guideline]:[Epilepsy]],12,FALSE)," ")*J3,0)</f>
        <v>0</v>
      </c>
    </row>
    <row r="4" spans="1:26" ht="45" customHeight="1" x14ac:dyDescent="0.4">
      <c r="A4" s="75" t="s">
        <v>316</v>
      </c>
      <c r="B4" s="44" t="str">
        <f>IFERROR(VLOOKUP(A4,MasterTable[[#All],[WCAG guideline]:[2.2 Level]],4,FALSE), "Not found")</f>
        <v>A</v>
      </c>
      <c r="C4" s="44">
        <f>COUNTIFS('Custom Test Script'!B2:B200,"*"&amp;'Findings Breakdown'!A4&amp;"*",'Custom Test Script'!D2:D200,'Validations List'!A107)+COUNTIFS('Report Entry'!D26:D207,"*"&amp;'Findings Breakdown'!A4&amp;"*",'Report Entry'!B26:B207,'Validations List'!A107)</f>
        <v>0</v>
      </c>
      <c r="D4" s="44">
        <f>COUNTIFS('Custom Test Script'!B2:B200,"*"&amp;'Findings Breakdown'!A4&amp;"*",'Custom Test Script'!D2:D200,'Validations List'!A106)+COUNTIFS('Report Entry'!D26:D207,"*"&amp;'Findings Breakdown'!A4&amp;"*",'Report Entry'!B26:B207,'Validations List'!A106)</f>
        <v>0</v>
      </c>
      <c r="E4" s="44">
        <f>COUNTIFS('Custom Test Script'!B2:B200,"*"&amp;'Findings Breakdown'!A4&amp;"*",'Custom Test Script'!D2:D200,'Validations List'!A105)+COUNTIFS('Report Entry'!D26:D207,"*"&amp;'Findings Breakdown'!A4&amp;"*",'Report Entry'!B26:B207,'Validations List'!A105)</f>
        <v>0</v>
      </c>
      <c r="F4" s="44">
        <f>COUNTIFS('Custom Test Script'!B2:B200,"*"&amp;'Findings Breakdown'!A4&amp;"*",'Custom Test Script'!D2:D200,'Validations List'!A108)+COUNTIFS('Report Entry'!D26:D207,"*"&amp;'Findings Breakdown'!A4&amp;"*",'Report Entry'!B26:B207,'Validations List'!A108)</f>
        <v>0</v>
      </c>
      <c r="G4" s="44">
        <f>COUNTIFS('Custom Test Script'!B2:B200,"*"&amp;'Findings Breakdown'!A4&amp;"*",'Custom Test Script'!D2:D200,'Validations List'!A109)+COUNTIFS('Report Entry'!D26:D207,"*"&amp;'Findings Breakdown'!A4&amp;"*",'Report Entry'!B26:B207,'Validations List'!A109)</f>
        <v>0</v>
      </c>
      <c r="H4" s="93" t="str" cm="1">
        <f t="array" ref="H4">INDEX('Validations List'!A120:D120,SUMPRODUCT(MAX(('Validations List'!A120:D143='Findings Breakdown'!A4)*(COLUMN('Validations List'!A120:D143))))-COLUMN('Validations List'!A120)+1)</f>
        <v>Extremely Important</v>
      </c>
      <c r="I4" s="76">
        <f>IFERROR(WCAG20results[[#This Row],['# Support w/ Exceptions]]*WCAG20results[[#This Row],[Excepts Value per]]+(WCAG20results[[#This Row],['# Supports]]+WCAG20results[[#This Row],['# Does Not Apply]])*WCAG20results[[#This Row],[Supports Value per]]," ")</f>
        <v>0</v>
      </c>
      <c r="J4" s="76">
        <f>IFERROR(MasterTable[[#This Row],['# Custom Test questions]]*WCAG20results[[#This Row],[Supports Value per]]," ")</f>
        <v>3300</v>
      </c>
      <c r="K4" s="77">
        <f>IF(WCAG20results[[#This Row],[Importance by Agency]]='Validations List'!A113,'Validations List'!D113,IF(WCAG20results[[#This Row],[Importance by Agency]]='Validations List'!A114,'Validations List'!D114,IF(WCAG20results[[#This Row],[Importance by Agency]]='Validations List'!A115,'Validations List'!D115,"Not Ranked")))</f>
        <v>300</v>
      </c>
      <c r="L4" s="44">
        <f>IF(WCAG20results[[#This Row],[Importance by Agency]]='Validations List'!A113,'Validations List'!C113,IF(WCAG20results[[#This Row],[Importance by Agency]]='Validations List'!A114,'Validations List'!C114,IF(WCAG20results[[#This Row],[Importance by Agency]]='Validations List'!A115,'Validations List'!C115,"Not Ranked")))</f>
        <v>150</v>
      </c>
      <c r="M4" s="76">
        <f>IFERROR(IFERROR(VLOOKUP(A4,MasterTable[[#All],[WCAG guideline]:[Epilepsy]],6,FALSE)," ")*I4,0)</f>
        <v>0</v>
      </c>
      <c r="N4" s="76">
        <f>IFERROR(IFERROR(VLOOKUP(A4,MasterTable[[#All],[WCAG guideline]:[Epilepsy]],6,FALSE)," ")*J4,0)</f>
        <v>3300</v>
      </c>
      <c r="O4" s="77">
        <f>IFERROR(IFERROR(VLOOKUP(A4,MasterTable[[#All],[WCAG guideline]:[Epilepsy]],7,FALSE)," ")*I4,0)</f>
        <v>0</v>
      </c>
      <c r="P4" s="77">
        <f>IFERROR(IFERROR(VLOOKUP(A4,MasterTable[[#All],[WCAG guideline]:[Epilepsy]],7,FALSE)," ")*J4,0)</f>
        <v>3300</v>
      </c>
      <c r="Q4" s="77">
        <f>IFERROR(IFERROR(VLOOKUP(A4,MasterTable[[#All],[WCAG guideline]:[Epilepsy]],8,FALSE)," ")*I4,0)</f>
        <v>0</v>
      </c>
      <c r="R4" s="77">
        <f>IFERROR(IFERROR(VLOOKUP(A4,MasterTable[[#All],[WCAG guideline]:[Epilepsy]],8,FALSE)," ")*J4,0)</f>
        <v>0</v>
      </c>
      <c r="S4" s="77">
        <f>IFERROR(IFERROR(VLOOKUP(A4,MasterTable[[#All],[WCAG guideline]:[Epilepsy]],9,FALSE)," ")*I4,0)</f>
        <v>0</v>
      </c>
      <c r="T4" s="77">
        <f>IFERROR(IFERROR(VLOOKUP(A4,MasterTable[[#All],[WCAG guideline]:[Epilepsy]],9,FALSE)," ")*J4,0)</f>
        <v>3300</v>
      </c>
      <c r="U4" s="77">
        <f>IFERROR(IFERROR(VLOOKUP(A4,MasterTable[[#All],[WCAG guideline]:[Epilepsy]],10,FALSE)," ")*I4,0)</f>
        <v>0</v>
      </c>
      <c r="V4" s="77">
        <f>IFERROR(IFERROR(VLOOKUP(A4,MasterTable[[#All],[WCAG guideline]:[Epilepsy]],10,FALSE)," ")*J4,0)</f>
        <v>3300</v>
      </c>
      <c r="W4" s="77">
        <f>IFERROR(IFERROR(VLOOKUP(A4,MasterTable[[#All],[WCAG guideline]:[Epilepsy]],11,FALSE)," ")*I4,0)</f>
        <v>0</v>
      </c>
      <c r="X4" s="77">
        <f>IFERROR(IFERROR(VLOOKUP(A4,MasterTable[[#All],[WCAG guideline]:[Epilepsy]],11,FALSE)," ")*J4,0)</f>
        <v>0</v>
      </c>
      <c r="Y4" s="77">
        <f>IFERROR(IFERROR(VLOOKUP(A4,MasterTable[[#All],[WCAG guideline]:[Epilepsy]],12,FALSE)," ")*I4,0)</f>
        <v>0</v>
      </c>
      <c r="Z4" s="77">
        <f>IFERROR(IFERROR(VLOOKUP(A4,MasterTable[[#All],[WCAG guideline]:[Epilepsy]],12,FALSE)," ")*J4,0)</f>
        <v>0</v>
      </c>
    </row>
    <row r="5" spans="1:26" ht="45" customHeight="1" x14ac:dyDescent="0.4">
      <c r="A5" s="75" t="s">
        <v>317</v>
      </c>
      <c r="B5" s="44" t="str">
        <f>IFERROR(VLOOKUP(A5,MasterTable[[#All],[WCAG guideline]:[2.2 Level]],4,FALSE), "Not found")</f>
        <v>A</v>
      </c>
      <c r="C5" s="44">
        <f>COUNTIFS('Custom Test Script'!B2:B200,"*"&amp;'Findings Breakdown'!A5&amp;"*",'Custom Test Script'!D2:D200,'Validations List'!A107)+COUNTIFS('Report Entry'!D26:D207,"*"&amp;'Findings Breakdown'!A5&amp;"*",'Report Entry'!B26:B207,'Validations List'!A107)</f>
        <v>0</v>
      </c>
      <c r="D5" s="44">
        <f>COUNTIFS('Custom Test Script'!B2:B200,"*"&amp;'Findings Breakdown'!A5&amp;"*",'Custom Test Script'!D2:D200,'Validations List'!A106)+COUNTIFS('Report Entry'!D26:D207,"*"&amp;'Findings Breakdown'!A5&amp;"*",'Report Entry'!B26:B207,'Validations List'!A106)</f>
        <v>0</v>
      </c>
      <c r="E5" s="44">
        <f>COUNTIFS('Custom Test Script'!B2:B200,"*"&amp;'Findings Breakdown'!A5&amp;"*",'Custom Test Script'!D2:D200,'Validations List'!A105)+COUNTIFS('Report Entry'!D26:D207,"*"&amp;'Findings Breakdown'!A5&amp;"*",'Report Entry'!B26:B207,'Validations List'!A105)</f>
        <v>0</v>
      </c>
      <c r="F5" s="44">
        <f>COUNTIFS('Custom Test Script'!B2:B200,"*"&amp;'Findings Breakdown'!A5&amp;"*",'Custom Test Script'!D2:D200,'Validations List'!A108)+COUNTIFS('Report Entry'!D26:D207,"*"&amp;'Findings Breakdown'!A5&amp;"*",'Report Entry'!B26:B207,'Validations List'!A108)</f>
        <v>0</v>
      </c>
      <c r="G5" s="44">
        <f>COUNTIFS('Custom Test Script'!B2:B200,"*"&amp;'Findings Breakdown'!A5&amp;"*",'Custom Test Script'!D2:D200,'Validations List'!A109)+COUNTIFS('Report Entry'!D26:D207,"*"&amp;'Findings Breakdown'!A5&amp;"*",'Report Entry'!B26:B207,'Validations List'!A109)</f>
        <v>0</v>
      </c>
      <c r="H5" s="93" t="str" cm="1">
        <f t="array" ref="H5">INDEX('Validations List'!A120:D120,SUMPRODUCT(MAX(('Validations List'!A120:D143='Findings Breakdown'!A5)*(COLUMN('Validations List'!A120:D143))))-COLUMN('Validations List'!A120)+1)</f>
        <v>Important</v>
      </c>
      <c r="I5" s="76">
        <f>IFERROR(WCAG20results[[#This Row],['# Support w/ Exceptions]]*WCAG20results[[#This Row],[Excepts Value per]]+(WCAG20results[[#This Row],['# Supports]]+WCAG20results[[#This Row],['# Does Not Apply]])*WCAG20results[[#This Row],[Supports Value per]]," ")</f>
        <v>0</v>
      </c>
      <c r="J5" s="76">
        <f>IFERROR(MasterTable[[#This Row],['# Custom Test questions]]*WCAG20results[[#This Row],[Supports Value per]]," ")</f>
        <v>700</v>
      </c>
      <c r="K5" s="77">
        <f>IF(WCAG20results[[#This Row],[Importance by Agency]]='Validations List'!A113,'Validations List'!D113,IF(WCAG20results[[#This Row],[Importance by Agency]]='Validations List'!A114,'Validations List'!D114,IF(WCAG20results[[#This Row],[Importance by Agency]]='Validations List'!A115,'Validations List'!D115,"Not Ranked")))</f>
        <v>100</v>
      </c>
      <c r="L5" s="44">
        <f>IF(WCAG20results[[#This Row],[Importance by Agency]]='Validations List'!A113,'Validations List'!C113,IF(WCAG20results[[#This Row],[Importance by Agency]]='Validations List'!A114,'Validations List'!C114,IF(WCAG20results[[#This Row],[Importance by Agency]]='Validations List'!A115,'Validations List'!C115,"Not Ranked")))</f>
        <v>50</v>
      </c>
      <c r="M5" s="76">
        <f>IFERROR(IFERROR(VLOOKUP(A5,MasterTable[[#All],[WCAG guideline]:[Epilepsy]],6,FALSE)," ")*I5,0)</f>
        <v>0</v>
      </c>
      <c r="N5" s="76">
        <f>IFERROR(IFERROR(VLOOKUP(A5,MasterTable[[#All],[WCAG guideline]:[Epilepsy]],6,FALSE)," ")*J5,0)</f>
        <v>700</v>
      </c>
      <c r="O5" s="77">
        <f>IFERROR(IFERROR(VLOOKUP(A5,MasterTable[[#All],[WCAG guideline]:[Epilepsy]],7,FALSE)," ")*I5,0)</f>
        <v>0</v>
      </c>
      <c r="P5" s="77">
        <f>IFERROR(IFERROR(VLOOKUP(A5,MasterTable[[#All],[WCAG guideline]:[Epilepsy]],7,FALSE)," ")*J5,0)</f>
        <v>700</v>
      </c>
      <c r="Q5" s="77">
        <f>IFERROR(IFERROR(VLOOKUP(A5,MasterTable[[#All],[WCAG guideline]:[Epilepsy]],8,FALSE)," ")*I5,0)</f>
        <v>0</v>
      </c>
      <c r="R5" s="77">
        <f>IFERROR(IFERROR(VLOOKUP(A5,MasterTable[[#All],[WCAG guideline]:[Epilepsy]],8,FALSE)," ")*J5,0)</f>
        <v>0</v>
      </c>
      <c r="S5" s="77">
        <f>IFERROR(IFERROR(VLOOKUP(A5,MasterTable[[#All],[WCAG guideline]:[Epilepsy]],9,FALSE)," ")*I5,0)</f>
        <v>0</v>
      </c>
      <c r="T5" s="77">
        <f>IFERROR(IFERROR(VLOOKUP(A5,MasterTable[[#All],[WCAG guideline]:[Epilepsy]],9,FALSE)," ")*J5,0)</f>
        <v>700</v>
      </c>
      <c r="U5" s="77">
        <f>IFERROR(IFERROR(VLOOKUP(A5,MasterTable[[#All],[WCAG guideline]:[Epilepsy]],10,FALSE)," ")*I5,0)</f>
        <v>0</v>
      </c>
      <c r="V5" s="77">
        <f>IFERROR(IFERROR(VLOOKUP(A5,MasterTable[[#All],[WCAG guideline]:[Epilepsy]],10,FALSE)," ")*J5,0)</f>
        <v>700</v>
      </c>
      <c r="W5" s="77">
        <f>IFERROR(IFERROR(VLOOKUP(A5,MasterTable[[#All],[WCAG guideline]:[Epilepsy]],11,FALSE)," ")*I5,0)</f>
        <v>0</v>
      </c>
      <c r="X5" s="77">
        <f>IFERROR(IFERROR(VLOOKUP(A5,MasterTable[[#All],[WCAG guideline]:[Epilepsy]],11,FALSE)," ")*J5,0)</f>
        <v>0</v>
      </c>
      <c r="Y5" s="77">
        <f>IFERROR(IFERROR(VLOOKUP(A5,MasterTable[[#All],[WCAG guideline]:[Epilepsy]],12,FALSE)," ")*I5,0)</f>
        <v>0</v>
      </c>
      <c r="Z5" s="77">
        <f>IFERROR(IFERROR(VLOOKUP(A5,MasterTable[[#All],[WCAG guideline]:[Epilepsy]],12,FALSE)," ")*J5,0)</f>
        <v>0</v>
      </c>
    </row>
    <row r="6" spans="1:26" ht="45" customHeight="1" x14ac:dyDescent="0.4">
      <c r="A6" s="75" t="s">
        <v>318</v>
      </c>
      <c r="B6" s="44" t="str">
        <f>IFERROR(VLOOKUP(A6,MasterTable[[#All],[WCAG guideline]:[2.2 Level]],4,FALSE), "Not found")</f>
        <v>AA</v>
      </c>
      <c r="C6" s="44">
        <f>COUNTIFS('Custom Test Script'!B2:B200,"*"&amp;'Findings Breakdown'!A6&amp;"*",'Custom Test Script'!D2:D200,'Validations List'!A107)+COUNTIFS('Report Entry'!D26:D207,"*"&amp;'Findings Breakdown'!A6&amp;"*",'Report Entry'!B26:B207,'Validations List'!A107)</f>
        <v>0</v>
      </c>
      <c r="D6" s="44">
        <f>COUNTIFS('Custom Test Script'!B2:B200,"*"&amp;'Findings Breakdown'!A6&amp;"*",'Custom Test Script'!D2:D200,'Validations List'!A106)+COUNTIFS('Report Entry'!D26:D207,"*"&amp;'Findings Breakdown'!A6&amp;"*",'Report Entry'!B26:B207,'Validations List'!A106)</f>
        <v>0</v>
      </c>
      <c r="E6" s="44">
        <f>COUNTIFS('Custom Test Script'!B2:B200,"*"&amp;'Findings Breakdown'!A6&amp;"*",'Custom Test Script'!D2:D200,'Validations List'!A105)+COUNTIFS('Report Entry'!D26:D207,"*"&amp;'Findings Breakdown'!A6&amp;"*",'Report Entry'!B26:B207,'Validations List'!A105)</f>
        <v>0</v>
      </c>
      <c r="F6" s="44">
        <f>COUNTIFS('Custom Test Script'!B2:B200,"*"&amp;'Findings Breakdown'!A6&amp;"*",'Custom Test Script'!D2:D200,'Validations List'!A108)+COUNTIFS('Report Entry'!D26:D207,"*"&amp;'Findings Breakdown'!A6&amp;"*",'Report Entry'!B26:B207,'Validations List'!A108)</f>
        <v>0</v>
      </c>
      <c r="G6" s="44">
        <f>COUNTIFS('Custom Test Script'!B2:B200,"*"&amp;'Findings Breakdown'!A6&amp;"*",'Custom Test Script'!D2:D200,'Validations List'!A109)+COUNTIFS('Report Entry'!D26:D207,"*"&amp;'Findings Breakdown'!A6&amp;"*",'Report Entry'!B26:B207,'Validations List'!A109)</f>
        <v>0</v>
      </c>
      <c r="H6" s="93" t="str" cm="1">
        <f t="array" ref="H6">INDEX('Validations List'!A120:D120,SUMPRODUCT(MAX(('Validations List'!A120:D143='Findings Breakdown'!A6)*(COLUMN('Validations List'!A120:D143))))-COLUMN('Validations List'!A120)+1)</f>
        <v>Extremely Important</v>
      </c>
      <c r="I6" s="76">
        <f>IFERROR(WCAG20results[[#This Row],['# Support w/ Exceptions]]*WCAG20results[[#This Row],[Excepts Value per]]+(WCAG20results[[#This Row],['# Supports]]+WCAG20results[[#This Row],['# Does Not Apply]])*WCAG20results[[#This Row],[Supports Value per]]," ")</f>
        <v>0</v>
      </c>
      <c r="J6" s="76">
        <f>IFERROR(MasterTable[[#This Row],['# Custom Test questions]]*WCAG20results[[#This Row],[Supports Value per]]," ")</f>
        <v>900</v>
      </c>
      <c r="K6" s="77">
        <f>IF(WCAG20results[[#This Row],[Importance by Agency]]='Validations List'!A113,'Validations List'!D113,IF(WCAG20results[[#This Row],[Importance by Agency]]='Validations List'!A114,'Validations List'!D114,IF(WCAG20results[[#This Row],[Importance by Agency]]='Validations List'!A115,'Validations List'!D115,"Not Ranked")))</f>
        <v>300</v>
      </c>
      <c r="L6" s="44">
        <f>IF(WCAG20results[[#This Row],[Importance by Agency]]='Validations List'!A113,'Validations List'!C113,IF(WCAG20results[[#This Row],[Importance by Agency]]='Validations List'!A114,'Validations List'!C114,IF(WCAG20results[[#This Row],[Importance by Agency]]='Validations List'!A115,'Validations List'!C115,"Not Ranked")))</f>
        <v>150</v>
      </c>
      <c r="M6" s="76">
        <f>IFERROR(IFERROR(VLOOKUP(A6,MasterTable[[#All],[WCAG guideline]:[Epilepsy]],6,FALSE)," ")*I6,0)</f>
        <v>0</v>
      </c>
      <c r="N6" s="76">
        <f>IFERROR(IFERROR(VLOOKUP(A6,MasterTable[[#All],[WCAG guideline]:[Epilepsy]],6,FALSE)," ")*J6,0)</f>
        <v>900</v>
      </c>
      <c r="O6" s="77">
        <f>IFERROR(IFERROR(VLOOKUP(A6,MasterTable[[#All],[WCAG guideline]:[Epilepsy]],7,FALSE)," ")*I6,0)</f>
        <v>0</v>
      </c>
      <c r="P6" s="77">
        <f>IFERROR(IFERROR(VLOOKUP(A6,MasterTable[[#All],[WCAG guideline]:[Epilepsy]],7,FALSE)," ")*J6,0)</f>
        <v>0</v>
      </c>
      <c r="Q6" s="77">
        <f>IFERROR(IFERROR(VLOOKUP(A6,MasterTable[[#All],[WCAG guideline]:[Epilepsy]],8,FALSE)," ")*I6,0)</f>
        <v>0</v>
      </c>
      <c r="R6" s="77">
        <f>IFERROR(IFERROR(VLOOKUP(A6,MasterTable[[#All],[WCAG guideline]:[Epilepsy]],8,FALSE)," ")*J6,0)</f>
        <v>0</v>
      </c>
      <c r="S6" s="77">
        <f>IFERROR(IFERROR(VLOOKUP(A6,MasterTable[[#All],[WCAG guideline]:[Epilepsy]],9,FALSE)," ")*I6,0)</f>
        <v>0</v>
      </c>
      <c r="T6" s="77">
        <f>IFERROR(IFERROR(VLOOKUP(A6,MasterTable[[#All],[WCAG guideline]:[Epilepsy]],9,FALSE)," ")*J6,0)</f>
        <v>900</v>
      </c>
      <c r="U6" s="77">
        <f>IFERROR(IFERROR(VLOOKUP(A6,MasterTable[[#All],[WCAG guideline]:[Epilepsy]],10,FALSE)," ")*I6,0)</f>
        <v>0</v>
      </c>
      <c r="V6" s="77">
        <f>IFERROR(IFERROR(VLOOKUP(A6,MasterTable[[#All],[WCAG guideline]:[Epilepsy]],10,FALSE)," ")*J6,0)</f>
        <v>900</v>
      </c>
      <c r="W6" s="77">
        <f>IFERROR(IFERROR(VLOOKUP(A6,MasterTable[[#All],[WCAG guideline]:[Epilepsy]],11,FALSE)," ")*I6,0)</f>
        <v>0</v>
      </c>
      <c r="X6" s="77">
        <f>IFERROR(IFERROR(VLOOKUP(A6,MasterTable[[#All],[WCAG guideline]:[Epilepsy]],11,FALSE)," ")*J6,0)</f>
        <v>0</v>
      </c>
      <c r="Y6" s="77">
        <f>IFERROR(IFERROR(VLOOKUP(A6,MasterTable[[#All],[WCAG guideline]:[Epilepsy]],12,FALSE)," ")*I6,0)</f>
        <v>0</v>
      </c>
      <c r="Z6" s="77">
        <f>IFERROR(IFERROR(VLOOKUP(A6,MasterTable[[#All],[WCAG guideline]:[Epilepsy]],12,FALSE)," ")*J6,0)</f>
        <v>0</v>
      </c>
    </row>
    <row r="7" spans="1:26" ht="45" customHeight="1" x14ac:dyDescent="0.4">
      <c r="A7" s="75" t="s">
        <v>319</v>
      </c>
      <c r="B7" s="44" t="str">
        <f>IFERROR(VLOOKUP(A7,MasterTable[[#All],[WCAG guideline]:[2.2 Level]],4,FALSE), "Not found")</f>
        <v>AA</v>
      </c>
      <c r="C7" s="44">
        <f>COUNTIFS('Custom Test Script'!B2:B200,"*"&amp;'Findings Breakdown'!A7&amp;"*",'Custom Test Script'!D2:D200,'Validations List'!A107)+COUNTIFS('Report Entry'!D26:D207,"*"&amp;'Findings Breakdown'!A7&amp;"*",'Report Entry'!B26:B207,'Validations List'!A107)</f>
        <v>0</v>
      </c>
      <c r="D7" s="44">
        <f>COUNTIFS('Custom Test Script'!B2:B200,"*"&amp;'Findings Breakdown'!A7&amp;"*",'Custom Test Script'!D2:D200,'Validations List'!A106)+COUNTIFS('Report Entry'!D26:D207,"*"&amp;'Findings Breakdown'!A7&amp;"*",'Report Entry'!B26:B207,'Validations List'!A106)</f>
        <v>0</v>
      </c>
      <c r="E7" s="44">
        <f>COUNTIFS('Custom Test Script'!B2:B200,"*"&amp;'Findings Breakdown'!A7&amp;"*",'Custom Test Script'!D2:D200,'Validations List'!A105)+COUNTIFS('Report Entry'!D26:D207,"*"&amp;'Findings Breakdown'!A7&amp;"*",'Report Entry'!B26:B207,'Validations List'!A105)</f>
        <v>0</v>
      </c>
      <c r="F7" s="44">
        <f>COUNTIFS('Custom Test Script'!B2:B200,"*"&amp;'Findings Breakdown'!A7&amp;"*",'Custom Test Script'!D2:D200,'Validations List'!A108)+COUNTIFS('Report Entry'!D26:D207,"*"&amp;'Findings Breakdown'!A7&amp;"*",'Report Entry'!B26:B207,'Validations List'!A108)</f>
        <v>0</v>
      </c>
      <c r="G7" s="44">
        <f>COUNTIFS('Custom Test Script'!B2:B200,"*"&amp;'Findings Breakdown'!A7&amp;"*",'Custom Test Script'!D2:D200,'Validations List'!A109)+COUNTIFS('Report Entry'!D26:D207,"*"&amp;'Findings Breakdown'!A7&amp;"*",'Report Entry'!B26:B207,'Validations List'!A109)</f>
        <v>0</v>
      </c>
      <c r="H7" s="93" t="str" cm="1">
        <f t="array" ref="H7">INDEX('Validations List'!A120:D120,SUMPRODUCT(MAX(('Validations List'!A120:D143='Findings Breakdown'!A7)*(COLUMN('Validations List'!A120:D143))))-COLUMN('Validations List'!A120)+1)</f>
        <v>Important</v>
      </c>
      <c r="I7" s="76">
        <f>IFERROR(WCAG20results[[#This Row],['# Support w/ Exceptions]]*WCAG20results[[#This Row],[Excepts Value per]]+(WCAG20results[[#This Row],['# Supports]]+WCAG20results[[#This Row],['# Does Not Apply]])*WCAG20results[[#This Row],[Supports Value per]]," ")</f>
        <v>0</v>
      </c>
      <c r="J7" s="76">
        <f>IFERROR(MasterTable[[#This Row],['# Custom Test questions]]*WCAG20results[[#This Row],[Supports Value per]]," ")</f>
        <v>300</v>
      </c>
      <c r="K7" s="77">
        <f>IF(WCAG20results[[#This Row],[Importance by Agency]]='Validations List'!A113,'Validations List'!D113,IF(WCAG20results[[#This Row],[Importance by Agency]]='Validations List'!A114,'Validations List'!D114,IF(WCAG20results[[#This Row],[Importance by Agency]]='Validations List'!A115,'Validations List'!D115,"Not Ranked")))</f>
        <v>100</v>
      </c>
      <c r="L7" s="44">
        <f>IF(WCAG20results[[#This Row],[Importance by Agency]]='Validations List'!A113,'Validations List'!C113,IF(WCAG20results[[#This Row],[Importance by Agency]]='Validations List'!A114,'Validations List'!C114,IF(WCAG20results[[#This Row],[Importance by Agency]]='Validations List'!A115,'Validations List'!C115,"Not Ranked")))</f>
        <v>50</v>
      </c>
      <c r="M7" s="76">
        <f>IFERROR(IFERROR(VLOOKUP(A7,MasterTable[[#All],[WCAG guideline]:[Epilepsy]],6,FALSE)," ")*I7,0)</f>
        <v>0</v>
      </c>
      <c r="N7" s="76">
        <f>IFERROR(IFERROR(VLOOKUP(A7,MasterTable[[#All],[WCAG guideline]:[Epilepsy]],6,FALSE)," ")*J7,0)</f>
        <v>300</v>
      </c>
      <c r="O7" s="77">
        <f>IFERROR(IFERROR(VLOOKUP(A7,MasterTable[[#All],[WCAG guideline]:[Epilepsy]],7,FALSE)," ")*I7,0)</f>
        <v>0</v>
      </c>
      <c r="P7" s="77">
        <f>IFERROR(IFERROR(VLOOKUP(A7,MasterTable[[#All],[WCAG guideline]:[Epilepsy]],7,FALSE)," ")*J7,0)</f>
        <v>0</v>
      </c>
      <c r="Q7" s="77">
        <f>IFERROR(IFERROR(VLOOKUP(A7,MasterTable[[#All],[WCAG guideline]:[Epilepsy]],8,FALSE)," ")*I7,0)</f>
        <v>0</v>
      </c>
      <c r="R7" s="77">
        <f>IFERROR(IFERROR(VLOOKUP(A7,MasterTable[[#All],[WCAG guideline]:[Epilepsy]],8,FALSE)," ")*J7,0)</f>
        <v>0</v>
      </c>
      <c r="S7" s="77">
        <f>IFERROR(IFERROR(VLOOKUP(A7,MasterTable[[#All],[WCAG guideline]:[Epilepsy]],9,FALSE)," ")*I7,0)</f>
        <v>0</v>
      </c>
      <c r="T7" s="77">
        <f>IFERROR(IFERROR(VLOOKUP(A7,MasterTable[[#All],[WCAG guideline]:[Epilepsy]],9,FALSE)," ")*J7,0)</f>
        <v>300</v>
      </c>
      <c r="U7" s="77">
        <f>IFERROR(IFERROR(VLOOKUP(A7,MasterTable[[#All],[WCAG guideline]:[Epilepsy]],10,FALSE)," ")*I7,0)</f>
        <v>0</v>
      </c>
      <c r="V7" s="77">
        <f>IFERROR(IFERROR(VLOOKUP(A7,MasterTable[[#All],[WCAG guideline]:[Epilepsy]],10,FALSE)," ")*J7,0)</f>
        <v>300</v>
      </c>
      <c r="W7" s="77">
        <f>IFERROR(IFERROR(VLOOKUP(A7,MasterTable[[#All],[WCAG guideline]:[Epilepsy]],11,FALSE)," ")*I7,0)</f>
        <v>0</v>
      </c>
      <c r="X7" s="77">
        <f>IFERROR(IFERROR(VLOOKUP(A7,MasterTable[[#All],[WCAG guideline]:[Epilepsy]],11,FALSE)," ")*J7,0)</f>
        <v>0</v>
      </c>
      <c r="Y7" s="77">
        <f>IFERROR(IFERROR(VLOOKUP(A7,MasterTable[[#All],[WCAG guideline]:[Epilepsy]],12,FALSE)," ")*I7,0)</f>
        <v>0</v>
      </c>
      <c r="Z7" s="77">
        <f>IFERROR(IFERROR(VLOOKUP(A7,MasterTable[[#All],[WCAG guideline]:[Epilepsy]],12,FALSE)," ")*J7,0)</f>
        <v>0</v>
      </c>
    </row>
    <row r="8" spans="1:26" ht="45" customHeight="1" x14ac:dyDescent="0.4">
      <c r="A8" s="75" t="s">
        <v>320</v>
      </c>
      <c r="B8" s="44" t="str">
        <f>IFERROR(VLOOKUP(A8,MasterTable[[#All],[WCAG guideline]:[2.2 Level]],4,FALSE), "Not found")</f>
        <v>AAA</v>
      </c>
      <c r="C8" s="44">
        <f>COUNTIFS('Custom Test Script'!B2:B200,"*"&amp;'Findings Breakdown'!A8&amp;"*",'Custom Test Script'!D2:D200,'Validations List'!A107)+COUNTIFS('Report Entry'!D26:D207,"*"&amp;'Findings Breakdown'!A8&amp;"*",'Report Entry'!B26:B207,'Validations List'!A107)</f>
        <v>0</v>
      </c>
      <c r="D8" s="44">
        <f>COUNTIFS('Custom Test Script'!B2:B200,"*"&amp;'Findings Breakdown'!A8&amp;"*",'Custom Test Script'!D2:D200,'Validations List'!A106)+COUNTIFS('Report Entry'!D26:D207,"*"&amp;'Findings Breakdown'!A8&amp;"*",'Report Entry'!B26:B207,'Validations List'!A106)</f>
        <v>0</v>
      </c>
      <c r="E8" s="44">
        <f>COUNTIFS('Custom Test Script'!B2:B200,"*"&amp;'Findings Breakdown'!A8&amp;"*",'Custom Test Script'!D2:D200,'Validations List'!A105)+COUNTIFS('Report Entry'!D26:D207,"*"&amp;'Findings Breakdown'!A8&amp;"*",'Report Entry'!B26:B207,'Validations List'!A105)</f>
        <v>0</v>
      </c>
      <c r="F8" s="44">
        <f>COUNTIFS('Custom Test Script'!B2:B200,"*"&amp;'Findings Breakdown'!A8&amp;"*",'Custom Test Script'!D2:D200,'Validations List'!A108)+COUNTIFS('Report Entry'!D26:D207,"*"&amp;'Findings Breakdown'!A8&amp;"*",'Report Entry'!B26:B207,'Validations List'!A108)</f>
        <v>0</v>
      </c>
      <c r="G8" s="44">
        <f>COUNTIFS('Custom Test Script'!B2:B200,"*"&amp;'Findings Breakdown'!A8&amp;"*",'Custom Test Script'!D2:D200,'Validations List'!A109)+COUNTIFS('Report Entry'!D26:D207,"*"&amp;'Findings Breakdown'!A8&amp;"*",'Report Entry'!B26:B207,'Validations List'!A109)</f>
        <v>0</v>
      </c>
      <c r="H8" s="93" t="str" cm="1">
        <f t="array" ref="H8">INDEX('Validations List'!A120:D120,SUMPRODUCT(MAX(('Validations List'!A120:D143='Findings Breakdown'!A8)*(COLUMN('Validations List'!A120:D143))))-COLUMN('Validations List'!A120)+1)</f>
        <v>Not Ranked</v>
      </c>
      <c r="I8" s="76" t="str">
        <f>IFERROR(WCAG20results[[#This Row],['# Support w/ Exceptions]]*WCAG20results[[#This Row],[Excepts Value per]]+(WCAG20results[[#This Row],['# Supports]]+WCAG20results[[#This Row],['# Does Not Apply]])*WCAG20results[[#This Row],[Supports Value per]]," ")</f>
        <v xml:space="preserve"> </v>
      </c>
      <c r="J8" s="76" t="str">
        <f>IFERROR(MasterTable[[#This Row],['# Custom Test questions]]*WCAG20results[[#This Row],[Supports Value per]]," ")</f>
        <v xml:space="preserve"> </v>
      </c>
      <c r="K8" s="77" t="str">
        <f>IF(WCAG20results[[#This Row],[Importance by Agency]]='Validations List'!A113,'Validations List'!D113,IF(WCAG20results[[#This Row],[Importance by Agency]]='Validations List'!A114,'Validations List'!D114,IF(WCAG20results[[#This Row],[Importance by Agency]]='Validations List'!A115,'Validations List'!D115,"Not Ranked")))</f>
        <v>Not Ranked</v>
      </c>
      <c r="L8" s="44" t="str">
        <f>IF(WCAG20results[[#This Row],[Importance by Agency]]='Validations List'!A113,'Validations List'!C113,IF(WCAG20results[[#This Row],[Importance by Agency]]='Validations List'!A114,'Validations List'!C114,IF(WCAG20results[[#This Row],[Importance by Agency]]='Validations List'!A115,'Validations List'!C115,"Not Ranked")))</f>
        <v>Not Ranked</v>
      </c>
      <c r="M8" s="76">
        <f>IFERROR(IFERROR(VLOOKUP(A8,MasterTable[[#All],[WCAG guideline]:[Epilepsy]],6,FALSE)," ")*I8,0)</f>
        <v>0</v>
      </c>
      <c r="N8" s="76">
        <f>IFERROR(IFERROR(VLOOKUP(A8,MasterTable[[#All],[WCAG guideline]:[Epilepsy]],6,FALSE)," ")*J8,0)</f>
        <v>0</v>
      </c>
      <c r="O8" s="77">
        <f>IFERROR(IFERROR(VLOOKUP(A8,MasterTable[[#All],[WCAG guideline]:[Epilepsy]],7,FALSE)," ")*I8,0)</f>
        <v>0</v>
      </c>
      <c r="P8" s="77">
        <f>IFERROR(IFERROR(VLOOKUP(A8,MasterTable[[#All],[WCAG guideline]:[Epilepsy]],7,FALSE)," ")*J8,0)</f>
        <v>0</v>
      </c>
      <c r="Q8" s="77">
        <f>IFERROR(IFERROR(VLOOKUP(A8,MasterTable[[#All],[WCAG guideline]:[Epilepsy]],8,FALSE)," ")*I8,0)</f>
        <v>0</v>
      </c>
      <c r="R8" s="77">
        <f>IFERROR(IFERROR(VLOOKUP(A8,MasterTable[[#All],[WCAG guideline]:[Epilepsy]],8,FALSE)," ")*J8,0)</f>
        <v>0</v>
      </c>
      <c r="S8" s="77">
        <f>IFERROR(IFERROR(VLOOKUP(A8,MasterTable[[#All],[WCAG guideline]:[Epilepsy]],9,FALSE)," ")*I8,0)</f>
        <v>0</v>
      </c>
      <c r="T8" s="77">
        <f>IFERROR(IFERROR(VLOOKUP(A8,MasterTable[[#All],[WCAG guideline]:[Epilepsy]],9,FALSE)," ")*J8,0)</f>
        <v>0</v>
      </c>
      <c r="U8" s="77">
        <f>IFERROR(IFERROR(VLOOKUP(A8,MasterTable[[#All],[WCAG guideline]:[Epilepsy]],10,FALSE)," ")*I8,0)</f>
        <v>0</v>
      </c>
      <c r="V8" s="77">
        <f>IFERROR(IFERROR(VLOOKUP(A8,MasterTable[[#All],[WCAG guideline]:[Epilepsy]],10,FALSE)," ")*J8,0)</f>
        <v>0</v>
      </c>
      <c r="W8" s="77">
        <f>IFERROR(IFERROR(VLOOKUP(A8,MasterTable[[#All],[WCAG guideline]:[Epilepsy]],11,FALSE)," ")*I8,0)</f>
        <v>0</v>
      </c>
      <c r="X8" s="77">
        <f>IFERROR(IFERROR(VLOOKUP(A8,MasterTable[[#All],[WCAG guideline]:[Epilepsy]],11,FALSE)," ")*J8,0)</f>
        <v>0</v>
      </c>
      <c r="Y8" s="77">
        <f>IFERROR(IFERROR(VLOOKUP(A8,MasterTable[[#All],[WCAG guideline]:[Epilepsy]],12,FALSE)," ")*I8,0)</f>
        <v>0</v>
      </c>
      <c r="Z8" s="77">
        <f>IFERROR(IFERROR(VLOOKUP(A8,MasterTable[[#All],[WCAG guideline]:[Epilepsy]],12,FALSE)," ")*J8,0)</f>
        <v>0</v>
      </c>
    </row>
    <row r="9" spans="1:26" ht="45" customHeight="1" x14ac:dyDescent="0.4">
      <c r="A9" s="75" t="s">
        <v>321</v>
      </c>
      <c r="B9" s="44" t="str">
        <f>IFERROR(VLOOKUP(A9,MasterTable[[#All],[WCAG guideline]:[2.2 Level]],4,FALSE), "Not found")</f>
        <v>AAA</v>
      </c>
      <c r="C9" s="44">
        <f>COUNTIFS('Custom Test Script'!B2:B200,"*"&amp;'Findings Breakdown'!A9&amp;"*",'Custom Test Script'!D2:D200,'Validations List'!A107)+COUNTIFS('Report Entry'!D26:D207,"*"&amp;'Findings Breakdown'!A9&amp;"*",'Report Entry'!B26:B207,'Validations List'!A107)</f>
        <v>0</v>
      </c>
      <c r="D9" s="44">
        <f>COUNTIFS('Custom Test Script'!B2:B200,"*"&amp;'Findings Breakdown'!A9&amp;"*",'Custom Test Script'!D2:D200,'Validations List'!A106)+COUNTIFS('Report Entry'!D26:D207,"*"&amp;'Findings Breakdown'!A9&amp;"*",'Report Entry'!B26:B207,'Validations List'!A106)</f>
        <v>0</v>
      </c>
      <c r="E9" s="44">
        <f>COUNTIFS('Custom Test Script'!B2:B200,"*"&amp;'Findings Breakdown'!A9&amp;"*",'Custom Test Script'!D2:D200,'Validations List'!A105)+COUNTIFS('Report Entry'!D26:D207,"*"&amp;'Findings Breakdown'!A9&amp;"*",'Report Entry'!B26:B207,'Validations List'!A105)</f>
        <v>0</v>
      </c>
      <c r="F9" s="44">
        <f>COUNTIFS('Custom Test Script'!B2:B200,"*"&amp;'Findings Breakdown'!A9&amp;"*",'Custom Test Script'!D2:D200,'Validations List'!A108)+COUNTIFS('Report Entry'!D26:D207,"*"&amp;'Findings Breakdown'!A9&amp;"*",'Report Entry'!B26:B207,'Validations List'!A108)</f>
        <v>0</v>
      </c>
      <c r="G9" s="44">
        <f>COUNTIFS('Custom Test Script'!B2:B200,"*"&amp;'Findings Breakdown'!A9&amp;"*",'Custom Test Script'!D2:D200,'Validations List'!A109)+COUNTIFS('Report Entry'!D26:D207,"*"&amp;'Findings Breakdown'!A9&amp;"*",'Report Entry'!B26:B207,'Validations List'!A109)</f>
        <v>0</v>
      </c>
      <c r="H9" s="93" t="str" cm="1">
        <f t="array" ref="H9">INDEX('Validations List'!A120:D120,SUMPRODUCT(MAX(('Validations List'!A120:D143='Findings Breakdown'!A9)*(COLUMN('Validations List'!A120:D143))))-COLUMN('Validations List'!A120)+1)</f>
        <v>Not Ranked</v>
      </c>
      <c r="I9" s="76" t="str">
        <f>IFERROR(WCAG20results[[#This Row],['# Support w/ Exceptions]]*WCAG20results[[#This Row],[Excepts Value per]]+(WCAG20results[[#This Row],['# Supports]]+WCAG20results[[#This Row],['# Does Not Apply]])*WCAG20results[[#This Row],[Supports Value per]]," ")</f>
        <v xml:space="preserve"> </v>
      </c>
      <c r="J9" s="76" t="str">
        <f>IFERROR(MasterTable[[#This Row],['# Custom Test questions]]*WCAG20results[[#This Row],[Supports Value per]]," ")</f>
        <v xml:space="preserve"> </v>
      </c>
      <c r="K9" s="77" t="str">
        <f>IF(WCAG20results[[#This Row],[Importance by Agency]]='Validations List'!A113,'Validations List'!D113,IF(WCAG20results[[#This Row],[Importance by Agency]]='Validations List'!A114,'Validations List'!D114,IF(WCAG20results[[#This Row],[Importance by Agency]]='Validations List'!A115,'Validations List'!D115,"Not Ranked")))</f>
        <v>Not Ranked</v>
      </c>
      <c r="L9" s="44" t="str">
        <f>IF(WCAG20results[[#This Row],[Importance by Agency]]='Validations List'!A113,'Validations List'!C113,IF(WCAG20results[[#This Row],[Importance by Agency]]='Validations List'!A114,'Validations List'!C114,IF(WCAG20results[[#This Row],[Importance by Agency]]='Validations List'!A115,'Validations List'!C115,"Not Ranked")))</f>
        <v>Not Ranked</v>
      </c>
      <c r="M9" s="76">
        <f>IFERROR(IFERROR(VLOOKUP(A9,MasterTable[[#All],[WCAG guideline]:[Epilepsy]],6,FALSE)," ")*I9,0)</f>
        <v>0</v>
      </c>
      <c r="N9" s="76">
        <f>IFERROR(IFERROR(VLOOKUP(A9,MasterTable[[#All],[WCAG guideline]:[Epilepsy]],6,FALSE)," ")*J9,0)</f>
        <v>0</v>
      </c>
      <c r="O9" s="77">
        <f>IFERROR(IFERROR(VLOOKUP(A9,MasterTable[[#All],[WCAG guideline]:[Epilepsy]],7,FALSE)," ")*I9,0)</f>
        <v>0</v>
      </c>
      <c r="P9" s="77">
        <f>IFERROR(IFERROR(VLOOKUP(A9,MasterTable[[#All],[WCAG guideline]:[Epilepsy]],7,FALSE)," ")*J9,0)</f>
        <v>0</v>
      </c>
      <c r="Q9" s="77">
        <f>IFERROR(IFERROR(VLOOKUP(A9,MasterTable[[#All],[WCAG guideline]:[Epilepsy]],8,FALSE)," ")*I9,0)</f>
        <v>0</v>
      </c>
      <c r="R9" s="77">
        <f>IFERROR(IFERROR(VLOOKUP(A9,MasterTable[[#All],[WCAG guideline]:[Epilepsy]],8,FALSE)," ")*J9,0)</f>
        <v>0</v>
      </c>
      <c r="S9" s="77">
        <f>IFERROR(IFERROR(VLOOKUP(A9,MasterTable[[#All],[WCAG guideline]:[Epilepsy]],9,FALSE)," ")*I9,0)</f>
        <v>0</v>
      </c>
      <c r="T9" s="77">
        <f>IFERROR(IFERROR(VLOOKUP(A9,MasterTable[[#All],[WCAG guideline]:[Epilepsy]],9,FALSE)," ")*J9,0)</f>
        <v>0</v>
      </c>
      <c r="U9" s="77">
        <f>IFERROR(IFERROR(VLOOKUP(A9,MasterTable[[#All],[WCAG guideline]:[Epilepsy]],10,FALSE)," ")*I9,0)</f>
        <v>0</v>
      </c>
      <c r="V9" s="77">
        <f>IFERROR(IFERROR(VLOOKUP(A9,MasterTable[[#All],[WCAG guideline]:[Epilepsy]],10,FALSE)," ")*J9,0)</f>
        <v>0</v>
      </c>
      <c r="W9" s="77">
        <f>IFERROR(IFERROR(VLOOKUP(A9,MasterTable[[#All],[WCAG guideline]:[Epilepsy]],11,FALSE)," ")*I9,0)</f>
        <v>0</v>
      </c>
      <c r="X9" s="77">
        <f>IFERROR(IFERROR(VLOOKUP(A9,MasterTable[[#All],[WCAG guideline]:[Epilepsy]],11,FALSE)," ")*J9,0)</f>
        <v>0</v>
      </c>
      <c r="Y9" s="77">
        <f>IFERROR(IFERROR(VLOOKUP(A9,MasterTable[[#All],[WCAG guideline]:[Epilepsy]],12,FALSE)," ")*I9,0)</f>
        <v>0</v>
      </c>
      <c r="Z9" s="77">
        <f>IFERROR(IFERROR(VLOOKUP(A9,MasterTable[[#All],[WCAG guideline]:[Epilepsy]],12,FALSE)," ")*J9,0)</f>
        <v>0</v>
      </c>
    </row>
    <row r="10" spans="1:26" ht="45" customHeight="1" x14ac:dyDescent="0.4">
      <c r="A10" s="75" t="s">
        <v>322</v>
      </c>
      <c r="B10" s="44" t="str">
        <f>IFERROR(VLOOKUP(A10,MasterTable[[#All],[WCAG guideline]:[2.2 Level]],4,FALSE), "Not found")</f>
        <v>AAA</v>
      </c>
      <c r="C10" s="44">
        <f>COUNTIFS('Custom Test Script'!B2:B200,"*"&amp;'Findings Breakdown'!A10&amp;"*",'Custom Test Script'!D2:D200,'Validations List'!A107)+COUNTIFS('Report Entry'!D26:D207,"*"&amp;'Findings Breakdown'!A10&amp;"*",'Report Entry'!B26:B207,'Validations List'!A107)</f>
        <v>0</v>
      </c>
      <c r="D10" s="44">
        <f>COUNTIFS('Custom Test Script'!B2:B200,"*"&amp;'Findings Breakdown'!A10&amp;"*",'Custom Test Script'!D2:D200,'Validations List'!A106)+COUNTIFS('Report Entry'!D26:D207,"*"&amp;'Findings Breakdown'!A10&amp;"*",'Report Entry'!B26:B207,'Validations List'!A106)</f>
        <v>0</v>
      </c>
      <c r="E10" s="44">
        <f>COUNTIFS('Custom Test Script'!B2:B200,"*"&amp;'Findings Breakdown'!A10&amp;"*",'Custom Test Script'!D2:D200,'Validations List'!A105)+COUNTIFS('Report Entry'!D26:D207,"*"&amp;'Findings Breakdown'!A10&amp;"*",'Report Entry'!B26:B207,'Validations List'!A105)</f>
        <v>0</v>
      </c>
      <c r="F10" s="44">
        <f>COUNTIFS('Custom Test Script'!B2:B200,"*"&amp;'Findings Breakdown'!A10&amp;"*",'Custom Test Script'!D2:D200,'Validations List'!A108)+COUNTIFS('Report Entry'!D26:D207,"*"&amp;'Findings Breakdown'!A10&amp;"*",'Report Entry'!B26:B207,'Validations List'!A108)</f>
        <v>0</v>
      </c>
      <c r="G10" s="44">
        <f>COUNTIFS('Custom Test Script'!B2:B200,"*"&amp;'Findings Breakdown'!A10&amp;"*",'Custom Test Script'!D2:D200,'Validations List'!A109)+COUNTIFS('Report Entry'!D26:D207,"*"&amp;'Findings Breakdown'!A10&amp;"*",'Report Entry'!B26:B207,'Validations List'!A109)</f>
        <v>0</v>
      </c>
      <c r="H10" s="93" t="str" cm="1">
        <f t="array" ref="H10">INDEX('Validations List'!A120:D120,SUMPRODUCT(MAX(('Validations List'!A120:D143='Findings Breakdown'!A10)*(COLUMN('Validations List'!A120:D143))))-COLUMN('Validations List'!A120)+1)</f>
        <v>Not Ranked</v>
      </c>
      <c r="I10" s="76" t="str">
        <f>IFERROR(WCAG20results[[#This Row],['# Support w/ Exceptions]]*WCAG20results[[#This Row],[Excepts Value per]]+(WCAG20results[[#This Row],['# Supports]]+WCAG20results[[#This Row],['# Does Not Apply]])*WCAG20results[[#This Row],[Supports Value per]]," ")</f>
        <v xml:space="preserve"> </v>
      </c>
      <c r="J10" s="76" t="str">
        <f>IFERROR(MasterTable[[#This Row],['# Custom Test questions]]*WCAG20results[[#This Row],[Supports Value per]]," ")</f>
        <v xml:space="preserve"> </v>
      </c>
      <c r="K10" s="77" t="str">
        <f>IF(WCAG20results[[#This Row],[Importance by Agency]]='Validations List'!A113,'Validations List'!D113,IF(WCAG20results[[#This Row],[Importance by Agency]]='Validations List'!A114,'Validations List'!D114,IF(WCAG20results[[#This Row],[Importance by Agency]]='Validations List'!A115,'Validations List'!D115,"Not Ranked")))</f>
        <v>Not Ranked</v>
      </c>
      <c r="L10" s="44" t="str">
        <f>IF(WCAG20results[[#This Row],[Importance by Agency]]='Validations List'!A113,'Validations List'!C113,IF(WCAG20results[[#This Row],[Importance by Agency]]='Validations List'!A114,'Validations List'!C114,IF(WCAG20results[[#This Row],[Importance by Agency]]='Validations List'!A115,'Validations List'!C115,"Not Ranked")))</f>
        <v>Not Ranked</v>
      </c>
      <c r="M10" s="76">
        <f>IFERROR(IFERROR(VLOOKUP(A10,MasterTable[[#All],[WCAG guideline]:[Epilepsy]],6,FALSE)," ")*I10,0)</f>
        <v>0</v>
      </c>
      <c r="N10" s="76">
        <f>IFERROR(IFERROR(VLOOKUP(A10,MasterTable[[#All],[WCAG guideline]:[Epilepsy]],6,FALSE)," ")*J10,0)</f>
        <v>0</v>
      </c>
      <c r="O10" s="77">
        <f>IFERROR(IFERROR(VLOOKUP(A10,MasterTable[[#All],[WCAG guideline]:[Epilepsy]],7,FALSE)," ")*I10,0)</f>
        <v>0</v>
      </c>
      <c r="P10" s="77">
        <f>IFERROR(IFERROR(VLOOKUP(A10,MasterTable[[#All],[WCAG guideline]:[Epilepsy]],7,FALSE)," ")*J10,0)</f>
        <v>0</v>
      </c>
      <c r="Q10" s="77">
        <f>IFERROR(IFERROR(VLOOKUP(A10,MasterTable[[#All],[WCAG guideline]:[Epilepsy]],8,FALSE)," ")*I10,0)</f>
        <v>0</v>
      </c>
      <c r="R10" s="77">
        <f>IFERROR(IFERROR(VLOOKUP(A10,MasterTable[[#All],[WCAG guideline]:[Epilepsy]],8,FALSE)," ")*J10,0)</f>
        <v>0</v>
      </c>
      <c r="S10" s="77">
        <f>IFERROR(IFERROR(VLOOKUP(A10,MasterTable[[#All],[WCAG guideline]:[Epilepsy]],9,FALSE)," ")*I10,0)</f>
        <v>0</v>
      </c>
      <c r="T10" s="77">
        <f>IFERROR(IFERROR(VLOOKUP(A10,MasterTable[[#All],[WCAG guideline]:[Epilepsy]],9,FALSE)," ")*J10,0)</f>
        <v>0</v>
      </c>
      <c r="U10" s="77">
        <f>IFERROR(IFERROR(VLOOKUP(A10,MasterTable[[#All],[WCAG guideline]:[Epilepsy]],10,FALSE)," ")*I10,0)</f>
        <v>0</v>
      </c>
      <c r="V10" s="77">
        <f>IFERROR(IFERROR(VLOOKUP(A10,MasterTable[[#All],[WCAG guideline]:[Epilepsy]],10,FALSE)," ")*J10,0)</f>
        <v>0</v>
      </c>
      <c r="W10" s="77">
        <f>IFERROR(IFERROR(VLOOKUP(A10,MasterTable[[#All],[WCAG guideline]:[Epilepsy]],11,FALSE)," ")*I10,0)</f>
        <v>0</v>
      </c>
      <c r="X10" s="77">
        <f>IFERROR(IFERROR(VLOOKUP(A10,MasterTable[[#All],[WCAG guideline]:[Epilepsy]],11,FALSE)," ")*J10,0)</f>
        <v>0</v>
      </c>
      <c r="Y10" s="77">
        <f>IFERROR(IFERROR(VLOOKUP(A10,MasterTable[[#All],[WCAG guideline]:[Epilepsy]],12,FALSE)," ")*I10,0)</f>
        <v>0</v>
      </c>
      <c r="Z10" s="77">
        <f>IFERROR(IFERROR(VLOOKUP(A10,MasterTable[[#All],[WCAG guideline]:[Epilepsy]],12,FALSE)," ")*J10,0)</f>
        <v>0</v>
      </c>
    </row>
    <row r="11" spans="1:26" ht="45" customHeight="1" x14ac:dyDescent="0.4">
      <c r="A11" s="75" t="s">
        <v>323</v>
      </c>
      <c r="B11" s="44" t="str">
        <f>IFERROR(VLOOKUP(A11,MasterTable[[#All],[WCAG guideline]:[2.2 Level]],4,FALSE), "Not found")</f>
        <v>AAA</v>
      </c>
      <c r="C11" s="44">
        <f>COUNTIFS('Custom Test Script'!B2:B200,"*"&amp;'Findings Breakdown'!A11&amp;"*",'Custom Test Script'!D2:D200,'Validations List'!A107)+COUNTIFS('Report Entry'!D26:D207,"*"&amp;'Findings Breakdown'!A11&amp;"*",'Report Entry'!B26:B207,'Validations List'!A107)</f>
        <v>0</v>
      </c>
      <c r="D11" s="44">
        <f>COUNTIFS('Custom Test Script'!B2:B200,"*"&amp;'Findings Breakdown'!A11&amp;"*",'Custom Test Script'!D2:D200,'Validations List'!A106)+COUNTIFS('Report Entry'!D26:D207,"*"&amp;'Findings Breakdown'!A11&amp;"*",'Report Entry'!B26:B207,'Validations List'!A106)</f>
        <v>0</v>
      </c>
      <c r="E11" s="44">
        <f>COUNTIFS('Custom Test Script'!B2:B200,"*"&amp;'Findings Breakdown'!A11&amp;"*",'Custom Test Script'!D2:D200,'Validations List'!A105)+COUNTIFS('Report Entry'!D26:D207,"*"&amp;'Findings Breakdown'!A11&amp;"*",'Report Entry'!B26:B207,'Validations List'!A105)</f>
        <v>0</v>
      </c>
      <c r="F11" s="44">
        <f>COUNTIFS('Custom Test Script'!B2:B200,"*"&amp;'Findings Breakdown'!A11&amp;"*",'Custom Test Script'!D2:D200,'Validations List'!A108)+COUNTIFS('Report Entry'!D26:D207,"*"&amp;'Findings Breakdown'!A11&amp;"*",'Report Entry'!B26:B207,'Validations List'!A108)</f>
        <v>0</v>
      </c>
      <c r="G11" s="44">
        <f>COUNTIFS('Custom Test Script'!B2:B200,"*"&amp;'Findings Breakdown'!A11&amp;"*",'Custom Test Script'!D2:D200,'Validations List'!A109)+COUNTIFS('Report Entry'!D26:D207,"*"&amp;'Findings Breakdown'!A11&amp;"*",'Report Entry'!B26:B207,'Validations List'!A109)</f>
        <v>0</v>
      </c>
      <c r="H11" s="93" t="str" cm="1">
        <f t="array" ref="H11">INDEX('Validations List'!A120:D120,SUMPRODUCT(MAX(('Validations List'!A120:D143='Findings Breakdown'!A11)*(COLUMN('Validations List'!A120:D143))))-COLUMN('Validations List'!A120)+1)</f>
        <v>Not Ranked</v>
      </c>
      <c r="I11" s="76" t="str">
        <f>IFERROR(WCAG20results[[#This Row],['# Support w/ Exceptions]]*WCAG20results[[#This Row],[Excepts Value per]]+(WCAG20results[[#This Row],['# Supports]]+WCAG20results[[#This Row],['# Does Not Apply]])*WCAG20results[[#This Row],[Supports Value per]]," ")</f>
        <v xml:space="preserve"> </v>
      </c>
      <c r="J11" s="76" t="str">
        <f>IFERROR(MasterTable[[#This Row],['# Custom Test questions]]*WCAG20results[[#This Row],[Supports Value per]]," ")</f>
        <v xml:space="preserve"> </v>
      </c>
      <c r="K11" s="77" t="str">
        <f>IF(WCAG20results[[#This Row],[Importance by Agency]]='Validations List'!A113,'Validations List'!D113,IF(WCAG20results[[#This Row],[Importance by Agency]]='Validations List'!A114,'Validations List'!D114,IF(WCAG20results[[#This Row],[Importance by Agency]]='Validations List'!A115,'Validations List'!D115,"Not Ranked")))</f>
        <v>Not Ranked</v>
      </c>
      <c r="L11" s="44" t="str">
        <f>IF(WCAG20results[[#This Row],[Importance by Agency]]='Validations List'!A113,'Validations List'!C113,IF(WCAG20results[[#This Row],[Importance by Agency]]='Validations List'!A114,'Validations List'!C114,IF(WCAG20results[[#This Row],[Importance by Agency]]='Validations List'!A115,'Validations List'!C115,"Not Ranked")))</f>
        <v>Not Ranked</v>
      </c>
      <c r="M11" s="76">
        <f>IFERROR(IFERROR(VLOOKUP(A11,MasterTable[[#All],[WCAG guideline]:[Epilepsy]],6,FALSE)," ")*I11,0)</f>
        <v>0</v>
      </c>
      <c r="N11" s="76">
        <f>IFERROR(IFERROR(VLOOKUP(A11,MasterTable[[#All],[WCAG guideline]:[Epilepsy]],6,FALSE)," ")*J11,0)</f>
        <v>0</v>
      </c>
      <c r="O11" s="77">
        <f>IFERROR(IFERROR(VLOOKUP(A11,MasterTable[[#All],[WCAG guideline]:[Epilepsy]],7,FALSE)," ")*I11,0)</f>
        <v>0</v>
      </c>
      <c r="P11" s="77">
        <f>IFERROR(IFERROR(VLOOKUP(A11,MasterTable[[#All],[WCAG guideline]:[Epilepsy]],7,FALSE)," ")*J11,0)</f>
        <v>0</v>
      </c>
      <c r="Q11" s="77">
        <f>IFERROR(IFERROR(VLOOKUP(A11,MasterTable[[#All],[WCAG guideline]:[Epilepsy]],8,FALSE)," ")*I11,0)</f>
        <v>0</v>
      </c>
      <c r="R11" s="77">
        <f>IFERROR(IFERROR(VLOOKUP(A11,MasterTable[[#All],[WCAG guideline]:[Epilepsy]],8,FALSE)," ")*J11,0)</f>
        <v>0</v>
      </c>
      <c r="S11" s="77">
        <f>IFERROR(IFERROR(VLOOKUP(A11,MasterTable[[#All],[WCAG guideline]:[Epilepsy]],9,FALSE)," ")*I11,0)</f>
        <v>0</v>
      </c>
      <c r="T11" s="77">
        <f>IFERROR(IFERROR(VLOOKUP(A11,MasterTable[[#All],[WCAG guideline]:[Epilepsy]],9,FALSE)," ")*J11,0)</f>
        <v>0</v>
      </c>
      <c r="U11" s="77">
        <f>IFERROR(IFERROR(VLOOKUP(A11,MasterTable[[#All],[WCAG guideline]:[Epilepsy]],10,FALSE)," ")*I11,0)</f>
        <v>0</v>
      </c>
      <c r="V11" s="77">
        <f>IFERROR(IFERROR(VLOOKUP(A11,MasterTable[[#All],[WCAG guideline]:[Epilepsy]],10,FALSE)," ")*J11,0)</f>
        <v>0</v>
      </c>
      <c r="W11" s="77">
        <f>IFERROR(IFERROR(VLOOKUP(A11,MasterTable[[#All],[WCAG guideline]:[Epilepsy]],11,FALSE)," ")*I11,0)</f>
        <v>0</v>
      </c>
      <c r="X11" s="77">
        <f>IFERROR(IFERROR(VLOOKUP(A11,MasterTable[[#All],[WCAG guideline]:[Epilepsy]],11,FALSE)," ")*J11,0)</f>
        <v>0</v>
      </c>
      <c r="Y11" s="77">
        <f>IFERROR(IFERROR(VLOOKUP(A11,MasterTable[[#All],[WCAG guideline]:[Epilepsy]],12,FALSE)," ")*I11,0)</f>
        <v>0</v>
      </c>
      <c r="Z11" s="77">
        <f>IFERROR(IFERROR(VLOOKUP(A11,MasterTable[[#All],[WCAG guideline]:[Epilepsy]],12,FALSE)," ")*J11,0)</f>
        <v>0</v>
      </c>
    </row>
    <row r="12" spans="1:26" ht="45" customHeight="1" x14ac:dyDescent="0.4">
      <c r="A12" s="75" t="s">
        <v>283</v>
      </c>
      <c r="B12" s="44" t="str">
        <f>IFERROR(VLOOKUP(A12,MasterTable[[#All],[WCAG guideline]:[2.2 Level]],4,FALSE), "Not found")</f>
        <v>A</v>
      </c>
      <c r="C12" s="44">
        <f>COUNTIFS('Custom Test Script'!B2:B200,"*"&amp;'Findings Breakdown'!A12&amp;"*",'Custom Test Script'!D2:D200,'Validations List'!A107)+COUNTIFS('Report Entry'!D26:D207,"*"&amp;'Findings Breakdown'!A12&amp;"*",'Report Entry'!B26:B207,'Validations List'!A107)</f>
        <v>0</v>
      </c>
      <c r="D12" s="44">
        <f>COUNTIFS('Custom Test Script'!B2:B200,"*"&amp;'Findings Breakdown'!A12&amp;"*",'Custom Test Script'!D2:D200,'Validations List'!A106)+COUNTIFS('Report Entry'!D26:D207,"*"&amp;'Findings Breakdown'!A12&amp;"*",'Report Entry'!B26:B207,'Validations List'!A106)</f>
        <v>0</v>
      </c>
      <c r="E12" s="44">
        <f>COUNTIFS('Custom Test Script'!B2:B200,"*"&amp;'Findings Breakdown'!A12&amp;"*",'Custom Test Script'!D2:D200,'Validations List'!A105)+COUNTIFS('Report Entry'!D26:D207,"*"&amp;'Findings Breakdown'!A12&amp;"*",'Report Entry'!B26:B207,'Validations List'!A105)</f>
        <v>0</v>
      </c>
      <c r="F12" s="44">
        <f>COUNTIFS('Custom Test Script'!B2:B200,"*"&amp;'Findings Breakdown'!A12&amp;"*",'Custom Test Script'!D2:D200,'Validations List'!A108)+COUNTIFS('Report Entry'!D26:D207,"*"&amp;'Findings Breakdown'!A12&amp;"*",'Report Entry'!B26:B207,'Validations List'!A108)</f>
        <v>0</v>
      </c>
      <c r="G12" s="44">
        <f>COUNTIFS('Custom Test Script'!B2:B200,"*"&amp;'Findings Breakdown'!A12&amp;"*",'Custom Test Script'!D2:D200,'Validations List'!A109)+COUNTIFS('Report Entry'!D26:D207,"*"&amp;'Findings Breakdown'!A12&amp;"*",'Report Entry'!B26:B207,'Validations List'!A109)</f>
        <v>0</v>
      </c>
      <c r="H12" s="93" t="str" cm="1">
        <f t="array" ref="H12">INDEX('Validations List'!A120:D120,SUMPRODUCT(MAX(('Validations List'!A120:D143='Findings Breakdown'!A12)*(COLUMN('Validations List'!A120:D143))))-COLUMN('Validations List'!A120)+1)</f>
        <v>Standard</v>
      </c>
      <c r="I12" s="76">
        <f>IFERROR(WCAG20results[[#This Row],['# Support w/ Exceptions]]*WCAG20results[[#This Row],[Excepts Value per]]+(WCAG20results[[#This Row],['# Supports]]+WCAG20results[[#This Row],['# Does Not Apply]])*WCAG20results[[#This Row],[Supports Value per]]," ")</f>
        <v>0</v>
      </c>
      <c r="J12" s="76">
        <f>IFERROR(MasterTable[[#This Row],['# Custom Test questions]]*WCAG20results[[#This Row],[Supports Value per]]," ")</f>
        <v>50</v>
      </c>
      <c r="K12" s="77">
        <f>IF(WCAG20results[[#This Row],[Importance by Agency]]='Validations List'!A113,'Validations List'!D113,IF(WCAG20results[[#This Row],[Importance by Agency]]='Validations List'!A114,'Validations List'!D114,IF(WCAG20results[[#This Row],[Importance by Agency]]='Validations List'!A115,'Validations List'!D115,"Not Ranked")))</f>
        <v>50</v>
      </c>
      <c r="L12" s="44">
        <f>IF(WCAG20results[[#This Row],[Importance by Agency]]='Validations List'!A113,'Validations List'!C113,IF(WCAG20results[[#This Row],[Importance by Agency]]='Validations List'!A114,'Validations List'!C114,IF(WCAG20results[[#This Row],[Importance by Agency]]='Validations List'!A115,'Validations List'!C115,"Not Ranked")))</f>
        <v>25</v>
      </c>
      <c r="M12" s="76">
        <f>IFERROR(IFERROR(VLOOKUP(A12,MasterTable[[#All],[WCAG guideline]:[Epilepsy]],6,FALSE)," ")*I12,0)</f>
        <v>0</v>
      </c>
      <c r="N12" s="76">
        <f>IFERROR(IFERROR(VLOOKUP(A12,MasterTable[[#All],[WCAG guideline]:[Epilepsy]],6,FALSE)," ")*J12,0)</f>
        <v>50</v>
      </c>
      <c r="O12" s="77">
        <f>IFERROR(IFERROR(VLOOKUP(A12,MasterTable[[#All],[WCAG guideline]:[Epilepsy]],7,FALSE)," ")*I12,0)</f>
        <v>0</v>
      </c>
      <c r="P12" s="77">
        <f>IFERROR(IFERROR(VLOOKUP(A12,MasterTable[[#All],[WCAG guideline]:[Epilepsy]],7,FALSE)," ")*J12,0)</f>
        <v>0</v>
      </c>
      <c r="Q12" s="77">
        <f>IFERROR(IFERROR(VLOOKUP(A12,MasterTable[[#All],[WCAG guideline]:[Epilepsy]],8,FALSE)," ")*I12,0)</f>
        <v>0</v>
      </c>
      <c r="R12" s="77">
        <f>IFERROR(IFERROR(VLOOKUP(A12,MasterTable[[#All],[WCAG guideline]:[Epilepsy]],8,FALSE)," ")*J12,0)</f>
        <v>0</v>
      </c>
      <c r="S12" s="77">
        <f>IFERROR(IFERROR(VLOOKUP(A12,MasterTable[[#All],[WCAG guideline]:[Epilepsy]],9,FALSE)," ")*I12,0)</f>
        <v>0</v>
      </c>
      <c r="T12" s="77">
        <f>IFERROR(IFERROR(VLOOKUP(A12,MasterTable[[#All],[WCAG guideline]:[Epilepsy]],9,FALSE)," ")*J12,0)</f>
        <v>0</v>
      </c>
      <c r="U12" s="77">
        <f>IFERROR(IFERROR(VLOOKUP(A12,MasterTable[[#All],[WCAG guideline]:[Epilepsy]],10,FALSE)," ")*I12,0)</f>
        <v>0</v>
      </c>
      <c r="V12" s="77">
        <f>IFERROR(IFERROR(VLOOKUP(A12,MasterTable[[#All],[WCAG guideline]:[Epilepsy]],10,FALSE)," ")*J12,0)</f>
        <v>0</v>
      </c>
      <c r="W12" s="77">
        <f>IFERROR(IFERROR(VLOOKUP(A12,MasterTable[[#All],[WCAG guideline]:[Epilepsy]],11,FALSE)," ")*I12,0)</f>
        <v>0</v>
      </c>
      <c r="X12" s="77">
        <f>IFERROR(IFERROR(VLOOKUP(A12,MasterTable[[#All],[WCAG guideline]:[Epilepsy]],11,FALSE)," ")*J12,0)</f>
        <v>0</v>
      </c>
      <c r="Y12" s="77">
        <f>IFERROR(IFERROR(VLOOKUP(A12,MasterTable[[#All],[WCAG guideline]:[Epilepsy]],12,FALSE)," ")*I12,0)</f>
        <v>0</v>
      </c>
      <c r="Z12" s="77">
        <f>IFERROR(IFERROR(VLOOKUP(A12,MasterTable[[#All],[WCAG guideline]:[Epilepsy]],12,FALSE)," ")*J12,0)</f>
        <v>0</v>
      </c>
    </row>
    <row r="13" spans="1:26" ht="45" customHeight="1" x14ac:dyDescent="0.4">
      <c r="A13" s="75" t="s">
        <v>324</v>
      </c>
      <c r="B13" s="44" t="str">
        <f>IFERROR(VLOOKUP(A13,MasterTable[[#All],[WCAG guideline]:[2.2 Level]],4,FALSE), "Not found")</f>
        <v>A</v>
      </c>
      <c r="C13" s="44">
        <f>COUNTIFS('Custom Test Script'!B2:B200,"*"&amp;'Findings Breakdown'!A13&amp;"*",'Custom Test Script'!D2:D200,'Validations List'!A107)+COUNTIFS('Report Entry'!D26:D207,"*"&amp;'Findings Breakdown'!A13&amp;"*",'Report Entry'!B26:B207,'Validations List'!A107)</f>
        <v>0</v>
      </c>
      <c r="D13" s="44">
        <f>COUNTIFS('Custom Test Script'!B2:B200,"*"&amp;'Findings Breakdown'!A13&amp;"*",'Custom Test Script'!D2:D200,'Validations List'!A106)+COUNTIFS('Report Entry'!D26:D207,"*"&amp;'Findings Breakdown'!A13&amp;"*",'Report Entry'!B26:B207,'Validations List'!A106)</f>
        <v>0</v>
      </c>
      <c r="E13" s="44">
        <f>COUNTIFS('Custom Test Script'!B2:B200,"*"&amp;'Findings Breakdown'!A13&amp;"*",'Custom Test Script'!D2:D200,'Validations List'!A105)+COUNTIFS('Report Entry'!D26:D207,"*"&amp;'Findings Breakdown'!A13&amp;"*",'Report Entry'!B26:B207,'Validations List'!A105)</f>
        <v>0</v>
      </c>
      <c r="F13" s="44">
        <f>COUNTIFS('Custom Test Script'!B2:B200,"*"&amp;'Findings Breakdown'!A13&amp;"*",'Custom Test Script'!D2:D200,'Validations List'!A108)+COUNTIFS('Report Entry'!D26:D207,"*"&amp;'Findings Breakdown'!A13&amp;"*",'Report Entry'!B26:B207,'Validations List'!A108)</f>
        <v>0</v>
      </c>
      <c r="G13" s="44">
        <f>COUNTIFS('Custom Test Script'!B2:B200,"*"&amp;'Findings Breakdown'!A13&amp;"*",'Custom Test Script'!D2:D200,'Validations List'!A109)+COUNTIFS('Report Entry'!D26:D207,"*"&amp;'Findings Breakdown'!A13&amp;"*",'Report Entry'!B26:B207,'Validations List'!A109)</f>
        <v>0</v>
      </c>
      <c r="H13" s="93" t="str" cm="1">
        <f t="array" ref="H13">INDEX('Validations List'!A120:D120,SUMPRODUCT(MAX(('Validations List'!A120:D143='Findings Breakdown'!A13)*(COLUMN('Validations List'!A120:D143))))-COLUMN('Validations List'!A120)+1)</f>
        <v>Extremely Important</v>
      </c>
      <c r="I13" s="76">
        <f>IFERROR(WCAG20results[[#This Row],['# Support w/ Exceptions]]*WCAG20results[[#This Row],[Excepts Value per]]+(WCAG20results[[#This Row],['# Supports]]+WCAG20results[[#This Row],['# Does Not Apply]])*WCAG20results[[#This Row],[Supports Value per]]," ")</f>
        <v>0</v>
      </c>
      <c r="J13" s="76">
        <f>IFERROR(MasterTable[[#This Row],['# Custom Test questions]]*WCAG20results[[#This Row],[Supports Value per]]," ")</f>
        <v>300</v>
      </c>
      <c r="K13" s="77">
        <f>IF(WCAG20results[[#This Row],[Importance by Agency]]='Validations List'!A113,'Validations List'!D113,IF(WCAG20results[[#This Row],[Importance by Agency]]='Validations List'!A114,'Validations List'!D114,IF(WCAG20results[[#This Row],[Importance by Agency]]='Validations List'!A115,'Validations List'!D115,"Not Ranked")))</f>
        <v>300</v>
      </c>
      <c r="L13" s="44">
        <f>IF(WCAG20results[[#This Row],[Importance by Agency]]='Validations List'!A113,'Validations List'!C113,IF(WCAG20results[[#This Row],[Importance by Agency]]='Validations List'!A114,'Validations List'!C114,IF(WCAG20results[[#This Row],[Importance by Agency]]='Validations List'!A115,'Validations List'!C115,"Not Ranked")))</f>
        <v>150</v>
      </c>
      <c r="M13" s="76">
        <f>IFERROR(IFERROR(VLOOKUP(A13,MasterTable[[#All],[WCAG guideline]:[Epilepsy]],6,FALSE)," ")*I13,0)</f>
        <v>0</v>
      </c>
      <c r="N13" s="76">
        <f>IFERROR(IFERROR(VLOOKUP(A13,MasterTable[[#All],[WCAG guideline]:[Epilepsy]],6,FALSE)," ")*J13,0)</f>
        <v>300</v>
      </c>
      <c r="O13" s="77">
        <f>IFERROR(IFERROR(VLOOKUP(A13,MasterTable[[#All],[WCAG guideline]:[Epilepsy]],7,FALSE)," ")*I13,0)</f>
        <v>0</v>
      </c>
      <c r="P13" s="77">
        <f>IFERROR(IFERROR(VLOOKUP(A13,MasterTable[[#All],[WCAG guideline]:[Epilepsy]],7,FALSE)," ")*J13,0)</f>
        <v>0</v>
      </c>
      <c r="Q13" s="77">
        <f>IFERROR(IFERROR(VLOOKUP(A13,MasterTable[[#All],[WCAG guideline]:[Epilepsy]],8,FALSE)," ")*I13,0)</f>
        <v>0</v>
      </c>
      <c r="R13" s="77">
        <f>IFERROR(IFERROR(VLOOKUP(A13,MasterTable[[#All],[WCAG guideline]:[Epilepsy]],8,FALSE)," ")*J13,0)</f>
        <v>0</v>
      </c>
      <c r="S13" s="77">
        <f>IFERROR(IFERROR(VLOOKUP(A13,MasterTable[[#All],[WCAG guideline]:[Epilepsy]],9,FALSE)," ")*I13,0)</f>
        <v>0</v>
      </c>
      <c r="T13" s="77">
        <f>IFERROR(IFERROR(VLOOKUP(A13,MasterTable[[#All],[WCAG guideline]:[Epilepsy]],9,FALSE)," ")*J13,0)</f>
        <v>0</v>
      </c>
      <c r="U13" s="77">
        <f>IFERROR(IFERROR(VLOOKUP(A13,MasterTable[[#All],[WCAG guideline]:[Epilepsy]],10,FALSE)," ")*I13,0)</f>
        <v>0</v>
      </c>
      <c r="V13" s="77">
        <f>IFERROR(IFERROR(VLOOKUP(A13,MasterTable[[#All],[WCAG guideline]:[Epilepsy]],10,FALSE)," ")*J13,0)</f>
        <v>300</v>
      </c>
      <c r="W13" s="77">
        <f>IFERROR(IFERROR(VLOOKUP(A13,MasterTable[[#All],[WCAG guideline]:[Epilepsy]],11,FALSE)," ")*I13,0)</f>
        <v>0</v>
      </c>
      <c r="X13" s="77">
        <f>IFERROR(IFERROR(VLOOKUP(A13,MasterTable[[#All],[WCAG guideline]:[Epilepsy]],11,FALSE)," ")*J13,0)</f>
        <v>0</v>
      </c>
      <c r="Y13" s="77">
        <f>IFERROR(IFERROR(VLOOKUP(A13,MasterTable[[#All],[WCAG guideline]:[Epilepsy]],12,FALSE)," ")*I13,0)</f>
        <v>0</v>
      </c>
      <c r="Z13" s="77">
        <f>IFERROR(IFERROR(VLOOKUP(A13,MasterTable[[#All],[WCAG guideline]:[Epilepsy]],12,FALSE)," ")*J13,0)</f>
        <v>0</v>
      </c>
    </row>
    <row r="14" spans="1:26" ht="45" customHeight="1" x14ac:dyDescent="0.4">
      <c r="A14" s="75" t="s">
        <v>325</v>
      </c>
      <c r="B14" s="44" t="str">
        <f>IFERROR(VLOOKUP(A14,MasterTable[[#All],[WCAG guideline]:[2.2 Level]],4,FALSE), "Not found")</f>
        <v>A</v>
      </c>
      <c r="C14" s="44">
        <f>COUNTIFS('Custom Test Script'!B2:B200,"*"&amp;'Findings Breakdown'!A14&amp;"*",'Custom Test Script'!D2:D200,'Validations List'!A107)+COUNTIFS('Report Entry'!D26:D207,"*"&amp;'Findings Breakdown'!A14&amp;"*",'Report Entry'!B26:B207,'Validations List'!A107)</f>
        <v>0</v>
      </c>
      <c r="D14" s="44">
        <f>COUNTIFS('Custom Test Script'!B2:B200,"*"&amp;'Findings Breakdown'!A14&amp;"*",'Custom Test Script'!D2:D200,'Validations List'!A106)+COUNTIFS('Report Entry'!D26:D207,"*"&amp;'Findings Breakdown'!A14&amp;"*",'Report Entry'!B26:B207,'Validations List'!A106)</f>
        <v>0</v>
      </c>
      <c r="E14" s="44">
        <f>COUNTIFS('Custom Test Script'!B2:B200,"*"&amp;'Findings Breakdown'!A14&amp;"*",'Custom Test Script'!D2:D200,'Validations List'!A105)+COUNTIFS('Report Entry'!D26:D207,"*"&amp;'Findings Breakdown'!A14&amp;"*",'Report Entry'!B26:B207,'Validations List'!A105)</f>
        <v>0</v>
      </c>
      <c r="F14" s="44">
        <f>COUNTIFS('Custom Test Script'!B2:B200,"*"&amp;'Findings Breakdown'!A14&amp;"*",'Custom Test Script'!D2:D200,'Validations List'!A108)+COUNTIFS('Report Entry'!D26:D207,"*"&amp;'Findings Breakdown'!A14&amp;"*",'Report Entry'!B26:B207,'Validations List'!A108)</f>
        <v>0</v>
      </c>
      <c r="G14" s="44">
        <f>COUNTIFS('Custom Test Script'!B2:B200,"*"&amp;'Findings Breakdown'!A14&amp;"*",'Custom Test Script'!D2:D200,'Validations List'!A109)+COUNTIFS('Report Entry'!D26:D207,"*"&amp;'Findings Breakdown'!A14&amp;"*",'Report Entry'!B26:B207,'Validations List'!A109)</f>
        <v>0</v>
      </c>
      <c r="H14" s="93" t="str" cm="1">
        <f t="array" ref="H14">INDEX('Validations List'!A120:D120,SUMPRODUCT(MAX(('Validations List'!A120:D143='Findings Breakdown'!A14)*(COLUMN('Validations List'!A120:D143))))-COLUMN('Validations List'!A120)+1)</f>
        <v>Standard</v>
      </c>
      <c r="I14" s="76">
        <f>IFERROR(WCAG20results[[#This Row],['# Support w/ Exceptions]]*WCAG20results[[#This Row],[Excepts Value per]]+(WCAG20results[[#This Row],['# Supports]]+WCAG20results[[#This Row],['# Does Not Apply]])*WCAG20results[[#This Row],[Supports Value per]]," ")</f>
        <v>0</v>
      </c>
      <c r="J14" s="76">
        <f>IFERROR(MasterTable[[#This Row],['# Custom Test questions]]*WCAG20results[[#This Row],[Supports Value per]]," ")</f>
        <v>900</v>
      </c>
      <c r="K14" s="77">
        <f>IF(WCAG20results[[#This Row],[Importance by Agency]]='Validations List'!A113,'Validations List'!D113,IF(WCAG20results[[#This Row],[Importance by Agency]]='Validations List'!A114,'Validations List'!D114,IF(WCAG20results[[#This Row],[Importance by Agency]]='Validations List'!A115,'Validations List'!D115,"Not Ranked")))</f>
        <v>50</v>
      </c>
      <c r="L14" s="44">
        <f>IF(WCAG20results[[#This Row],[Importance by Agency]]='Validations List'!A113,'Validations List'!C113,IF(WCAG20results[[#This Row],[Importance by Agency]]='Validations List'!A114,'Validations List'!C114,IF(WCAG20results[[#This Row],[Importance by Agency]]='Validations List'!A115,'Validations List'!C115,"Not Ranked")))</f>
        <v>25</v>
      </c>
      <c r="M14" s="76">
        <f>IFERROR(IFERROR(VLOOKUP(A14,MasterTable[[#All],[WCAG guideline]:[Epilepsy]],6,FALSE)," ")*I14,0)</f>
        <v>0</v>
      </c>
      <c r="N14" s="76">
        <f>IFERROR(IFERROR(VLOOKUP(A14,MasterTable[[#All],[WCAG guideline]:[Epilepsy]],6,FALSE)," ")*J14,0)</f>
        <v>900</v>
      </c>
      <c r="O14" s="77">
        <f>IFERROR(IFERROR(VLOOKUP(A14,MasterTable[[#All],[WCAG guideline]:[Epilepsy]],7,FALSE)," ")*I14,0)</f>
        <v>0</v>
      </c>
      <c r="P14" s="77">
        <f>IFERROR(IFERROR(VLOOKUP(A14,MasterTable[[#All],[WCAG guideline]:[Epilepsy]],7,FALSE)," ")*J14,0)</f>
        <v>900</v>
      </c>
      <c r="Q14" s="77">
        <f>IFERROR(IFERROR(VLOOKUP(A14,MasterTable[[#All],[WCAG guideline]:[Epilepsy]],8,FALSE)," ")*I14,0)</f>
        <v>0</v>
      </c>
      <c r="R14" s="77">
        <f>IFERROR(IFERROR(VLOOKUP(A14,MasterTable[[#All],[WCAG guideline]:[Epilepsy]],8,FALSE)," ")*J14,0)</f>
        <v>900</v>
      </c>
      <c r="S14" s="77">
        <f>IFERROR(IFERROR(VLOOKUP(A14,MasterTable[[#All],[WCAG guideline]:[Epilepsy]],9,FALSE)," ")*I14,0)</f>
        <v>0</v>
      </c>
      <c r="T14" s="77">
        <f>IFERROR(IFERROR(VLOOKUP(A14,MasterTable[[#All],[WCAG guideline]:[Epilepsy]],9,FALSE)," ")*J14,0)</f>
        <v>900</v>
      </c>
      <c r="U14" s="77">
        <f>IFERROR(IFERROR(VLOOKUP(A14,MasterTable[[#All],[WCAG guideline]:[Epilepsy]],10,FALSE)," ")*I14,0)</f>
        <v>0</v>
      </c>
      <c r="V14" s="77">
        <f>IFERROR(IFERROR(VLOOKUP(A14,MasterTable[[#All],[WCAG guideline]:[Epilepsy]],10,FALSE)," ")*J14,0)</f>
        <v>900</v>
      </c>
      <c r="W14" s="77">
        <f>IFERROR(IFERROR(VLOOKUP(A14,MasterTable[[#All],[WCAG guideline]:[Epilepsy]],11,FALSE)," ")*I14,0)</f>
        <v>0</v>
      </c>
      <c r="X14" s="77">
        <f>IFERROR(IFERROR(VLOOKUP(A14,MasterTable[[#All],[WCAG guideline]:[Epilepsy]],11,FALSE)," ")*J14,0)</f>
        <v>900</v>
      </c>
      <c r="Y14" s="77">
        <f>IFERROR(IFERROR(VLOOKUP(A14,MasterTable[[#All],[WCAG guideline]:[Epilepsy]],12,FALSE)," ")*I14,0)</f>
        <v>0</v>
      </c>
      <c r="Z14" s="77">
        <f>IFERROR(IFERROR(VLOOKUP(A14,MasterTable[[#All],[WCAG guideline]:[Epilepsy]],12,FALSE)," ")*J14,0)</f>
        <v>0</v>
      </c>
    </row>
    <row r="15" spans="1:26" ht="45" customHeight="1" x14ac:dyDescent="0.4">
      <c r="A15" s="75" t="s">
        <v>326</v>
      </c>
      <c r="B15" s="44" t="str">
        <f>IFERROR(VLOOKUP(A15,MasterTable[[#All],[WCAG guideline]:[2.2 Level]],4,FALSE), "Not found")</f>
        <v>A</v>
      </c>
      <c r="C15" s="44">
        <f>COUNTIFS('Custom Test Script'!B2:B200,"*"&amp;'Findings Breakdown'!A15&amp;"*",'Custom Test Script'!D2:D200,'Validations List'!A107)+COUNTIFS('Report Entry'!D26:D207,"*"&amp;'Findings Breakdown'!A15&amp;"*",'Report Entry'!B26:B207,'Validations List'!A107)</f>
        <v>0</v>
      </c>
      <c r="D15" s="44">
        <f>COUNTIFS('Custom Test Script'!B2:B200,"*"&amp;'Findings Breakdown'!A15&amp;"*",'Custom Test Script'!D2:D200,'Validations List'!A106)+COUNTIFS('Report Entry'!D26:D207,"*"&amp;'Findings Breakdown'!A15&amp;"*",'Report Entry'!B26:B207,'Validations List'!A106)</f>
        <v>0</v>
      </c>
      <c r="E15" s="44">
        <f>COUNTIFS('Custom Test Script'!B2:B200,"*"&amp;'Findings Breakdown'!A15&amp;"*",'Custom Test Script'!D2:D200,'Validations List'!A105)+COUNTIFS('Report Entry'!D26:D207,"*"&amp;'Findings Breakdown'!A15&amp;"*",'Report Entry'!B26:B207,'Validations List'!A105)</f>
        <v>0</v>
      </c>
      <c r="F15" s="44">
        <f>COUNTIFS('Custom Test Script'!B2:B200,"*"&amp;'Findings Breakdown'!A15&amp;"*",'Custom Test Script'!D2:D200,'Validations List'!A108)+COUNTIFS('Report Entry'!D26:D207,"*"&amp;'Findings Breakdown'!A15&amp;"*",'Report Entry'!B26:B207,'Validations List'!A108)</f>
        <v>0</v>
      </c>
      <c r="G15" s="44">
        <f>COUNTIFS('Custom Test Script'!B2:B200,"*"&amp;'Findings Breakdown'!A15&amp;"*",'Custom Test Script'!D2:D200,'Validations List'!A109)+COUNTIFS('Report Entry'!D26:D207,"*"&amp;'Findings Breakdown'!A15&amp;"*",'Report Entry'!B26:B207,'Validations List'!A109)</f>
        <v>0</v>
      </c>
      <c r="H15" s="93" t="str" cm="1">
        <f t="array" ref="H15">INDEX('Validations List'!A120:D120,SUMPRODUCT(MAX(('Validations List'!A120:D143='Findings Breakdown'!A15)*(COLUMN('Validations List'!A120:D143))))-COLUMN('Validations List'!A120)+1)</f>
        <v>Extremely Important</v>
      </c>
      <c r="I15" s="76">
        <f>IFERROR(WCAG20results[[#This Row],['# Support w/ Exceptions]]*WCAG20results[[#This Row],[Excepts Value per]]+(WCAG20results[[#This Row],['# Supports]]+WCAG20results[[#This Row],['# Does Not Apply]])*WCAG20results[[#This Row],[Supports Value per]]," ")</f>
        <v>0</v>
      </c>
      <c r="J15" s="76">
        <f>IFERROR('Validations List'!I20*WCAG20results[[#This Row],[Supports Value per]]," ")</f>
        <v>900</v>
      </c>
      <c r="K15" s="44">
        <f>IF(WCAG20results[[#This Row],[Importance by Agency]]='Validations List'!A113,'Validations List'!D113,IF(WCAG20results[[#This Row],[Importance by Agency]]='Validations List'!A114,'Validations List'!D114,IF(WCAG20results[[#This Row],[Importance by Agency]]='Validations List'!A115,'Validations List'!D115,"Not Ranked")))</f>
        <v>300</v>
      </c>
      <c r="L15" s="44">
        <f>IF(WCAG20results[[#This Row],[Importance by Agency]]='Validations List'!A113,'Validations List'!C113,IF(WCAG20results[[#This Row],[Importance by Agency]]='Validations List'!A114,'Validations List'!C114,IF(WCAG20results[[#This Row],[Importance by Agency]]='Validations List'!A115,'Validations List'!C115,"Not Ranked")))</f>
        <v>150</v>
      </c>
      <c r="M15" s="76">
        <f>IFERROR(IFERROR(VLOOKUP(A15,MasterTable[[#All],[WCAG guideline]:[Epilepsy]],6,FALSE)," ")*I15,0)</f>
        <v>0</v>
      </c>
      <c r="N15" s="76">
        <f>IFERROR(IFERROR(VLOOKUP(A15,MasterTable[[#All],[WCAG guideline]:[Epilepsy]],6,FALSE)," ")*J15,0)</f>
        <v>0</v>
      </c>
      <c r="O15" s="77">
        <f>IFERROR(IFERROR(VLOOKUP(A15,MasterTable[[#All],[WCAG guideline]:[Epilepsy]],7,FALSE)," ")*I15,0)</f>
        <v>0</v>
      </c>
      <c r="P15" s="77">
        <f>IFERROR(IFERROR(VLOOKUP(A15,MasterTable[[#All],[WCAG guideline]:[Epilepsy]],7,FALSE)," ")*J15,0)</f>
        <v>900</v>
      </c>
      <c r="Q15" s="77">
        <f>IFERROR(IFERROR(VLOOKUP(A15,MasterTable[[#All],[WCAG guideline]:[Epilepsy]],8,FALSE)," ")*I15,0)</f>
        <v>0</v>
      </c>
      <c r="R15" s="77">
        <f>IFERROR(IFERROR(VLOOKUP(A15,MasterTable[[#All],[WCAG guideline]:[Epilepsy]],8,FALSE)," ")*J15,0)</f>
        <v>900</v>
      </c>
      <c r="S15" s="77">
        <f>IFERROR(IFERROR(VLOOKUP(A15,MasterTable[[#All],[WCAG guideline]:[Epilepsy]],9,FALSE)," ")*I15,0)</f>
        <v>0</v>
      </c>
      <c r="T15" s="77">
        <f>IFERROR(IFERROR(VLOOKUP(A15,MasterTable[[#All],[WCAG guideline]:[Epilepsy]],9,FALSE)," ")*J15,0)</f>
        <v>0</v>
      </c>
      <c r="U15" s="77">
        <f>IFERROR(IFERROR(VLOOKUP(A15,MasterTable[[#All],[WCAG guideline]:[Epilepsy]],10,FALSE)," ")*I15,0)</f>
        <v>0</v>
      </c>
      <c r="V15" s="77">
        <f>IFERROR(IFERROR(VLOOKUP(A15,MasterTable[[#All],[WCAG guideline]:[Epilepsy]],10,FALSE)," ")*J15,0)</f>
        <v>0</v>
      </c>
      <c r="W15" s="77">
        <f>IFERROR(IFERROR(VLOOKUP(A15,MasterTable[[#All],[WCAG guideline]:[Epilepsy]],11,FALSE)," ")*I15,0)</f>
        <v>0</v>
      </c>
      <c r="X15" s="77">
        <f>IFERROR(IFERROR(VLOOKUP(A15,MasterTable[[#All],[WCAG guideline]:[Epilepsy]],11,FALSE)," ")*J15,0)</f>
        <v>0</v>
      </c>
      <c r="Y15" s="77">
        <f>IFERROR(IFERROR(VLOOKUP(A15,MasterTable[[#All],[WCAG guideline]:[Epilepsy]],12,FALSE)," ")*I15,0)</f>
        <v>0</v>
      </c>
      <c r="Z15" s="77">
        <f>IFERROR(IFERROR(VLOOKUP(A15,MasterTable[[#All],[WCAG guideline]:[Epilepsy]],12,FALSE)," ")*J15,0)</f>
        <v>0</v>
      </c>
    </row>
    <row r="16" spans="1:26" ht="45" customHeight="1" x14ac:dyDescent="0.4">
      <c r="A16" s="75" t="s">
        <v>327</v>
      </c>
      <c r="B16" s="44" t="str">
        <f>IFERROR(VLOOKUP(A16,MasterTable[[#All],[WCAG guideline]:[2.2 Level]],4,FALSE), "Not found")</f>
        <v>A</v>
      </c>
      <c r="C16" s="44">
        <f>COUNTIFS('Custom Test Script'!B2:B200,"*"&amp;'Findings Breakdown'!A16&amp;"*",'Custom Test Script'!D2:D200,'Validations List'!A107)+COUNTIFS('Report Entry'!D26:D207,"*"&amp;'Findings Breakdown'!A16&amp;"*",'Report Entry'!B26:B207,'Validations List'!A107)</f>
        <v>0</v>
      </c>
      <c r="D16" s="44">
        <f>COUNTIFS('Custom Test Script'!B2:B200,"*"&amp;'Findings Breakdown'!A16&amp;"*",'Custom Test Script'!D2:D200,'Validations List'!A106)+COUNTIFS('Report Entry'!D26:D207,"*"&amp;'Findings Breakdown'!A16&amp;"*",'Report Entry'!B26:B207,'Validations List'!A106)</f>
        <v>0</v>
      </c>
      <c r="E16" s="44">
        <f>COUNTIFS('Custom Test Script'!B2:B200,"*"&amp;'Findings Breakdown'!A16&amp;"*",'Custom Test Script'!D2:D200,'Validations List'!A105)+COUNTIFS('Report Entry'!D26:D207,"*"&amp;'Findings Breakdown'!A16&amp;"*",'Report Entry'!B26:B207,'Validations List'!A105)</f>
        <v>0</v>
      </c>
      <c r="F16" s="44">
        <f>COUNTIFS('Custom Test Script'!B2:B200,"*"&amp;'Findings Breakdown'!A16&amp;"*",'Custom Test Script'!D2:D200,'Validations List'!A108)+COUNTIFS('Report Entry'!D26:D207,"*"&amp;'Findings Breakdown'!A16&amp;"*",'Report Entry'!B26:B207,'Validations List'!A108)</f>
        <v>0</v>
      </c>
      <c r="G16" s="44">
        <f>COUNTIFS('Custom Test Script'!B2:B200,"*"&amp;'Findings Breakdown'!A16&amp;"*",'Custom Test Script'!D2:D200,'Validations List'!A109)+COUNTIFS('Report Entry'!D26:D207,"*"&amp;'Findings Breakdown'!A16&amp;"*",'Report Entry'!B26:B207,'Validations List'!A109)</f>
        <v>0</v>
      </c>
      <c r="H16" s="93" t="str" cm="1">
        <f t="array" ref="H16">INDEX('Validations List'!A120:D120,SUMPRODUCT(MAX(('Validations List'!A120:D143='Findings Breakdown'!A16)*(COLUMN('Validations List'!A120:D143))))-COLUMN('Validations List'!A120)+1)</f>
        <v>Important</v>
      </c>
      <c r="I16" s="76">
        <f>IFERROR(WCAG20results[[#This Row],['# Support w/ Exceptions]]*WCAG20results[[#This Row],[Excepts Value per]]+(WCAG20results[[#This Row],['# Supports]]+WCAG20results[[#This Row],['# Does Not Apply]])*WCAG20results[[#This Row],[Supports Value per]]," ")</f>
        <v>0</v>
      </c>
      <c r="J16" s="76">
        <f>IFERROR('Validations List'!I21*WCAG20results[[#This Row],[Supports Value per]]," ")</f>
        <v>100</v>
      </c>
      <c r="K16" s="44">
        <f>IF(WCAG20results[[#This Row],[Importance by Agency]]='Validations List'!A113,'Validations List'!D113,IF(WCAG20results[[#This Row],[Importance by Agency]]='Validations List'!A114,'Validations List'!D114,IF(WCAG20results[[#This Row],[Importance by Agency]]='Validations List'!A115,'Validations List'!D115,"Not Ranked")))</f>
        <v>100</v>
      </c>
      <c r="L16" s="44">
        <f>IF(WCAG20results[[#This Row],[Importance by Agency]]='Validations List'!A113,'Validations List'!C113,IF(WCAG20results[[#This Row],[Importance by Agency]]='Validations List'!A114,'Validations List'!C114,IF(WCAG20results[[#This Row],[Importance by Agency]]='Validations List'!A115,'Validations List'!C115,"Not Ranked")))</f>
        <v>50</v>
      </c>
      <c r="M16" s="76">
        <f>IFERROR(IFERROR(VLOOKUP(A16,MasterTable[[#All],[WCAG guideline]:[Epilepsy]],6,FALSE)," ")*I16,0)</f>
        <v>0</v>
      </c>
      <c r="N16" s="76">
        <f>IFERROR(IFERROR(VLOOKUP(A16,MasterTable[[#All],[WCAG guideline]:[Epilepsy]],6,FALSE)," ")*J16,0)</f>
        <v>100</v>
      </c>
      <c r="O16" s="77">
        <f>IFERROR(IFERROR(VLOOKUP(A16,MasterTable[[#All],[WCAG guideline]:[Epilepsy]],7,FALSE)," ")*I16,0)</f>
        <v>0</v>
      </c>
      <c r="P16" s="77">
        <f>IFERROR(IFERROR(VLOOKUP(A16,MasterTable[[#All],[WCAG guideline]:[Epilepsy]],7,FALSE)," ")*J16,0)</f>
        <v>100</v>
      </c>
      <c r="Q16" s="77">
        <f>IFERROR(IFERROR(VLOOKUP(A16,MasterTable[[#All],[WCAG guideline]:[Epilepsy]],8,FALSE)," ")*I16,0)</f>
        <v>0</v>
      </c>
      <c r="R16" s="77">
        <f>IFERROR(IFERROR(VLOOKUP(A16,MasterTable[[#All],[WCAG guideline]:[Epilepsy]],8,FALSE)," ")*J16,0)</f>
        <v>0</v>
      </c>
      <c r="S16" s="77">
        <f>IFERROR(IFERROR(VLOOKUP(A16,MasterTable[[#All],[WCAG guideline]:[Epilepsy]],9,FALSE)," ")*I16,0)</f>
        <v>0</v>
      </c>
      <c r="T16" s="77">
        <f>IFERROR(IFERROR(VLOOKUP(A16,MasterTable[[#All],[WCAG guideline]:[Epilepsy]],9,FALSE)," ")*J16,0)</f>
        <v>100</v>
      </c>
      <c r="U16" s="77">
        <f>IFERROR(IFERROR(VLOOKUP(A16,MasterTable[[#All],[WCAG guideline]:[Epilepsy]],10,FALSE)," ")*I16,0)</f>
        <v>0</v>
      </c>
      <c r="V16" s="77">
        <f>IFERROR(IFERROR(VLOOKUP(A16,MasterTable[[#All],[WCAG guideline]:[Epilepsy]],10,FALSE)," ")*J16,0)</f>
        <v>100</v>
      </c>
      <c r="W16" s="77">
        <f>IFERROR(IFERROR(VLOOKUP(A16,MasterTable[[#All],[WCAG guideline]:[Epilepsy]],11,FALSE)," ")*I16,0)</f>
        <v>0</v>
      </c>
      <c r="X16" s="77">
        <f>IFERROR(IFERROR(VLOOKUP(A16,MasterTable[[#All],[WCAG guideline]:[Epilepsy]],11,FALSE)," ")*J16,0)</f>
        <v>100</v>
      </c>
      <c r="Y16" s="77">
        <f>IFERROR(IFERROR(VLOOKUP(A16,MasterTable[[#All],[WCAG guideline]:[Epilepsy]],12,FALSE)," ")*I16,0)</f>
        <v>0</v>
      </c>
      <c r="Z16" s="77">
        <f>IFERROR(IFERROR(VLOOKUP(A16,MasterTable[[#All],[WCAG guideline]:[Epilepsy]],12,FALSE)," ")*J16,0)</f>
        <v>0</v>
      </c>
    </row>
    <row r="17" spans="1:26" ht="45" customHeight="1" x14ac:dyDescent="0.4">
      <c r="A17" s="75" t="s">
        <v>328</v>
      </c>
      <c r="B17" s="44" t="str">
        <f>IFERROR(VLOOKUP(A17,MasterTable[[#All],[WCAG guideline]:[2.2 Level]],4,FALSE), "Not found")</f>
        <v>AA</v>
      </c>
      <c r="C17" s="44">
        <f>COUNTIFS('Custom Test Script'!B2:B200,"*"&amp;'Findings Breakdown'!A17&amp;"*",'Custom Test Script'!D2:D200,'Validations List'!A107)+COUNTIFS('Report Entry'!D26:D207,"*"&amp;'Findings Breakdown'!A17&amp;"*",'Report Entry'!B26:B207,'Validations List'!A107)</f>
        <v>0</v>
      </c>
      <c r="D17" s="44">
        <f>COUNTIFS('Custom Test Script'!B2:B200,"*"&amp;'Findings Breakdown'!A17&amp;"*",'Custom Test Script'!D2:D200,'Validations List'!A106)+COUNTIFS('Report Entry'!D26:D207,"*"&amp;'Findings Breakdown'!A17&amp;"*",'Report Entry'!B26:B207,'Validations List'!A106)</f>
        <v>0</v>
      </c>
      <c r="E17" s="44">
        <f>COUNTIFS('Custom Test Script'!B2:B200,"*"&amp;'Findings Breakdown'!A17&amp;"*",'Custom Test Script'!D2:D200,'Validations List'!A105)+COUNTIFS('Report Entry'!D26:D207,"*"&amp;'Findings Breakdown'!A17&amp;"*",'Report Entry'!B26:B207,'Validations List'!A105)</f>
        <v>0</v>
      </c>
      <c r="F17" s="44">
        <f>COUNTIFS('Custom Test Script'!B2:B200,"*"&amp;'Findings Breakdown'!A17&amp;"*",'Custom Test Script'!D2:D200,'Validations List'!A108)+COUNTIFS('Report Entry'!D26:D207,"*"&amp;'Findings Breakdown'!A17&amp;"*",'Report Entry'!B26:B207,'Validations List'!A108)</f>
        <v>0</v>
      </c>
      <c r="G17" s="44">
        <f>COUNTIFS('Custom Test Script'!B2:B200,"*"&amp;'Findings Breakdown'!A17&amp;"*",'Custom Test Script'!D2:D200,'Validations List'!A109)+COUNTIFS('Report Entry'!D26:D207,"*"&amp;'Findings Breakdown'!A17&amp;"*",'Report Entry'!B26:B207,'Validations List'!A109)</f>
        <v>0</v>
      </c>
      <c r="H17" s="93" t="str" cm="1">
        <f t="array" ref="H17">INDEX('Validations List'!A120:D120,SUMPRODUCT(MAX(('Validations List'!A120:D143='Findings Breakdown'!A17)*(COLUMN('Validations List'!A120:D143))))-COLUMN('Validations List'!A120)+1)</f>
        <v>Extremely Important</v>
      </c>
      <c r="I17" s="76">
        <f>IFERROR(WCAG20results[[#This Row],['# Support w/ Exceptions]]*WCAG20results[[#This Row],[Excepts Value per]]+(WCAG20results[[#This Row],['# Supports]]+WCAG20results[[#This Row],['# Does Not Apply]])*WCAG20results[[#This Row],[Supports Value per]]," ")</f>
        <v>0</v>
      </c>
      <c r="J17" s="76">
        <f>IFERROR('Validations List'!I22*WCAG20results[[#This Row],[Supports Value per]]," ")</f>
        <v>600</v>
      </c>
      <c r="K17" s="44">
        <f>IF(WCAG20results[[#This Row],[Importance by Agency]]='Validations List'!A113,'Validations List'!D113,IF(WCAG20results[[#This Row],[Importance by Agency]]='Validations List'!A114,'Validations List'!D114,IF(WCAG20results[[#This Row],[Importance by Agency]]='Validations List'!A115,'Validations List'!D115,"Not Ranked")))</f>
        <v>300</v>
      </c>
      <c r="L17" s="44">
        <f>IF(WCAG20results[[#This Row],[Importance by Agency]]='Validations List'!A113,'Validations List'!C113,IF(WCAG20results[[#This Row],[Importance by Agency]]='Validations List'!A114,'Validations List'!C114,IF(WCAG20results[[#This Row],[Importance by Agency]]='Validations List'!A115,'Validations List'!C115,"Not Ranked")))</f>
        <v>150</v>
      </c>
      <c r="M17" s="76">
        <f>IFERROR(IFERROR(VLOOKUP(A17,MasterTable[[#All],[WCAG guideline]:[Epilepsy]],6,FALSE)," ")*I17,0)</f>
        <v>0</v>
      </c>
      <c r="N17" s="76">
        <f>IFERROR(IFERROR(VLOOKUP(A17,MasterTable[[#All],[WCAG guideline]:[Epilepsy]],6,FALSE)," ")*J17,0)</f>
        <v>0</v>
      </c>
      <c r="O17" s="77">
        <f>IFERROR(IFERROR(VLOOKUP(A17,MasterTable[[#All],[WCAG guideline]:[Epilepsy]],7,FALSE)," ")*I17,0)</f>
        <v>0</v>
      </c>
      <c r="P17" s="77">
        <f>IFERROR(IFERROR(VLOOKUP(A17,MasterTable[[#All],[WCAG guideline]:[Epilepsy]],7,FALSE)," ")*J17,0)</f>
        <v>600</v>
      </c>
      <c r="Q17" s="77">
        <f>IFERROR(IFERROR(VLOOKUP(A17,MasterTable[[#All],[WCAG guideline]:[Epilepsy]],8,FALSE)," ")*I17,0)</f>
        <v>0</v>
      </c>
      <c r="R17" s="77">
        <f>IFERROR(IFERROR(VLOOKUP(A17,MasterTable[[#All],[WCAG guideline]:[Epilepsy]],8,FALSE)," ")*J17,0)</f>
        <v>600</v>
      </c>
      <c r="S17" s="77">
        <f>IFERROR(IFERROR(VLOOKUP(A17,MasterTable[[#All],[WCAG guideline]:[Epilepsy]],9,FALSE)," ")*I17,0)</f>
        <v>0</v>
      </c>
      <c r="T17" s="77">
        <f>IFERROR(IFERROR(VLOOKUP(A17,MasterTable[[#All],[WCAG guideline]:[Epilepsy]],9,FALSE)," ")*J17,0)</f>
        <v>0</v>
      </c>
      <c r="U17" s="77">
        <f>IFERROR(IFERROR(VLOOKUP(A17,MasterTable[[#All],[WCAG guideline]:[Epilepsy]],10,FALSE)," ")*I17,0)</f>
        <v>0</v>
      </c>
      <c r="V17" s="77">
        <f>IFERROR(IFERROR(VLOOKUP(A17,MasterTable[[#All],[WCAG guideline]:[Epilepsy]],10,FALSE)," ")*J17,0)</f>
        <v>600</v>
      </c>
      <c r="W17" s="77">
        <f>IFERROR(IFERROR(VLOOKUP(A17,MasterTable[[#All],[WCAG guideline]:[Epilepsy]],11,FALSE)," ")*I17,0)</f>
        <v>0</v>
      </c>
      <c r="X17" s="77">
        <f>IFERROR(IFERROR(VLOOKUP(A17,MasterTable[[#All],[WCAG guideline]:[Epilepsy]],11,FALSE)," ")*J17,0)</f>
        <v>0</v>
      </c>
      <c r="Y17" s="77">
        <f>IFERROR(IFERROR(VLOOKUP(A17,MasterTable[[#All],[WCAG guideline]:[Epilepsy]],12,FALSE)," ")*I17,0)</f>
        <v>0</v>
      </c>
      <c r="Z17" s="77">
        <f>IFERROR(IFERROR(VLOOKUP(A17,MasterTable[[#All],[WCAG guideline]:[Epilepsy]],12,FALSE)," ")*J17,0)</f>
        <v>0</v>
      </c>
    </row>
    <row r="18" spans="1:26" ht="45" customHeight="1" x14ac:dyDescent="0.4">
      <c r="A18" s="75" t="s">
        <v>329</v>
      </c>
      <c r="B18" s="44" t="str">
        <f>IFERROR(VLOOKUP(A18,MasterTable[[#All],[WCAG guideline]:[2.2 Level]],4,FALSE), "Not found")</f>
        <v>AA</v>
      </c>
      <c r="C18" s="44">
        <f>COUNTIFS('Custom Test Script'!B2:B200,"*"&amp;'Findings Breakdown'!A18&amp;"*",'Custom Test Script'!D2:D200,'Validations List'!A107)+COUNTIFS('Report Entry'!D26:D207,"*"&amp;'Findings Breakdown'!A18&amp;"*",'Report Entry'!B26:B207,'Validations List'!A107)</f>
        <v>0</v>
      </c>
      <c r="D18" s="44">
        <f>COUNTIFS('Custom Test Script'!B2:B200,"*"&amp;'Findings Breakdown'!A18&amp;"*",'Custom Test Script'!D2:D200,'Validations List'!A106)+COUNTIFS('Report Entry'!D26:D207,"*"&amp;'Findings Breakdown'!A18&amp;"*",'Report Entry'!B26:B207,'Validations List'!A106)</f>
        <v>0</v>
      </c>
      <c r="E18" s="44">
        <f>COUNTIFS('Custom Test Script'!B2:B200,"*"&amp;'Findings Breakdown'!A18&amp;"*",'Custom Test Script'!D2:D200,'Validations List'!A105)+COUNTIFS('Report Entry'!D26:D207,"*"&amp;'Findings Breakdown'!A18&amp;"*",'Report Entry'!B26:B207,'Validations List'!A105)</f>
        <v>0</v>
      </c>
      <c r="F18" s="44">
        <f>COUNTIFS('Custom Test Script'!B2:B200,"*"&amp;'Findings Breakdown'!A18&amp;"*",'Custom Test Script'!D2:D200,'Validations List'!A108)+COUNTIFS('Report Entry'!D26:D207,"*"&amp;'Findings Breakdown'!A18&amp;"*",'Report Entry'!B26:B207,'Validations List'!A108)</f>
        <v>0</v>
      </c>
      <c r="G18" s="44">
        <f>COUNTIFS('Custom Test Script'!B2:B200,"*"&amp;'Findings Breakdown'!A18&amp;"*",'Custom Test Script'!D2:D200,'Validations List'!A109)+COUNTIFS('Report Entry'!D26:D207,"*"&amp;'Findings Breakdown'!A18&amp;"*",'Report Entry'!B26:B207,'Validations List'!A109)</f>
        <v>0</v>
      </c>
      <c r="H18" s="93" t="str" cm="1">
        <f t="array" ref="H18">INDEX('Validations List'!A120:D120,SUMPRODUCT(MAX(('Validations List'!A120:D143='Findings Breakdown'!A18)*(COLUMN('Validations List'!A120:D143))))-COLUMN('Validations List'!A120)+1)</f>
        <v>Extremely Important</v>
      </c>
      <c r="I18" s="76">
        <f>IFERROR(WCAG20results[[#This Row],['# Support w/ Exceptions]]*WCAG20results[[#This Row],[Excepts Value per]]+(WCAG20results[[#This Row],['# Supports]]+WCAG20results[[#This Row],['# Does Not Apply]])*WCAG20results[[#This Row],[Supports Value per]]," ")</f>
        <v>0</v>
      </c>
      <c r="J18" s="76">
        <f>IFERROR('Validations List'!I23*WCAG20results[[#This Row],[Supports Value per]]," ")</f>
        <v>600</v>
      </c>
      <c r="K18" s="44">
        <f>IF(WCAG20results[[#This Row],[Importance by Agency]]='Validations List'!A113,'Validations List'!D113,IF(WCAG20results[[#This Row],[Importance by Agency]]='Validations List'!A114,'Validations List'!D114,IF(WCAG20results[[#This Row],[Importance by Agency]]='Validations List'!A115,'Validations List'!D115,"Not Ranked")))</f>
        <v>300</v>
      </c>
      <c r="L18" s="44">
        <f>IF(WCAG20results[[#This Row],[Importance by Agency]]='Validations List'!A113,'Validations List'!C113,IF(WCAG20results[[#This Row],[Importance by Agency]]='Validations List'!A114,'Validations List'!C114,IF(WCAG20results[[#This Row],[Importance by Agency]]='Validations List'!A115,'Validations List'!C115,"Not Ranked")))</f>
        <v>150</v>
      </c>
      <c r="M18" s="76">
        <f>IFERROR(IFERROR(VLOOKUP(A18,MasterTable[[#All],[WCAG guideline]:[Epilepsy]],6,FALSE)," ")*I18,0)</f>
        <v>0</v>
      </c>
      <c r="N18" s="76">
        <f>IFERROR(IFERROR(VLOOKUP(A18,MasterTable[[#All],[WCAG guideline]:[Epilepsy]],6,FALSE)," ")*J18,0)</f>
        <v>0</v>
      </c>
      <c r="O18" s="77">
        <f>IFERROR(IFERROR(VLOOKUP(A18,MasterTable[[#All],[WCAG guideline]:[Epilepsy]],7,FALSE)," ")*I18,0)</f>
        <v>0</v>
      </c>
      <c r="P18" s="77">
        <f>IFERROR(IFERROR(VLOOKUP(A18,MasterTable[[#All],[WCAG guideline]:[Epilepsy]],7,FALSE)," ")*J18,0)</f>
        <v>600</v>
      </c>
      <c r="Q18" s="77">
        <f>IFERROR(IFERROR(VLOOKUP(A18,MasterTable[[#All],[WCAG guideline]:[Epilepsy]],8,FALSE)," ")*I18,0)</f>
        <v>0</v>
      </c>
      <c r="R18" s="77">
        <f>IFERROR(IFERROR(VLOOKUP(A18,MasterTable[[#All],[WCAG guideline]:[Epilepsy]],8,FALSE)," ")*J18,0)</f>
        <v>600</v>
      </c>
      <c r="S18" s="77">
        <f>IFERROR(IFERROR(VLOOKUP(A18,MasterTable[[#All],[WCAG guideline]:[Epilepsy]],9,FALSE)," ")*I18,0)</f>
        <v>0</v>
      </c>
      <c r="T18" s="77">
        <f>IFERROR(IFERROR(VLOOKUP(A18,MasterTable[[#All],[WCAG guideline]:[Epilepsy]],9,FALSE)," ")*J18,0)</f>
        <v>0</v>
      </c>
      <c r="U18" s="77">
        <f>IFERROR(IFERROR(VLOOKUP(A18,MasterTable[[#All],[WCAG guideline]:[Epilepsy]],10,FALSE)," ")*I18,0)</f>
        <v>0</v>
      </c>
      <c r="V18" s="77">
        <f>IFERROR(IFERROR(VLOOKUP(A18,MasterTable[[#All],[WCAG guideline]:[Epilepsy]],10,FALSE)," ")*J18,0)</f>
        <v>600</v>
      </c>
      <c r="W18" s="77">
        <f>IFERROR(IFERROR(VLOOKUP(A18,MasterTable[[#All],[WCAG guideline]:[Epilepsy]],11,FALSE)," ")*I18,0)</f>
        <v>0</v>
      </c>
      <c r="X18" s="77">
        <f>IFERROR(IFERROR(VLOOKUP(A18,MasterTable[[#All],[WCAG guideline]:[Epilepsy]],11,FALSE)," ")*J18,0)</f>
        <v>0</v>
      </c>
      <c r="Y18" s="77">
        <f>IFERROR(IFERROR(VLOOKUP(A18,MasterTable[[#All],[WCAG guideline]:[Epilepsy]],12,FALSE)," ")*I18,0)</f>
        <v>0</v>
      </c>
      <c r="Z18" s="77">
        <f>IFERROR(IFERROR(VLOOKUP(A18,MasterTable[[#All],[WCAG guideline]:[Epilepsy]],12,FALSE)," ")*J18,0)</f>
        <v>0</v>
      </c>
    </row>
    <row r="19" spans="1:26" ht="45" customHeight="1" x14ac:dyDescent="0.4">
      <c r="A19" s="75" t="s">
        <v>330</v>
      </c>
      <c r="B19" s="44" t="str">
        <f>IFERROR(VLOOKUP(A19,MasterTable[[#All],[WCAG guideline]:[2.2 Level]],4,FALSE), "Not found")</f>
        <v>AA</v>
      </c>
      <c r="C19" s="44">
        <f>COUNTIFS('Custom Test Script'!B2:B200,"*"&amp;'Findings Breakdown'!A19&amp;"*",'Custom Test Script'!D2:D200,'Validations List'!A107)+COUNTIFS('Report Entry'!D26:D207,"*"&amp;'Findings Breakdown'!A19&amp;"*",'Report Entry'!B26:B207,'Validations List'!A107)</f>
        <v>0</v>
      </c>
      <c r="D19" s="44">
        <f>COUNTIFS('Custom Test Script'!B2:B200,"*"&amp;'Findings Breakdown'!A19&amp;"*",'Custom Test Script'!D2:D200,'Validations List'!A106)+COUNTIFS('Report Entry'!D26:D207,"*"&amp;'Findings Breakdown'!A19&amp;"*",'Report Entry'!B26:B207,'Validations List'!A106)</f>
        <v>0</v>
      </c>
      <c r="E19" s="44">
        <f>COUNTIFS('Custom Test Script'!B2:B200,"*"&amp;'Findings Breakdown'!A19&amp;"*",'Custom Test Script'!D2:D200,'Validations List'!A105)+COUNTIFS('Report Entry'!D26:D207,"*"&amp;'Findings Breakdown'!A19&amp;"*",'Report Entry'!B26:B207,'Validations List'!A105)</f>
        <v>0</v>
      </c>
      <c r="F19" s="44">
        <f>COUNTIFS('Custom Test Script'!B2:B200,"*"&amp;'Findings Breakdown'!A19&amp;"*",'Custom Test Script'!D2:D200,'Validations List'!A108)+COUNTIFS('Report Entry'!D26:D207,"*"&amp;'Findings Breakdown'!A19&amp;"*",'Report Entry'!B26:B207,'Validations List'!A108)</f>
        <v>0</v>
      </c>
      <c r="G19" s="44">
        <f>COUNTIFS('Custom Test Script'!B2:B200,"*"&amp;'Findings Breakdown'!A19&amp;"*",'Custom Test Script'!D2:D200,'Validations List'!A109)+COUNTIFS('Report Entry'!D26:D207,"*"&amp;'Findings Breakdown'!A19&amp;"*",'Report Entry'!B26:B207,'Validations List'!A109)</f>
        <v>0</v>
      </c>
      <c r="H19" s="93" t="str" cm="1">
        <f t="array" ref="H19">INDEX('Validations List'!A120:D120,SUMPRODUCT(MAX(('Validations List'!A120:D143='Findings Breakdown'!A19)*(COLUMN('Validations List'!A120:D143))))-COLUMN('Validations List'!A120)+1)</f>
        <v>Important</v>
      </c>
      <c r="I19" s="76">
        <f>IFERROR(WCAG20results[[#This Row],['# Support w/ Exceptions]]*WCAG20results[[#This Row],[Excepts Value per]]+(WCAG20results[[#This Row],['# Supports]]+WCAG20results[[#This Row],['# Does Not Apply]])*WCAG20results[[#This Row],[Supports Value per]]," ")</f>
        <v>0</v>
      </c>
      <c r="J19" s="76">
        <f>IFERROR('Validations List'!I24*WCAG20results[[#This Row],[Supports Value per]]," ")</f>
        <v>100</v>
      </c>
      <c r="K19" s="44">
        <f>IF(WCAG20results[[#This Row],[Importance by Agency]]='Validations List'!A113,'Validations List'!D113,IF(WCAG20results[[#This Row],[Importance by Agency]]='Validations List'!A114,'Validations List'!D114,IF(WCAG20results[[#This Row],[Importance by Agency]]='Validations List'!A115,'Validations List'!D115,"Not Ranked")))</f>
        <v>100</v>
      </c>
      <c r="L19" s="44">
        <f>IF(WCAG20results[[#This Row],[Importance by Agency]]='Validations List'!A113,'Validations List'!C113,IF(WCAG20results[[#This Row],[Importance by Agency]]='Validations List'!A114,'Validations List'!C114,IF(WCAG20results[[#This Row],[Importance by Agency]]='Validations List'!A115,'Validations List'!C115,"Not Ranked")))</f>
        <v>50</v>
      </c>
      <c r="M19" s="76">
        <f>IFERROR(IFERROR(VLOOKUP(A19,MasterTable[[#All],[WCAG guideline]:[Epilepsy]],6,FALSE)," ")*I19,0)</f>
        <v>0</v>
      </c>
      <c r="N19" s="76">
        <f>IFERROR(IFERROR(VLOOKUP(A19,MasterTable[[#All],[WCAG guideline]:[Epilepsy]],6,FALSE)," ")*J19,0)</f>
        <v>100</v>
      </c>
      <c r="O19" s="77">
        <f>IFERROR(IFERROR(VLOOKUP(A19,MasterTable[[#All],[WCAG guideline]:[Epilepsy]],7,FALSE)," ")*I19,0)</f>
        <v>0</v>
      </c>
      <c r="P19" s="77">
        <f>IFERROR(IFERROR(VLOOKUP(A19,MasterTable[[#All],[WCAG guideline]:[Epilepsy]],7,FALSE)," ")*J19,0)</f>
        <v>100</v>
      </c>
      <c r="Q19" s="77">
        <f>IFERROR(IFERROR(VLOOKUP(A19,MasterTable[[#All],[WCAG guideline]:[Epilepsy]],8,FALSE)," ")*I19,0)</f>
        <v>0</v>
      </c>
      <c r="R19" s="77">
        <f>IFERROR(IFERROR(VLOOKUP(A19,MasterTable[[#All],[WCAG guideline]:[Epilepsy]],8,FALSE)," ")*J19,0)</f>
        <v>100</v>
      </c>
      <c r="S19" s="77">
        <f>IFERROR(IFERROR(VLOOKUP(A19,MasterTable[[#All],[WCAG guideline]:[Epilepsy]],9,FALSE)," ")*I19,0)</f>
        <v>0</v>
      </c>
      <c r="T19" s="77">
        <f>IFERROR(IFERROR(VLOOKUP(A19,MasterTable[[#All],[WCAG guideline]:[Epilepsy]],9,FALSE)," ")*J19,0)</f>
        <v>0</v>
      </c>
      <c r="U19" s="77">
        <f>IFERROR(IFERROR(VLOOKUP(A19,MasterTable[[#All],[WCAG guideline]:[Epilepsy]],10,FALSE)," ")*I19,0)</f>
        <v>0</v>
      </c>
      <c r="V19" s="77">
        <f>IFERROR(IFERROR(VLOOKUP(A19,MasterTable[[#All],[WCAG guideline]:[Epilepsy]],10,FALSE)," ")*J19,0)</f>
        <v>100</v>
      </c>
      <c r="W19" s="77">
        <f>IFERROR(IFERROR(VLOOKUP(A19,MasterTable[[#All],[WCAG guideline]:[Epilepsy]],11,FALSE)," ")*I19,0)</f>
        <v>0</v>
      </c>
      <c r="X19" s="77">
        <f>IFERROR(IFERROR(VLOOKUP(A19,MasterTable[[#All],[WCAG guideline]:[Epilepsy]],11,FALSE)," ")*J19,0)</f>
        <v>0</v>
      </c>
      <c r="Y19" s="77">
        <f>IFERROR(IFERROR(VLOOKUP(A19,MasterTable[[#All],[WCAG guideline]:[Epilepsy]],12,FALSE)," ")*I19,0)</f>
        <v>0</v>
      </c>
      <c r="Z19" s="77">
        <f>IFERROR(IFERROR(VLOOKUP(A19,MasterTable[[#All],[WCAG guideline]:[Epilepsy]],12,FALSE)," ")*J19,0)</f>
        <v>0</v>
      </c>
    </row>
    <row r="20" spans="1:26" ht="45" customHeight="1" x14ac:dyDescent="0.4">
      <c r="A20" s="75" t="s">
        <v>331</v>
      </c>
      <c r="B20" s="44" t="str">
        <f>IFERROR(VLOOKUP(A20,MasterTable[[#All],[WCAG guideline]:[2.2 Level]],4,FALSE), "Not found")</f>
        <v>AAA</v>
      </c>
      <c r="C20" s="44">
        <f>COUNTIFS('Custom Test Script'!B2:B200,"*"&amp;'Findings Breakdown'!A20&amp;"*",'Custom Test Script'!D2:D200,'Validations List'!A107)+COUNTIFS('Report Entry'!D26:D207,"*"&amp;'Findings Breakdown'!A20&amp;"*",'Report Entry'!B26:B207,'Validations List'!A107)</f>
        <v>0</v>
      </c>
      <c r="D20" s="44">
        <f>COUNTIFS('Custom Test Script'!B2:B200,"*"&amp;'Findings Breakdown'!A20&amp;"*",'Custom Test Script'!D2:D200,'Validations List'!A106)+COUNTIFS('Report Entry'!D26:D207,"*"&amp;'Findings Breakdown'!A20&amp;"*",'Report Entry'!B26:B207,'Validations List'!A106)</f>
        <v>0</v>
      </c>
      <c r="E20" s="44">
        <f>COUNTIFS('Custom Test Script'!B2:B200,"*"&amp;'Findings Breakdown'!A20&amp;"*",'Custom Test Script'!D2:D200,'Validations List'!A105)+COUNTIFS('Report Entry'!D26:D207,"*"&amp;'Findings Breakdown'!A20&amp;"*",'Report Entry'!B26:B207,'Validations List'!A105)</f>
        <v>0</v>
      </c>
      <c r="F20" s="44">
        <f>COUNTIFS('Custom Test Script'!B2:B200,"*"&amp;'Findings Breakdown'!A20&amp;"*",'Custom Test Script'!D2:D200,'Validations List'!A108)+COUNTIFS('Report Entry'!D26:D207,"*"&amp;'Findings Breakdown'!A20&amp;"*",'Report Entry'!B26:B207,'Validations List'!A108)</f>
        <v>0</v>
      </c>
      <c r="G20" s="44">
        <f>COUNTIFS('Custom Test Script'!B2:B200,"*"&amp;'Findings Breakdown'!A20&amp;"*",'Custom Test Script'!D2:D200,'Validations List'!A109)+COUNTIFS('Report Entry'!D26:D207,"*"&amp;'Findings Breakdown'!A20&amp;"*",'Report Entry'!B26:B207,'Validations List'!A109)</f>
        <v>0</v>
      </c>
      <c r="H20" s="93" t="str" cm="1">
        <f t="array" ref="H20">INDEX('Validations List'!A120:D120,SUMPRODUCT(MAX(('Validations List'!A120:D143='Findings Breakdown'!A20)*(COLUMN('Validations List'!A120:D143))))-COLUMN('Validations List'!A120)+1)</f>
        <v>Not Ranked</v>
      </c>
      <c r="I20" s="76" t="str">
        <f>IFERROR(WCAG20results[[#This Row],['# Support w/ Exceptions]]*WCAG20results[[#This Row],[Excepts Value per]]+(WCAG20results[[#This Row],['# Supports]]+WCAG20results[[#This Row],['# Does Not Apply]])*WCAG20results[[#This Row],[Supports Value per]]," ")</f>
        <v xml:space="preserve"> </v>
      </c>
      <c r="J20" s="76" t="str">
        <f>IFERROR('Validations List'!I25*WCAG20results[[#This Row],[Supports Value per]]," ")</f>
        <v xml:space="preserve"> </v>
      </c>
      <c r="K20" s="44" t="str">
        <f>IF(WCAG20results[[#This Row],[Importance by Agency]]='Validations List'!A113,'Validations List'!D113,IF(WCAG20results[[#This Row],[Importance by Agency]]='Validations List'!A114,'Validations List'!D114,IF(WCAG20results[[#This Row],[Importance by Agency]]='Validations List'!A115,'Validations List'!D115,"Not Ranked")))</f>
        <v>Not Ranked</v>
      </c>
      <c r="L20" s="44" t="str">
        <f>IF(WCAG20results[[#This Row],[Importance by Agency]]='Validations List'!A113,'Validations List'!C113,IF(WCAG20results[[#This Row],[Importance by Agency]]='Validations List'!A114,'Validations List'!C114,IF(WCAG20results[[#This Row],[Importance by Agency]]='Validations List'!A115,'Validations List'!C115,"Not Ranked")))</f>
        <v>Not Ranked</v>
      </c>
      <c r="M20" s="76">
        <f>IFERROR(IFERROR(VLOOKUP(A20,MasterTable[[#All],[WCAG guideline]:[Epilepsy]],6,FALSE)," ")*I20,0)</f>
        <v>0</v>
      </c>
      <c r="N20" s="76">
        <f>IFERROR(IFERROR(VLOOKUP(A20,MasterTable[[#All],[WCAG guideline]:[Epilepsy]],6,FALSE)," ")*J20,0)</f>
        <v>0</v>
      </c>
      <c r="O20" s="77">
        <f>IFERROR(IFERROR(VLOOKUP(A20,MasterTable[[#All],[WCAG guideline]:[Epilepsy]],7,FALSE)," ")*I20,0)</f>
        <v>0</v>
      </c>
      <c r="P20" s="77">
        <f>IFERROR(IFERROR(VLOOKUP(A20,MasterTable[[#All],[WCAG guideline]:[Epilepsy]],7,FALSE)," ")*J20,0)</f>
        <v>0</v>
      </c>
      <c r="Q20" s="77">
        <f>IFERROR(IFERROR(VLOOKUP(A20,MasterTable[[#All],[WCAG guideline]:[Epilepsy]],8,FALSE)," ")*I20,0)</f>
        <v>0</v>
      </c>
      <c r="R20" s="77">
        <f>IFERROR(IFERROR(VLOOKUP(A20,MasterTable[[#All],[WCAG guideline]:[Epilepsy]],8,FALSE)," ")*J20,0)</f>
        <v>0</v>
      </c>
      <c r="S20" s="77">
        <f>IFERROR(IFERROR(VLOOKUP(A20,MasterTable[[#All],[WCAG guideline]:[Epilepsy]],9,FALSE)," ")*I20,0)</f>
        <v>0</v>
      </c>
      <c r="T20" s="77">
        <f>IFERROR(IFERROR(VLOOKUP(A20,MasterTable[[#All],[WCAG guideline]:[Epilepsy]],9,FALSE)," ")*J20,0)</f>
        <v>0</v>
      </c>
      <c r="U20" s="77">
        <f>IFERROR(IFERROR(VLOOKUP(A20,MasterTable[[#All],[WCAG guideline]:[Epilepsy]],10,FALSE)," ")*I20,0)</f>
        <v>0</v>
      </c>
      <c r="V20" s="77">
        <f>IFERROR(IFERROR(VLOOKUP(A20,MasterTable[[#All],[WCAG guideline]:[Epilepsy]],10,FALSE)," ")*J20,0)</f>
        <v>0</v>
      </c>
      <c r="W20" s="77">
        <f>IFERROR(IFERROR(VLOOKUP(A20,MasterTable[[#All],[WCAG guideline]:[Epilepsy]],11,FALSE)," ")*I20,0)</f>
        <v>0</v>
      </c>
      <c r="X20" s="77">
        <f>IFERROR(IFERROR(VLOOKUP(A20,MasterTable[[#All],[WCAG guideline]:[Epilepsy]],11,FALSE)," ")*J20,0)</f>
        <v>0</v>
      </c>
      <c r="Y20" s="77">
        <f>IFERROR(IFERROR(VLOOKUP(A20,MasterTable[[#All],[WCAG guideline]:[Epilepsy]],12,FALSE)," ")*I20,0)</f>
        <v>0</v>
      </c>
      <c r="Z20" s="77">
        <f>IFERROR(IFERROR(VLOOKUP(A20,MasterTable[[#All],[WCAG guideline]:[Epilepsy]],12,FALSE)," ")*J20,0)</f>
        <v>0</v>
      </c>
    </row>
    <row r="21" spans="1:26" ht="45" customHeight="1" x14ac:dyDescent="0.4">
      <c r="A21" s="75" t="s">
        <v>332</v>
      </c>
      <c r="B21" s="44" t="str">
        <f>IFERROR(VLOOKUP(A21,MasterTable[[#All],[WCAG guideline]:[2.2 Level]],4,FALSE), "Not found")</f>
        <v>AAA</v>
      </c>
      <c r="C21" s="44">
        <f>COUNTIFS('Custom Test Script'!B2:B200,"*"&amp;'Findings Breakdown'!A21&amp;"*",'Custom Test Script'!D2:D200,'Validations List'!A107)+COUNTIFS('Report Entry'!D26:D207,"*"&amp;'Findings Breakdown'!A21&amp;"*",'Report Entry'!B26:B207,'Validations List'!A107)</f>
        <v>0</v>
      </c>
      <c r="D21" s="44">
        <f>COUNTIFS('Custom Test Script'!B2:B200,"*"&amp;'Findings Breakdown'!A21&amp;"*",'Custom Test Script'!D2:D200,'Validations List'!A106)+COUNTIFS('Report Entry'!D26:D207,"*"&amp;'Findings Breakdown'!A21&amp;"*",'Report Entry'!B26:B207,'Validations List'!A106)</f>
        <v>0</v>
      </c>
      <c r="E21" s="44">
        <f>COUNTIFS('Custom Test Script'!B2:B200,"*"&amp;'Findings Breakdown'!A21&amp;"*",'Custom Test Script'!D2:D200,'Validations List'!A105)+COUNTIFS('Report Entry'!D26:D207,"*"&amp;'Findings Breakdown'!A21&amp;"*",'Report Entry'!B26:B207,'Validations List'!A105)</f>
        <v>0</v>
      </c>
      <c r="F21" s="44">
        <f>COUNTIFS('Custom Test Script'!B2:B200,"*"&amp;'Findings Breakdown'!A21&amp;"*",'Custom Test Script'!D2:D200,'Validations List'!A108)+COUNTIFS('Report Entry'!D26:D207,"*"&amp;'Findings Breakdown'!A21&amp;"*",'Report Entry'!B26:B207,'Validations List'!A108)</f>
        <v>0</v>
      </c>
      <c r="G21" s="44">
        <f>COUNTIFS('Custom Test Script'!B2:B200,"*"&amp;'Findings Breakdown'!A21&amp;"*",'Custom Test Script'!D2:D200,'Validations List'!A109)+COUNTIFS('Report Entry'!D26:D207,"*"&amp;'Findings Breakdown'!A21&amp;"*",'Report Entry'!B26:B207,'Validations List'!A109)</f>
        <v>0</v>
      </c>
      <c r="H21" s="93" t="str" cm="1">
        <f t="array" ref="H21">INDEX('Validations List'!A120:D120,SUMPRODUCT(MAX(('Validations List'!A120:D143='Findings Breakdown'!A21)*(COLUMN('Validations List'!A120:D143))))-COLUMN('Validations List'!A120)+1)</f>
        <v>Not Ranked</v>
      </c>
      <c r="I21" s="76" t="str">
        <f>IFERROR(WCAG20results[[#This Row],['# Support w/ Exceptions]]*WCAG20results[[#This Row],[Excepts Value per]]+(WCAG20results[[#This Row],['# Supports]]+WCAG20results[[#This Row],['# Does Not Apply]])*WCAG20results[[#This Row],[Supports Value per]]," ")</f>
        <v xml:space="preserve"> </v>
      </c>
      <c r="J21" s="76" t="str">
        <f>IFERROR('Validations List'!I26*WCAG20results[[#This Row],[Supports Value per]]," ")</f>
        <v xml:space="preserve"> </v>
      </c>
      <c r="K21" s="44" t="str">
        <f>IF(WCAG20results[[#This Row],[Importance by Agency]]='Validations List'!A113,'Validations List'!D113,IF(WCAG20results[[#This Row],[Importance by Agency]]='Validations List'!A114,'Validations List'!D114,IF(WCAG20results[[#This Row],[Importance by Agency]]='Validations List'!A115,'Validations List'!D115,"Not Ranked")))</f>
        <v>Not Ranked</v>
      </c>
      <c r="L21" s="44" t="str">
        <f>IF(WCAG20results[[#This Row],[Importance by Agency]]='Validations List'!A113,'Validations List'!C113,IF(WCAG20results[[#This Row],[Importance by Agency]]='Validations List'!A114,'Validations List'!C114,IF(WCAG20results[[#This Row],[Importance by Agency]]='Validations List'!A115,'Validations List'!C115,"Not Ranked")))</f>
        <v>Not Ranked</v>
      </c>
      <c r="M21" s="76">
        <f>IFERROR(IFERROR(VLOOKUP(A21,MasterTable[[#All],[WCAG guideline]:[Epilepsy]],6,FALSE)," ")*I21,0)</f>
        <v>0</v>
      </c>
      <c r="N21" s="76">
        <f>IFERROR(IFERROR(VLOOKUP(A21,MasterTable[[#All],[WCAG guideline]:[Epilepsy]],6,FALSE)," ")*J21,0)</f>
        <v>0</v>
      </c>
      <c r="O21" s="77">
        <f>IFERROR(IFERROR(VLOOKUP(A21,MasterTable[[#All],[WCAG guideline]:[Epilepsy]],7,FALSE)," ")*I21,0)</f>
        <v>0</v>
      </c>
      <c r="P21" s="77">
        <f>IFERROR(IFERROR(VLOOKUP(A21,MasterTable[[#All],[WCAG guideline]:[Epilepsy]],7,FALSE)," ")*J21,0)</f>
        <v>0</v>
      </c>
      <c r="Q21" s="77">
        <f>IFERROR(IFERROR(VLOOKUP(A21,MasterTable[[#All],[WCAG guideline]:[Epilepsy]],8,FALSE)," ")*I21,0)</f>
        <v>0</v>
      </c>
      <c r="R21" s="77">
        <f>IFERROR(IFERROR(VLOOKUP(A21,MasterTable[[#All],[WCAG guideline]:[Epilepsy]],8,FALSE)," ")*J21,0)</f>
        <v>0</v>
      </c>
      <c r="S21" s="77">
        <f>IFERROR(IFERROR(VLOOKUP(A21,MasterTable[[#All],[WCAG guideline]:[Epilepsy]],9,FALSE)," ")*I21,0)</f>
        <v>0</v>
      </c>
      <c r="T21" s="77">
        <f>IFERROR(IFERROR(VLOOKUP(A21,MasterTable[[#All],[WCAG guideline]:[Epilepsy]],9,FALSE)," ")*J21,0)</f>
        <v>0</v>
      </c>
      <c r="U21" s="77">
        <f>IFERROR(IFERROR(VLOOKUP(A21,MasterTable[[#All],[WCAG guideline]:[Epilepsy]],10,FALSE)," ")*I21,0)</f>
        <v>0</v>
      </c>
      <c r="V21" s="77">
        <f>IFERROR(IFERROR(VLOOKUP(A21,MasterTable[[#All],[WCAG guideline]:[Epilepsy]],10,FALSE)," ")*J21,0)</f>
        <v>0</v>
      </c>
      <c r="W21" s="77">
        <f>IFERROR(IFERROR(VLOOKUP(A21,MasterTable[[#All],[WCAG guideline]:[Epilepsy]],11,FALSE)," ")*I21,0)</f>
        <v>0</v>
      </c>
      <c r="X21" s="77">
        <f>IFERROR(IFERROR(VLOOKUP(A21,MasterTable[[#All],[WCAG guideline]:[Epilepsy]],11,FALSE)," ")*J21,0)</f>
        <v>0</v>
      </c>
      <c r="Y21" s="77">
        <f>IFERROR(IFERROR(VLOOKUP(A21,MasterTable[[#All],[WCAG guideline]:[Epilepsy]],12,FALSE)," ")*I21,0)</f>
        <v>0</v>
      </c>
      <c r="Z21" s="77">
        <f>IFERROR(IFERROR(VLOOKUP(A21,MasterTable[[#All],[WCAG guideline]:[Epilepsy]],12,FALSE)," ")*J21,0)</f>
        <v>0</v>
      </c>
    </row>
    <row r="22" spans="1:26" ht="45" customHeight="1" x14ac:dyDescent="0.4">
      <c r="A22" s="75" t="s">
        <v>333</v>
      </c>
      <c r="B22" s="44" t="str">
        <f>IFERROR(VLOOKUP(A22,MasterTable[[#All],[WCAG guideline]:[2.2 Level]],4,FALSE), "Not found")</f>
        <v>AAA</v>
      </c>
      <c r="C22" s="44">
        <f>COUNTIFS('Custom Test Script'!B2:B200,"*"&amp;'Findings Breakdown'!A22&amp;"*",'Custom Test Script'!D2:D200,'Validations List'!A107)+COUNTIFS('Report Entry'!D26:D207,"*"&amp;'Findings Breakdown'!A22&amp;"*",'Report Entry'!B26:B207,'Validations List'!A107)</f>
        <v>0</v>
      </c>
      <c r="D22" s="44">
        <f>COUNTIFS('Custom Test Script'!B2:B200,"*"&amp;'Findings Breakdown'!A22&amp;"*",'Custom Test Script'!D2:D200,'Validations List'!A106)+COUNTIFS('Report Entry'!D26:D207,"*"&amp;'Findings Breakdown'!A22&amp;"*",'Report Entry'!B26:B207,'Validations List'!A106)</f>
        <v>0</v>
      </c>
      <c r="E22" s="44">
        <f>COUNTIFS('Custom Test Script'!B2:B200,"*"&amp;'Findings Breakdown'!A22&amp;"*",'Custom Test Script'!D2:D200,'Validations List'!A105)+COUNTIFS('Report Entry'!D26:D207,"*"&amp;'Findings Breakdown'!A22&amp;"*",'Report Entry'!B26:B207,'Validations List'!A105)</f>
        <v>0</v>
      </c>
      <c r="F22" s="44">
        <f>COUNTIFS('Custom Test Script'!B2:B200,"*"&amp;'Findings Breakdown'!A22&amp;"*",'Custom Test Script'!D2:D200,'Validations List'!A108)+COUNTIFS('Report Entry'!D26:D207,"*"&amp;'Findings Breakdown'!A22&amp;"*",'Report Entry'!B26:B207,'Validations List'!A108)</f>
        <v>0</v>
      </c>
      <c r="G22" s="44">
        <f>COUNTIFS('Custom Test Script'!B2:B200,"*"&amp;'Findings Breakdown'!A22&amp;"*",'Custom Test Script'!D2:D200,'Validations List'!A109)+COUNTIFS('Report Entry'!D26:D207,"*"&amp;'Findings Breakdown'!A22&amp;"*",'Report Entry'!B26:B207,'Validations List'!A109)</f>
        <v>0</v>
      </c>
      <c r="H22" s="93" t="str" cm="1">
        <f t="array" ref="H22">INDEX('Validations List'!A120:D120,SUMPRODUCT(MAX(('Validations List'!A120:D143='Findings Breakdown'!A22)*(COLUMN('Validations List'!A120:D143))))-COLUMN('Validations List'!A120)+1)</f>
        <v>Not Ranked</v>
      </c>
      <c r="I22" s="76" t="str">
        <f>IFERROR(WCAG20results[[#This Row],['# Support w/ Exceptions]]*WCAG20results[[#This Row],[Excepts Value per]]+(WCAG20results[[#This Row],['# Supports]]+WCAG20results[[#This Row],['# Does Not Apply]])*WCAG20results[[#This Row],[Supports Value per]]," ")</f>
        <v xml:space="preserve"> </v>
      </c>
      <c r="J22" s="76" t="str">
        <f>IFERROR('Validations List'!I27*WCAG20results[[#This Row],[Supports Value per]]," ")</f>
        <v xml:space="preserve"> </v>
      </c>
      <c r="K22" s="44" t="str">
        <f>IF(WCAG20results[[#This Row],[Importance by Agency]]='Validations List'!A113,'Validations List'!D113,IF(WCAG20results[[#This Row],[Importance by Agency]]='Validations List'!A114,'Validations List'!D114,IF(WCAG20results[[#This Row],[Importance by Agency]]='Validations List'!A115,'Validations List'!D115,"Not Ranked")))</f>
        <v>Not Ranked</v>
      </c>
      <c r="L22" s="44" t="str">
        <f>IF(WCAG20results[[#This Row],[Importance by Agency]]='Validations List'!A113,'Validations List'!C113,IF(WCAG20results[[#This Row],[Importance by Agency]]='Validations List'!A114,'Validations List'!C114,IF(WCAG20results[[#This Row],[Importance by Agency]]='Validations List'!A115,'Validations List'!C115,"Not Ranked")))</f>
        <v>Not Ranked</v>
      </c>
      <c r="M22" s="76">
        <f>IFERROR(IFERROR(VLOOKUP(A22,MasterTable[[#All],[WCAG guideline]:[Epilepsy]],6,FALSE)," ")*I22,0)</f>
        <v>0</v>
      </c>
      <c r="N22" s="76">
        <f>IFERROR(IFERROR(VLOOKUP(A22,MasterTable[[#All],[WCAG guideline]:[Epilepsy]],6,FALSE)," ")*J22,0)</f>
        <v>0</v>
      </c>
      <c r="O22" s="77">
        <f>IFERROR(IFERROR(VLOOKUP(A22,MasterTable[[#All],[WCAG guideline]:[Epilepsy]],7,FALSE)," ")*I22,0)</f>
        <v>0</v>
      </c>
      <c r="P22" s="77">
        <f>IFERROR(IFERROR(VLOOKUP(A22,MasterTable[[#All],[WCAG guideline]:[Epilepsy]],7,FALSE)," ")*J22,0)</f>
        <v>0</v>
      </c>
      <c r="Q22" s="77">
        <f>IFERROR(IFERROR(VLOOKUP(A22,MasterTable[[#All],[WCAG guideline]:[Epilepsy]],8,FALSE)," ")*I22,0)</f>
        <v>0</v>
      </c>
      <c r="R22" s="77">
        <f>IFERROR(IFERROR(VLOOKUP(A22,MasterTable[[#All],[WCAG guideline]:[Epilepsy]],8,FALSE)," ")*J22,0)</f>
        <v>0</v>
      </c>
      <c r="S22" s="77">
        <f>IFERROR(IFERROR(VLOOKUP(A22,MasterTable[[#All],[WCAG guideline]:[Epilepsy]],9,FALSE)," ")*I22,0)</f>
        <v>0</v>
      </c>
      <c r="T22" s="77">
        <f>IFERROR(IFERROR(VLOOKUP(A22,MasterTable[[#All],[WCAG guideline]:[Epilepsy]],9,FALSE)," ")*J22,0)</f>
        <v>0</v>
      </c>
      <c r="U22" s="77">
        <f>IFERROR(IFERROR(VLOOKUP(A22,MasterTable[[#All],[WCAG guideline]:[Epilepsy]],10,FALSE)," ")*I22,0)</f>
        <v>0</v>
      </c>
      <c r="V22" s="77">
        <f>IFERROR(IFERROR(VLOOKUP(A22,MasterTable[[#All],[WCAG guideline]:[Epilepsy]],10,FALSE)," ")*J22,0)</f>
        <v>0</v>
      </c>
      <c r="W22" s="77">
        <f>IFERROR(IFERROR(VLOOKUP(A22,MasterTable[[#All],[WCAG guideline]:[Epilepsy]],11,FALSE)," ")*I22,0)</f>
        <v>0</v>
      </c>
      <c r="X22" s="77">
        <f>IFERROR(IFERROR(VLOOKUP(A22,MasterTable[[#All],[WCAG guideline]:[Epilepsy]],11,FALSE)," ")*J22,0)</f>
        <v>0</v>
      </c>
      <c r="Y22" s="77">
        <f>IFERROR(IFERROR(VLOOKUP(A22,MasterTable[[#All],[WCAG guideline]:[Epilepsy]],12,FALSE)," ")*I22,0)</f>
        <v>0</v>
      </c>
      <c r="Z22" s="77">
        <f>IFERROR(IFERROR(VLOOKUP(A22,MasterTable[[#All],[WCAG guideline]:[Epilepsy]],12,FALSE)," ")*J22,0)</f>
        <v>0</v>
      </c>
    </row>
    <row r="23" spans="1:26" ht="45" customHeight="1" x14ac:dyDescent="0.4">
      <c r="A23" s="75" t="s">
        <v>334</v>
      </c>
      <c r="B23" s="44" t="str">
        <f>IFERROR(VLOOKUP(A23,MasterTable[[#All],[WCAG guideline]:[2.2 Level]],4,FALSE), "Not found")</f>
        <v>AAA</v>
      </c>
      <c r="C23" s="44">
        <f>COUNTIFS('Custom Test Script'!B2:B200,"*"&amp;'Findings Breakdown'!A23&amp;"*",'Custom Test Script'!D2:D200,'Validations List'!A107)+COUNTIFS('Report Entry'!D26:D207,"*"&amp;'Findings Breakdown'!A23&amp;"*",'Report Entry'!B26:B207,'Validations List'!A107)</f>
        <v>0</v>
      </c>
      <c r="D23" s="44">
        <f>COUNTIFS('Custom Test Script'!B2:B200,"*"&amp;'Findings Breakdown'!A23&amp;"*",'Custom Test Script'!D2:D200,'Validations List'!A106)+COUNTIFS('Report Entry'!D26:D207,"*"&amp;'Findings Breakdown'!A23&amp;"*",'Report Entry'!B26:B207,'Validations List'!A106)</f>
        <v>0</v>
      </c>
      <c r="E23" s="44">
        <f>COUNTIFS('Custom Test Script'!B2:B200,"*"&amp;'Findings Breakdown'!A23&amp;"*",'Custom Test Script'!D2:D200,'Validations List'!A105)+COUNTIFS('Report Entry'!D26:D207,"*"&amp;'Findings Breakdown'!A23&amp;"*",'Report Entry'!B26:B207,'Validations List'!A105)</f>
        <v>0</v>
      </c>
      <c r="F23" s="44">
        <f>COUNTIFS('Custom Test Script'!B2:B200,"*"&amp;'Findings Breakdown'!A23&amp;"*",'Custom Test Script'!D2:D200,'Validations List'!A108)+COUNTIFS('Report Entry'!D26:D207,"*"&amp;'Findings Breakdown'!A23&amp;"*",'Report Entry'!B26:B207,'Validations List'!A108)</f>
        <v>0</v>
      </c>
      <c r="G23" s="44">
        <f>COUNTIFS('Custom Test Script'!B2:B200,"*"&amp;'Findings Breakdown'!A23&amp;"*",'Custom Test Script'!D2:D200,'Validations List'!A109)+COUNTIFS('Report Entry'!D26:D207,"*"&amp;'Findings Breakdown'!A23&amp;"*",'Report Entry'!B26:B207,'Validations List'!A109)</f>
        <v>0</v>
      </c>
      <c r="H23" s="93" t="str" cm="1">
        <f t="array" ref="H23">INDEX('Validations List'!A120:D120,SUMPRODUCT(MAX(('Validations List'!A120:D143='Findings Breakdown'!A23)*(COLUMN('Validations List'!A120:D143))))-COLUMN('Validations List'!A120)+1)</f>
        <v>Not Ranked</v>
      </c>
      <c r="I23" s="76" t="str">
        <f>IFERROR(WCAG20results[[#This Row],['# Support w/ Exceptions]]*WCAG20results[[#This Row],[Excepts Value per]]+(WCAG20results[[#This Row],['# Supports]]+WCAG20results[[#This Row],['# Does Not Apply]])*WCAG20results[[#This Row],[Supports Value per]]," ")</f>
        <v xml:space="preserve"> </v>
      </c>
      <c r="J23" s="76" t="str">
        <f>IFERROR('Validations List'!I28*WCAG20results[[#This Row],[Supports Value per]]," ")</f>
        <v xml:space="preserve"> </v>
      </c>
      <c r="K23" s="44" t="str">
        <f>IF(WCAG20results[[#This Row],[Importance by Agency]]='Validations List'!A113,'Validations List'!D113,IF(WCAG20results[[#This Row],[Importance by Agency]]='Validations List'!A114,'Validations List'!D114,IF(WCAG20results[[#This Row],[Importance by Agency]]='Validations List'!A115,'Validations List'!D115,"Not Ranked")))</f>
        <v>Not Ranked</v>
      </c>
      <c r="L23" s="44" t="str">
        <f>IF(WCAG20results[[#This Row],[Importance by Agency]]='Validations List'!A113,'Validations List'!C113,IF(WCAG20results[[#This Row],[Importance by Agency]]='Validations List'!A114,'Validations List'!C114,IF(WCAG20results[[#This Row],[Importance by Agency]]='Validations List'!A115,'Validations List'!C115,"Not Ranked")))</f>
        <v>Not Ranked</v>
      </c>
      <c r="M23" s="76">
        <f>IFERROR(IFERROR(VLOOKUP(A23,MasterTable[[#All],[WCAG guideline]:[Epilepsy]],6,FALSE)," ")*I23,0)</f>
        <v>0</v>
      </c>
      <c r="N23" s="76">
        <f>IFERROR(IFERROR(VLOOKUP(A23,MasterTable[[#All],[WCAG guideline]:[Epilepsy]],6,FALSE)," ")*J23,0)</f>
        <v>0</v>
      </c>
      <c r="O23" s="77">
        <f>IFERROR(IFERROR(VLOOKUP(A23,MasterTable[[#All],[WCAG guideline]:[Epilepsy]],7,FALSE)," ")*I23,0)</f>
        <v>0</v>
      </c>
      <c r="P23" s="77">
        <f>IFERROR(IFERROR(VLOOKUP(A23,MasterTable[[#All],[WCAG guideline]:[Epilepsy]],7,FALSE)," ")*J23,0)</f>
        <v>0</v>
      </c>
      <c r="Q23" s="77">
        <f>IFERROR(IFERROR(VLOOKUP(A23,MasterTable[[#All],[WCAG guideline]:[Epilepsy]],8,FALSE)," ")*I23,0)</f>
        <v>0</v>
      </c>
      <c r="R23" s="77">
        <f>IFERROR(IFERROR(VLOOKUP(A23,MasterTable[[#All],[WCAG guideline]:[Epilepsy]],8,FALSE)," ")*J23,0)</f>
        <v>0</v>
      </c>
      <c r="S23" s="77">
        <f>IFERROR(IFERROR(VLOOKUP(A23,MasterTable[[#All],[WCAG guideline]:[Epilepsy]],9,FALSE)," ")*I23,0)</f>
        <v>0</v>
      </c>
      <c r="T23" s="77">
        <f>IFERROR(IFERROR(VLOOKUP(A23,MasterTable[[#All],[WCAG guideline]:[Epilepsy]],9,FALSE)," ")*J23,0)</f>
        <v>0</v>
      </c>
      <c r="U23" s="77">
        <f>IFERROR(IFERROR(VLOOKUP(A23,MasterTable[[#All],[WCAG guideline]:[Epilepsy]],10,FALSE)," ")*I23,0)</f>
        <v>0</v>
      </c>
      <c r="V23" s="77">
        <f>IFERROR(IFERROR(VLOOKUP(A23,MasterTable[[#All],[WCAG guideline]:[Epilepsy]],10,FALSE)," ")*J23,0)</f>
        <v>0</v>
      </c>
      <c r="W23" s="77">
        <f>IFERROR(IFERROR(VLOOKUP(A23,MasterTable[[#All],[WCAG guideline]:[Epilepsy]],11,FALSE)," ")*I23,0)</f>
        <v>0</v>
      </c>
      <c r="X23" s="77">
        <f>IFERROR(IFERROR(VLOOKUP(A23,MasterTable[[#All],[WCAG guideline]:[Epilepsy]],11,FALSE)," ")*J23,0)</f>
        <v>0</v>
      </c>
      <c r="Y23" s="77">
        <f>IFERROR(IFERROR(VLOOKUP(A23,MasterTable[[#All],[WCAG guideline]:[Epilepsy]],12,FALSE)," ")*I23,0)</f>
        <v>0</v>
      </c>
      <c r="Z23" s="77">
        <f>IFERROR(IFERROR(VLOOKUP(A23,MasterTable[[#All],[WCAG guideline]:[Epilepsy]],12,FALSE)," ")*J23,0)</f>
        <v>0</v>
      </c>
    </row>
    <row r="24" spans="1:26" ht="45" customHeight="1" x14ac:dyDescent="0.4">
      <c r="A24" s="75" t="s">
        <v>335</v>
      </c>
      <c r="B24" s="44" t="str">
        <f>IFERROR(VLOOKUP(A24,MasterTable[[#All],[WCAG guideline]:[2.2 Level]],4,FALSE), "Not found")</f>
        <v>A</v>
      </c>
      <c r="C24" s="44">
        <f>COUNTIFS('Custom Test Script'!B2:B200,"*"&amp;'Findings Breakdown'!A24&amp;"*",'Custom Test Script'!D2:D200,'Validations List'!A107)+COUNTIFS('Report Entry'!D26:D207,"*"&amp;'Findings Breakdown'!A24&amp;"*",'Report Entry'!B26:B207,'Validations List'!A107)</f>
        <v>0</v>
      </c>
      <c r="D24" s="44">
        <f>COUNTIFS('Custom Test Script'!B2:B200,"*"&amp;'Findings Breakdown'!A24&amp;"*",'Custom Test Script'!D2:D200,'Validations List'!A106)+COUNTIFS('Report Entry'!D26:D207,"*"&amp;'Findings Breakdown'!A24&amp;"*",'Report Entry'!B26:B207,'Validations List'!A106)</f>
        <v>0</v>
      </c>
      <c r="E24" s="44">
        <f>COUNTIFS('Custom Test Script'!B2:B200,"*"&amp;'Findings Breakdown'!A24&amp;"*",'Custom Test Script'!D2:D200,'Validations List'!A105)+COUNTIFS('Report Entry'!D26:D207,"*"&amp;'Findings Breakdown'!A24&amp;"*",'Report Entry'!B26:B207,'Validations List'!A105)</f>
        <v>0</v>
      </c>
      <c r="F24" s="44">
        <f>COUNTIFS('Custom Test Script'!B2:B200,"*"&amp;'Findings Breakdown'!A24&amp;"*",'Custom Test Script'!D2:D200,'Validations List'!A108)+COUNTIFS('Report Entry'!D26:D207,"*"&amp;'Findings Breakdown'!A24&amp;"*",'Report Entry'!B26:B207,'Validations List'!A108)</f>
        <v>0</v>
      </c>
      <c r="G24" s="44">
        <f>COUNTIFS('Custom Test Script'!B2:B200,"*"&amp;'Findings Breakdown'!A24&amp;"*",'Custom Test Script'!D2:D200,'Validations List'!A109)+COUNTIFS('Report Entry'!D26:D207,"*"&amp;'Findings Breakdown'!A24&amp;"*",'Report Entry'!B26:B207,'Validations List'!A109)</f>
        <v>0</v>
      </c>
      <c r="H24" s="93" t="str" cm="1">
        <f t="array" ref="H24">INDEX('Validations List'!A120:D120,SUMPRODUCT(MAX(('Validations List'!A120:D143='Findings Breakdown'!A24)*(COLUMN('Validations List'!A120:D143))))-COLUMN('Validations List'!A120)+1)</f>
        <v>Extremely Important</v>
      </c>
      <c r="I24" s="76">
        <f>IFERROR(WCAG20results[[#This Row],['# Support w/ Exceptions]]*WCAG20results[[#This Row],[Excepts Value per]]+(WCAG20results[[#This Row],['# Supports]]+WCAG20results[[#This Row],['# Does Not Apply]])*WCAG20results[[#This Row],[Supports Value per]]," ")</f>
        <v>0</v>
      </c>
      <c r="J24" s="76">
        <f>IFERROR('Validations List'!I33*WCAG20results[[#This Row],[Supports Value per]]," ")</f>
        <v>1200</v>
      </c>
      <c r="K24" s="44">
        <f>IF(WCAG20results[[#This Row],[Importance by Agency]]='Validations List'!A113,'Validations List'!D113,IF(WCAG20results[[#This Row],[Importance by Agency]]='Validations List'!A114,'Validations List'!D114,IF(WCAG20results[[#This Row],[Importance by Agency]]='Validations List'!A115,'Validations List'!D115,"Not Ranked")))</f>
        <v>300</v>
      </c>
      <c r="L24" s="44">
        <f>IF(WCAG20results[[#This Row],[Importance by Agency]]='Validations List'!A113,'Validations List'!C113,IF(WCAG20results[[#This Row],[Importance by Agency]]='Validations List'!A114,'Validations List'!C114,IF(WCAG20results[[#This Row],[Importance by Agency]]='Validations List'!A115,'Validations List'!C115,"Not Ranked")))</f>
        <v>150</v>
      </c>
      <c r="M24" s="76">
        <f>IFERROR(IFERROR(VLOOKUP(A24,MasterTable[[#All],[WCAG guideline]:[Epilepsy]],6,FALSE)," ")*I24,0)</f>
        <v>0</v>
      </c>
      <c r="N24" s="76">
        <f>IFERROR(IFERROR(VLOOKUP(A24,MasterTable[[#All],[WCAG guideline]:[Epilepsy]],6,FALSE)," ")*J24,0)</f>
        <v>1200</v>
      </c>
      <c r="O24" s="77">
        <f>IFERROR(IFERROR(VLOOKUP(A24,MasterTable[[#All],[WCAG guideline]:[Epilepsy]],7,FALSE)," ")*I24,0)</f>
        <v>0</v>
      </c>
      <c r="P24" s="77">
        <f>IFERROR(IFERROR(VLOOKUP(A24,MasterTable[[#All],[WCAG guideline]:[Epilepsy]],7,FALSE)," ")*J24,0)</f>
        <v>1200</v>
      </c>
      <c r="Q24" s="77">
        <f>IFERROR(IFERROR(VLOOKUP(A24,MasterTable[[#All],[WCAG guideline]:[Epilepsy]],8,FALSE)," ")*I24,0)</f>
        <v>0</v>
      </c>
      <c r="R24" s="77">
        <f>IFERROR(IFERROR(VLOOKUP(A24,MasterTable[[#All],[WCAG guideline]:[Epilepsy]],8,FALSE)," ")*J24,0)</f>
        <v>0</v>
      </c>
      <c r="S24" s="77">
        <f>IFERROR(IFERROR(VLOOKUP(A24,MasterTable[[#All],[WCAG guideline]:[Epilepsy]],9,FALSE)," ")*I24,0)</f>
        <v>0</v>
      </c>
      <c r="T24" s="77">
        <f>IFERROR(IFERROR(VLOOKUP(A24,MasterTable[[#All],[WCAG guideline]:[Epilepsy]],9,FALSE)," ")*J24,0)</f>
        <v>0</v>
      </c>
      <c r="U24" s="77">
        <f>IFERROR(IFERROR(VLOOKUP(A24,MasterTable[[#All],[WCAG guideline]:[Epilepsy]],10,FALSE)," ")*I24,0)</f>
        <v>0</v>
      </c>
      <c r="V24" s="77">
        <f>IFERROR(IFERROR(VLOOKUP(A24,MasterTable[[#All],[WCAG guideline]:[Epilepsy]],10,FALSE)," ")*J24,0)</f>
        <v>1200</v>
      </c>
      <c r="W24" s="77">
        <f>IFERROR(IFERROR(VLOOKUP(A24,MasterTable[[#All],[WCAG guideline]:[Epilepsy]],11,FALSE)," ")*I24,0)</f>
        <v>0</v>
      </c>
      <c r="X24" s="77">
        <f>IFERROR(IFERROR(VLOOKUP(A24,MasterTable[[#All],[WCAG guideline]:[Epilepsy]],11,FALSE)," ")*J24,0)</f>
        <v>1200</v>
      </c>
      <c r="Y24" s="77">
        <f>IFERROR(IFERROR(VLOOKUP(A24,MasterTable[[#All],[WCAG guideline]:[Epilepsy]],12,FALSE)," ")*I24,0)</f>
        <v>0</v>
      </c>
      <c r="Z24" s="77">
        <f>IFERROR(IFERROR(VLOOKUP(A24,MasterTable[[#All],[WCAG guideline]:[Epilepsy]],12,FALSE)," ")*J24,0)</f>
        <v>0</v>
      </c>
    </row>
    <row r="25" spans="1:26" ht="45" customHeight="1" x14ac:dyDescent="0.4">
      <c r="A25" s="75" t="s">
        <v>336</v>
      </c>
      <c r="B25" s="44" t="str">
        <f>IFERROR(VLOOKUP(A25,MasterTable[[#All],[WCAG guideline]:[2.2 Level]],4,FALSE), "Not found")</f>
        <v>A</v>
      </c>
      <c r="C25" s="44">
        <f>COUNTIFS('Custom Test Script'!B2:B200,"*"&amp;'Findings Breakdown'!A25&amp;"*",'Custom Test Script'!D2:D200,'Validations List'!A107)+COUNTIFS('Report Entry'!D26:D207,"*"&amp;'Findings Breakdown'!A25&amp;"*",'Report Entry'!B26:B207,'Validations List'!A107)</f>
        <v>0</v>
      </c>
      <c r="D25" s="44">
        <f>COUNTIFS('Custom Test Script'!B2:B200,"*"&amp;'Findings Breakdown'!A25&amp;"*",'Custom Test Script'!D2:D200,'Validations List'!A106)+COUNTIFS('Report Entry'!D26:D207,"*"&amp;'Findings Breakdown'!A25&amp;"*",'Report Entry'!B26:B207,'Validations List'!A106)</f>
        <v>0</v>
      </c>
      <c r="E25" s="44">
        <f>COUNTIFS('Custom Test Script'!B2:B200,"*"&amp;'Findings Breakdown'!A25&amp;"*",'Custom Test Script'!D2:D200,'Validations List'!A105)+COUNTIFS('Report Entry'!D26:D207,"*"&amp;'Findings Breakdown'!A25&amp;"*",'Report Entry'!B26:B207,'Validations List'!A105)</f>
        <v>0</v>
      </c>
      <c r="F25" s="44">
        <f>COUNTIFS('Custom Test Script'!B2:B200,"*"&amp;'Findings Breakdown'!A25&amp;"*",'Custom Test Script'!D2:D200,'Validations List'!A108)+COUNTIFS('Report Entry'!D26:D207,"*"&amp;'Findings Breakdown'!A25&amp;"*",'Report Entry'!B26:B207,'Validations List'!A108)</f>
        <v>0</v>
      </c>
      <c r="G25" s="44">
        <f>COUNTIFS('Custom Test Script'!B2:B200,"*"&amp;'Findings Breakdown'!A25&amp;"*",'Custom Test Script'!D2:D200,'Validations List'!A109)+COUNTIFS('Report Entry'!D26:D207,"*"&amp;'Findings Breakdown'!A25&amp;"*",'Report Entry'!B26:B207,'Validations List'!A109)</f>
        <v>0</v>
      </c>
      <c r="H25" s="93" t="str" cm="1">
        <f t="array" ref="H25">INDEX('Validations List'!A120:D120,SUMPRODUCT(MAX(('Validations List'!A120:D143='Findings Breakdown'!A25)*(COLUMN('Validations List'!A120:D143))))-COLUMN('Validations List'!A120)+1)</f>
        <v>Extremely Important</v>
      </c>
      <c r="I25" s="76">
        <f>IFERROR(WCAG20results[[#This Row],['# Support w/ Exceptions]]*WCAG20results[[#This Row],[Excepts Value per]]+(WCAG20results[[#This Row],['# Supports]]+WCAG20results[[#This Row],['# Does Not Apply]])*WCAG20results[[#This Row],[Supports Value per]]," ")</f>
        <v>0</v>
      </c>
      <c r="J25" s="76">
        <f>IFERROR('Validations List'!I34*WCAG20results[[#This Row],[Supports Value per]]," ")</f>
        <v>300</v>
      </c>
      <c r="K25" s="44">
        <f>IF(WCAG20results[[#This Row],[Importance by Agency]]='Validations List'!A113,'Validations List'!D113,IF(WCAG20results[[#This Row],[Importance by Agency]]='Validations List'!A114,'Validations List'!D114,IF(WCAG20results[[#This Row],[Importance by Agency]]='Validations List'!A115,'Validations List'!D115,"Not Ranked")))</f>
        <v>300</v>
      </c>
      <c r="L25" s="44">
        <f>IF(WCAG20results[[#This Row],[Importance by Agency]]='Validations List'!A113,'Validations List'!C113,IF(WCAG20results[[#This Row],[Importance by Agency]]='Validations List'!A114,'Validations List'!C114,IF(WCAG20results[[#This Row],[Importance by Agency]]='Validations List'!A115,'Validations List'!C115,"Not Ranked")))</f>
        <v>150</v>
      </c>
      <c r="M25" s="76">
        <f>IFERROR(IFERROR(VLOOKUP(A25,MasterTable[[#All],[WCAG guideline]:[Epilepsy]],6,FALSE)," ")*I25,0)</f>
        <v>0</v>
      </c>
      <c r="N25" s="76">
        <f>IFERROR(IFERROR(VLOOKUP(A25,MasterTable[[#All],[WCAG guideline]:[Epilepsy]],6,FALSE)," ")*J25,0)</f>
        <v>300</v>
      </c>
      <c r="O25" s="77">
        <f>IFERROR(IFERROR(VLOOKUP(A25,MasterTable[[#All],[WCAG guideline]:[Epilepsy]],7,FALSE)," ")*I25,0)</f>
        <v>0</v>
      </c>
      <c r="P25" s="77">
        <f>IFERROR(IFERROR(VLOOKUP(A25,MasterTable[[#All],[WCAG guideline]:[Epilepsy]],7,FALSE)," ")*J25,0)</f>
        <v>300</v>
      </c>
      <c r="Q25" s="77">
        <f>IFERROR(IFERROR(VLOOKUP(A25,MasterTable[[#All],[WCAG guideline]:[Epilepsy]],8,FALSE)," ")*I25,0)</f>
        <v>0</v>
      </c>
      <c r="R25" s="77">
        <f>IFERROR(IFERROR(VLOOKUP(A25,MasterTable[[#All],[WCAG guideline]:[Epilepsy]],8,FALSE)," ")*J25,0)</f>
        <v>0</v>
      </c>
      <c r="S25" s="77">
        <f>IFERROR(IFERROR(VLOOKUP(A25,MasterTable[[#All],[WCAG guideline]:[Epilepsy]],9,FALSE)," ")*I25,0)</f>
        <v>0</v>
      </c>
      <c r="T25" s="77">
        <f>IFERROR(IFERROR(VLOOKUP(A25,MasterTable[[#All],[WCAG guideline]:[Epilepsy]],9,FALSE)," ")*J25,0)</f>
        <v>0</v>
      </c>
      <c r="U25" s="77">
        <f>IFERROR(IFERROR(VLOOKUP(A25,MasterTable[[#All],[WCAG guideline]:[Epilepsy]],10,FALSE)," ")*I25,0)</f>
        <v>0</v>
      </c>
      <c r="V25" s="77">
        <f>IFERROR(IFERROR(VLOOKUP(A25,MasterTable[[#All],[WCAG guideline]:[Epilepsy]],10,FALSE)," ")*J25,0)</f>
        <v>300</v>
      </c>
      <c r="W25" s="77">
        <f>IFERROR(IFERROR(VLOOKUP(A25,MasterTable[[#All],[WCAG guideline]:[Epilepsy]],11,FALSE)," ")*I25,0)</f>
        <v>0</v>
      </c>
      <c r="X25" s="77">
        <f>IFERROR(IFERROR(VLOOKUP(A25,MasterTable[[#All],[WCAG guideline]:[Epilepsy]],11,FALSE)," ")*J25,0)</f>
        <v>300</v>
      </c>
      <c r="Y25" s="77">
        <f>IFERROR(IFERROR(VLOOKUP(A25,MasterTable[[#All],[WCAG guideline]:[Epilepsy]],12,FALSE)," ")*I25,0)</f>
        <v>0</v>
      </c>
      <c r="Z25" s="77">
        <f>IFERROR(IFERROR(VLOOKUP(A25,MasterTable[[#All],[WCAG guideline]:[Epilepsy]],12,FALSE)," ")*J25,0)</f>
        <v>0</v>
      </c>
    </row>
    <row r="26" spans="1:26" ht="45" customHeight="1" x14ac:dyDescent="0.4">
      <c r="A26" s="75" t="s">
        <v>337</v>
      </c>
      <c r="B26" s="44" t="str">
        <f>IFERROR(VLOOKUP(A26,MasterTable[[#All],[WCAG guideline]:[2.2 Level]],4,FALSE), "Not found")</f>
        <v>AAA</v>
      </c>
      <c r="C26" s="44">
        <f>COUNTIFS('Custom Test Script'!B2:B200,"*"&amp;'Findings Breakdown'!A26&amp;"*",'Custom Test Script'!D2:D200,'Validations List'!A107)+COUNTIFS('Report Entry'!D26:D207,"*"&amp;'Findings Breakdown'!A26&amp;"*",'Report Entry'!B26:B207,'Validations List'!A107)</f>
        <v>0</v>
      </c>
      <c r="D26" s="44">
        <f>COUNTIFS('Custom Test Script'!B2:B200,"*"&amp;'Findings Breakdown'!A26&amp;"*",'Custom Test Script'!D2:D200,'Validations List'!A106)+COUNTIFS('Report Entry'!D26:D207,"*"&amp;'Findings Breakdown'!A26&amp;"*",'Report Entry'!B26:B207,'Validations List'!A106)</f>
        <v>0</v>
      </c>
      <c r="E26" s="44">
        <f>COUNTIFS('Custom Test Script'!B2:B200,"*"&amp;'Findings Breakdown'!A26&amp;"*",'Custom Test Script'!D2:D200,'Validations List'!A105)+COUNTIFS('Report Entry'!D26:D207,"*"&amp;'Findings Breakdown'!A26&amp;"*",'Report Entry'!B26:B207,'Validations List'!A105)</f>
        <v>0</v>
      </c>
      <c r="F26" s="44">
        <f>COUNTIFS('Custom Test Script'!B2:B200,"*"&amp;'Findings Breakdown'!A26&amp;"*",'Custom Test Script'!D2:D200,'Validations List'!A108)+COUNTIFS('Report Entry'!D26:D207,"*"&amp;'Findings Breakdown'!A26&amp;"*",'Report Entry'!B26:B207,'Validations List'!A108)</f>
        <v>0</v>
      </c>
      <c r="G26" s="44">
        <f>COUNTIFS('Custom Test Script'!B2:B200,"*"&amp;'Findings Breakdown'!A26&amp;"*",'Custom Test Script'!D2:D200,'Validations List'!A109)+COUNTIFS('Report Entry'!D26:D207,"*"&amp;'Findings Breakdown'!A26&amp;"*",'Report Entry'!B26:B207,'Validations List'!A109)</f>
        <v>0</v>
      </c>
      <c r="H26" s="93" t="str" cm="1">
        <f t="array" ref="H26">INDEX('Validations List'!A120:D120,SUMPRODUCT(MAX(('Validations List'!A120:D143='Findings Breakdown'!A26)*(COLUMN('Validations List'!A120:D143))))-COLUMN('Validations List'!A120)+1)</f>
        <v>Not Ranked</v>
      </c>
      <c r="I26" s="76" t="str">
        <f>IFERROR(WCAG20results[[#This Row],['# Support w/ Exceptions]]*WCAG20results[[#This Row],[Excepts Value per]]+(WCAG20results[[#This Row],['# Supports]]+WCAG20results[[#This Row],['# Does Not Apply]])*WCAG20results[[#This Row],[Supports Value per]]," ")</f>
        <v xml:space="preserve"> </v>
      </c>
      <c r="J26" s="76" t="str">
        <f>IFERROR('Validations List'!I35*WCAG20results[[#This Row],[Supports Value per]]," ")</f>
        <v xml:space="preserve"> </v>
      </c>
      <c r="K26" s="44" t="str">
        <f>IF(WCAG20results[[#This Row],[Importance by Agency]]='Validations List'!A113,'Validations List'!D113,IF(WCAG20results[[#This Row],[Importance by Agency]]='Validations List'!A114,'Validations List'!D114,IF(WCAG20results[[#This Row],[Importance by Agency]]='Validations List'!A115,'Validations List'!D115,"Not Ranked")))</f>
        <v>Not Ranked</v>
      </c>
      <c r="L26" s="44" t="str">
        <f>IF(WCAG20results[[#This Row],[Importance by Agency]]='Validations List'!A113,'Validations List'!C113,IF(WCAG20results[[#This Row],[Importance by Agency]]='Validations List'!A114,'Validations List'!C114,IF(WCAG20results[[#This Row],[Importance by Agency]]='Validations List'!A115,'Validations List'!C115,"Not Ranked")))</f>
        <v>Not Ranked</v>
      </c>
      <c r="M26" s="76">
        <f>IFERROR(IFERROR(VLOOKUP(A26,MasterTable[[#All],[WCAG guideline]:[Epilepsy]],6,FALSE)," ")*I26,0)</f>
        <v>0</v>
      </c>
      <c r="N26" s="76">
        <f>IFERROR(IFERROR(VLOOKUP(A26,MasterTable[[#All],[WCAG guideline]:[Epilepsy]],6,FALSE)," ")*J26,0)</f>
        <v>0</v>
      </c>
      <c r="O26" s="77">
        <f>IFERROR(IFERROR(VLOOKUP(A26,MasterTable[[#All],[WCAG guideline]:[Epilepsy]],7,FALSE)," ")*I26,0)</f>
        <v>0</v>
      </c>
      <c r="P26" s="77">
        <f>IFERROR(IFERROR(VLOOKUP(A26,MasterTable[[#All],[WCAG guideline]:[Epilepsy]],7,FALSE)," ")*J26,0)</f>
        <v>0</v>
      </c>
      <c r="Q26" s="77">
        <f>IFERROR(IFERROR(VLOOKUP(A26,MasterTable[[#All],[WCAG guideline]:[Epilepsy]],8,FALSE)," ")*I26,0)</f>
        <v>0</v>
      </c>
      <c r="R26" s="77">
        <f>IFERROR(IFERROR(VLOOKUP(A26,MasterTable[[#All],[WCAG guideline]:[Epilepsy]],8,FALSE)," ")*J26,0)</f>
        <v>0</v>
      </c>
      <c r="S26" s="77">
        <f>IFERROR(IFERROR(VLOOKUP(A26,MasterTable[[#All],[WCAG guideline]:[Epilepsy]],9,FALSE)," ")*I26,0)</f>
        <v>0</v>
      </c>
      <c r="T26" s="77">
        <f>IFERROR(IFERROR(VLOOKUP(A26,MasterTable[[#All],[WCAG guideline]:[Epilepsy]],9,FALSE)," ")*J26,0)</f>
        <v>0</v>
      </c>
      <c r="U26" s="77">
        <f>IFERROR(IFERROR(VLOOKUP(A26,MasterTable[[#All],[WCAG guideline]:[Epilepsy]],10,FALSE)," ")*I26,0)</f>
        <v>0</v>
      </c>
      <c r="V26" s="77">
        <f>IFERROR(IFERROR(VLOOKUP(A26,MasterTable[[#All],[WCAG guideline]:[Epilepsy]],10,FALSE)," ")*J26,0)</f>
        <v>0</v>
      </c>
      <c r="W26" s="77">
        <f>IFERROR(IFERROR(VLOOKUP(A26,MasterTable[[#All],[WCAG guideline]:[Epilepsy]],11,FALSE)," ")*I26,0)</f>
        <v>0</v>
      </c>
      <c r="X26" s="77">
        <f>IFERROR(IFERROR(VLOOKUP(A26,MasterTable[[#All],[WCAG guideline]:[Epilepsy]],11,FALSE)," ")*J26,0)</f>
        <v>0</v>
      </c>
      <c r="Y26" s="77">
        <f>IFERROR(IFERROR(VLOOKUP(A26,MasterTable[[#All],[WCAG guideline]:[Epilepsy]],12,FALSE)," ")*I26,0)</f>
        <v>0</v>
      </c>
      <c r="Z26" s="77">
        <f>IFERROR(IFERROR(VLOOKUP(A26,MasterTable[[#All],[WCAG guideline]:[Epilepsy]],12,FALSE)," ")*J26,0)</f>
        <v>0</v>
      </c>
    </row>
    <row r="27" spans="1:26" ht="45" customHeight="1" x14ac:dyDescent="0.4">
      <c r="A27" s="75" t="s">
        <v>338</v>
      </c>
      <c r="B27" s="44" t="str">
        <f>IFERROR(VLOOKUP(A27,MasterTable[[#All],[WCAG guideline]:[2.2 Level]],4,FALSE), "Not found")</f>
        <v>A</v>
      </c>
      <c r="C27" s="44">
        <f>COUNTIFS('Custom Test Script'!B2:B200,"*"&amp;'Findings Breakdown'!A27&amp;"*",'Custom Test Script'!D2:D200,'Validations List'!A107)+COUNTIFS('Report Entry'!D26:D207,"*"&amp;'Findings Breakdown'!A27&amp;"*",'Report Entry'!B26:B207,'Validations List'!A107)</f>
        <v>0</v>
      </c>
      <c r="D27" s="44">
        <f>COUNTIFS('Custom Test Script'!B2:B200,"*"&amp;'Findings Breakdown'!A27&amp;"*",'Custom Test Script'!D2:D200,'Validations List'!A106)+COUNTIFS('Report Entry'!D26:D207,"*"&amp;'Findings Breakdown'!A27&amp;"*",'Report Entry'!B26:B207,'Validations List'!A106)</f>
        <v>0</v>
      </c>
      <c r="E27" s="44">
        <f>COUNTIFS('Custom Test Script'!B2:B200,"*"&amp;'Findings Breakdown'!A27&amp;"*",'Custom Test Script'!D2:D200,'Validations List'!A105)+COUNTIFS('Report Entry'!D26:D207,"*"&amp;'Findings Breakdown'!A27&amp;"*",'Report Entry'!B26:B207,'Validations List'!A105)</f>
        <v>0</v>
      </c>
      <c r="F27" s="44">
        <f>COUNTIFS('Custom Test Script'!B2:B200,"*"&amp;'Findings Breakdown'!A27&amp;"*",'Custom Test Script'!D2:D200,'Validations List'!A108)+COUNTIFS('Report Entry'!D26:D207,"*"&amp;'Findings Breakdown'!A27&amp;"*",'Report Entry'!B26:B207,'Validations List'!A108)</f>
        <v>0</v>
      </c>
      <c r="G27" s="44">
        <f>COUNTIFS('Custom Test Script'!B2:B200,"*"&amp;'Findings Breakdown'!A27&amp;"*",'Custom Test Script'!D2:D200,'Validations List'!A109)+COUNTIFS('Report Entry'!D26:D207,"*"&amp;'Findings Breakdown'!A27&amp;"*",'Report Entry'!B26:B207,'Validations List'!A109)</f>
        <v>0</v>
      </c>
      <c r="H27" s="93" t="str" cm="1">
        <f t="array" ref="H27">INDEX('Validations List'!A120:D120,SUMPRODUCT(MAX(('Validations List'!A120:D143='Findings Breakdown'!A27)*(COLUMN('Validations List'!A120:D143))))-COLUMN('Validations List'!A120)+1)</f>
        <v>Important</v>
      </c>
      <c r="I27" s="76">
        <f>IFERROR(WCAG20results[[#This Row],['# Support w/ Exceptions]]*WCAG20results[[#This Row],[Excepts Value per]]+(WCAG20results[[#This Row],['# Supports]]+WCAG20results[[#This Row],['# Does Not Apply]])*WCAG20results[[#This Row],[Supports Value per]]," ")</f>
        <v>0</v>
      </c>
      <c r="J27" s="76">
        <f>IFERROR('Validations List'!I37*WCAG20results[[#This Row],[Supports Value per]]," ")</f>
        <v>300</v>
      </c>
      <c r="K27" s="44">
        <f>IF(WCAG20results[[#This Row],[Importance by Agency]]='Validations List'!A113,'Validations List'!D113,IF(WCAG20results[[#This Row],[Importance by Agency]]='Validations List'!A114,'Validations List'!D114,IF(WCAG20results[[#This Row],[Importance by Agency]]='Validations List'!A115,'Validations List'!D115,"Not Ranked")))</f>
        <v>100</v>
      </c>
      <c r="L27" s="44">
        <f>IF(WCAG20results[[#This Row],[Importance by Agency]]='Validations List'!A113,'Validations List'!C113,IF(WCAG20results[[#This Row],[Importance by Agency]]='Validations List'!A114,'Validations List'!C114,IF(WCAG20results[[#This Row],[Importance by Agency]]='Validations List'!A115,'Validations List'!C115,"Not Ranked")))</f>
        <v>50</v>
      </c>
      <c r="M27" s="76">
        <f>IFERROR(IFERROR(VLOOKUP(A27,MasterTable[[#All],[WCAG guideline]:[Epilepsy]],6,FALSE)," ")*I27,0)</f>
        <v>0</v>
      </c>
      <c r="N27" s="76">
        <f>IFERROR(IFERROR(VLOOKUP(A27,MasterTable[[#All],[WCAG guideline]:[Epilepsy]],6,FALSE)," ")*J27,0)</f>
        <v>300</v>
      </c>
      <c r="O27" s="77">
        <f>IFERROR(IFERROR(VLOOKUP(A27,MasterTable[[#All],[WCAG guideline]:[Epilepsy]],7,FALSE)," ")*I27,0)</f>
        <v>0</v>
      </c>
      <c r="P27" s="77">
        <f>IFERROR(IFERROR(VLOOKUP(A27,MasterTable[[#All],[WCAG guideline]:[Epilepsy]],7,FALSE)," ")*J27,0)</f>
        <v>300</v>
      </c>
      <c r="Q27" s="77">
        <f>IFERROR(IFERROR(VLOOKUP(A27,MasterTable[[#All],[WCAG guideline]:[Epilepsy]],8,FALSE)," ")*I27,0)</f>
        <v>0</v>
      </c>
      <c r="R27" s="77">
        <f>IFERROR(IFERROR(VLOOKUP(A27,MasterTable[[#All],[WCAG guideline]:[Epilepsy]],8,FALSE)," ")*J27,0)</f>
        <v>0</v>
      </c>
      <c r="S27" s="77">
        <f>IFERROR(IFERROR(VLOOKUP(A27,MasterTable[[#All],[WCAG guideline]:[Epilepsy]],9,FALSE)," ")*I27,0)</f>
        <v>0</v>
      </c>
      <c r="T27" s="77">
        <f>IFERROR(IFERROR(VLOOKUP(A27,MasterTable[[#All],[WCAG guideline]:[Epilepsy]],9,FALSE)," ")*J27,0)</f>
        <v>0</v>
      </c>
      <c r="U27" s="77">
        <f>IFERROR(IFERROR(VLOOKUP(A27,MasterTable[[#All],[WCAG guideline]:[Epilepsy]],10,FALSE)," ")*I27,0)</f>
        <v>0</v>
      </c>
      <c r="V27" s="77">
        <f>IFERROR(IFERROR(VLOOKUP(A27,MasterTable[[#All],[WCAG guideline]:[Epilepsy]],10,FALSE)," ")*J27,0)</f>
        <v>300</v>
      </c>
      <c r="W27" s="77">
        <f>IFERROR(IFERROR(VLOOKUP(A27,MasterTable[[#All],[WCAG guideline]:[Epilepsy]],11,FALSE)," ")*I27,0)</f>
        <v>0</v>
      </c>
      <c r="X27" s="77">
        <f>IFERROR(IFERROR(VLOOKUP(A27,MasterTable[[#All],[WCAG guideline]:[Epilepsy]],11,FALSE)," ")*J27,0)</f>
        <v>300</v>
      </c>
      <c r="Y27" s="77">
        <f>IFERROR(IFERROR(VLOOKUP(A27,MasterTable[[#All],[WCAG guideline]:[Epilepsy]],12,FALSE)," ")*I27,0)</f>
        <v>0</v>
      </c>
      <c r="Z27" s="77">
        <f>IFERROR(IFERROR(VLOOKUP(A27,MasterTable[[#All],[WCAG guideline]:[Epilepsy]],12,FALSE)," ")*J27,0)</f>
        <v>300</v>
      </c>
    </row>
    <row r="28" spans="1:26" ht="45" customHeight="1" x14ac:dyDescent="0.4">
      <c r="A28" s="75" t="s">
        <v>339</v>
      </c>
      <c r="B28" s="44" t="str">
        <f>IFERROR(VLOOKUP(A28,MasterTable[[#All],[WCAG guideline]:[2.2 Level]],4,FALSE), "Not found")</f>
        <v>A</v>
      </c>
      <c r="C28" s="44">
        <f>COUNTIFS('Custom Test Script'!B2:B200,"*"&amp;'Findings Breakdown'!A28&amp;"*",'Custom Test Script'!D2:D200,'Validations List'!A107)+COUNTIFS('Report Entry'!D26:D207,"*"&amp;'Findings Breakdown'!A28&amp;"*",'Report Entry'!B26:B207,'Validations List'!A107)</f>
        <v>0</v>
      </c>
      <c r="D28" s="44">
        <f>COUNTIFS('Custom Test Script'!B2:B200,"*"&amp;'Findings Breakdown'!A28&amp;"*",'Custom Test Script'!D2:D200,'Validations List'!A106)+COUNTIFS('Report Entry'!D26:D207,"*"&amp;'Findings Breakdown'!A28&amp;"*",'Report Entry'!B26:B207,'Validations List'!A106)</f>
        <v>0</v>
      </c>
      <c r="E28" s="44">
        <f>COUNTIFS('Custom Test Script'!B2:B200,"*"&amp;'Findings Breakdown'!A28&amp;"*",'Custom Test Script'!D2:D200,'Validations List'!A105)+COUNTIFS('Report Entry'!D26:D207,"*"&amp;'Findings Breakdown'!A28&amp;"*",'Report Entry'!B26:B207,'Validations List'!A105)</f>
        <v>0</v>
      </c>
      <c r="F28" s="44">
        <f>COUNTIFS('Custom Test Script'!B2:B200,"*"&amp;'Findings Breakdown'!A28&amp;"*",'Custom Test Script'!D2:D200,'Validations List'!A108)+COUNTIFS('Report Entry'!D26:D207,"*"&amp;'Findings Breakdown'!A28&amp;"*",'Report Entry'!B26:B207,'Validations List'!A108)</f>
        <v>0</v>
      </c>
      <c r="G28" s="44">
        <f>COUNTIFS('Custom Test Script'!B2:B200,"*"&amp;'Findings Breakdown'!A28&amp;"*",'Custom Test Script'!D2:D200,'Validations List'!A109)+COUNTIFS('Report Entry'!D26:D207,"*"&amp;'Findings Breakdown'!A28&amp;"*",'Report Entry'!B26:B207,'Validations List'!A109)</f>
        <v>0</v>
      </c>
      <c r="H28" s="93" t="str" cm="1">
        <f t="array" ref="H28">INDEX('Validations List'!A120:D120,SUMPRODUCT(MAX(('Validations List'!A120:D143='Findings Breakdown'!A28)*(COLUMN('Validations List'!A120:D143))))-COLUMN('Validations List'!A120)+1)</f>
        <v>Standard</v>
      </c>
      <c r="I28" s="76">
        <f>IFERROR(WCAG20results[[#This Row],['# Support w/ Exceptions]]*WCAG20results[[#This Row],[Excepts Value per]]+(WCAG20results[[#This Row],['# Supports]]+WCAG20results[[#This Row],['# Does Not Apply]])*WCAG20results[[#This Row],[Supports Value per]]," ")</f>
        <v>0</v>
      </c>
      <c r="J28" s="76">
        <f>IFERROR('Validations List'!I38*WCAG20results[[#This Row],[Supports Value per]]," ")</f>
        <v>100</v>
      </c>
      <c r="K28" s="44">
        <f>IF(WCAG20results[[#This Row],[Importance by Agency]]='Validations List'!A113,'Validations List'!D113,IF(WCAG20results[[#This Row],[Importance by Agency]]='Validations List'!A114,'Validations List'!D114,IF(WCAG20results[[#This Row],[Importance by Agency]]='Validations List'!A115,'Validations List'!D115,"Not Ranked")))</f>
        <v>50</v>
      </c>
      <c r="L28" s="44">
        <f>IF(WCAG20results[[#This Row],[Importance by Agency]]='Validations List'!A113,'Validations List'!C113,IF(WCAG20results[[#This Row],[Importance by Agency]]='Validations List'!A114,'Validations List'!C114,IF(WCAG20results[[#This Row],[Importance by Agency]]='Validations List'!A115,'Validations List'!C115,"Not Ranked")))</f>
        <v>25</v>
      </c>
      <c r="M28" s="76">
        <f>IFERROR(IFERROR(VLOOKUP(A28,MasterTable[[#All],[WCAG guideline]:[Epilepsy]],6,FALSE)," ")*I28,0)</f>
        <v>0</v>
      </c>
      <c r="N28" s="76">
        <f>IFERROR(IFERROR(VLOOKUP(A28,MasterTable[[#All],[WCAG guideline]:[Epilepsy]],6,FALSE)," ")*J28,0)</f>
        <v>100</v>
      </c>
      <c r="O28" s="77">
        <f>IFERROR(IFERROR(VLOOKUP(A28,MasterTable[[#All],[WCAG guideline]:[Epilepsy]],7,FALSE)," ")*I28,0)</f>
        <v>0</v>
      </c>
      <c r="P28" s="77">
        <f>IFERROR(IFERROR(VLOOKUP(A28,MasterTable[[#All],[WCAG guideline]:[Epilepsy]],7,FALSE)," ")*J28,0)</f>
        <v>100</v>
      </c>
      <c r="Q28" s="77">
        <f>IFERROR(IFERROR(VLOOKUP(A28,MasterTable[[#All],[WCAG guideline]:[Epilepsy]],8,FALSE)," ")*I28,0)</f>
        <v>0</v>
      </c>
      <c r="R28" s="77">
        <f>IFERROR(IFERROR(VLOOKUP(A28,MasterTable[[#All],[WCAG guideline]:[Epilepsy]],8,FALSE)," ")*J28,0)</f>
        <v>0</v>
      </c>
      <c r="S28" s="77">
        <f>IFERROR(IFERROR(VLOOKUP(A28,MasterTable[[#All],[WCAG guideline]:[Epilepsy]],9,FALSE)," ")*I28,0)</f>
        <v>0</v>
      </c>
      <c r="T28" s="77">
        <f>IFERROR(IFERROR(VLOOKUP(A28,MasterTable[[#All],[WCAG guideline]:[Epilepsy]],9,FALSE)," ")*J28,0)</f>
        <v>0</v>
      </c>
      <c r="U28" s="77">
        <f>IFERROR(IFERROR(VLOOKUP(A28,MasterTable[[#All],[WCAG guideline]:[Epilepsy]],10,FALSE)," ")*I28,0)</f>
        <v>0</v>
      </c>
      <c r="V28" s="77">
        <f>IFERROR(IFERROR(VLOOKUP(A28,MasterTable[[#All],[WCAG guideline]:[Epilepsy]],10,FALSE)," ")*J28,0)</f>
        <v>100</v>
      </c>
      <c r="W28" s="77">
        <f>IFERROR(IFERROR(VLOOKUP(A28,MasterTable[[#All],[WCAG guideline]:[Epilepsy]],11,FALSE)," ")*I28,0)</f>
        <v>0</v>
      </c>
      <c r="X28" s="77">
        <f>IFERROR(IFERROR(VLOOKUP(A28,MasterTable[[#All],[WCAG guideline]:[Epilepsy]],11,FALSE)," ")*J28,0)</f>
        <v>100</v>
      </c>
      <c r="Y28" s="77">
        <f>IFERROR(IFERROR(VLOOKUP(A28,MasterTable[[#All],[WCAG guideline]:[Epilepsy]],12,FALSE)," ")*I28,0)</f>
        <v>0</v>
      </c>
      <c r="Z28" s="77">
        <f>IFERROR(IFERROR(VLOOKUP(A28,MasterTable[[#All],[WCAG guideline]:[Epilepsy]],12,FALSE)," ")*J28,0)</f>
        <v>100</v>
      </c>
    </row>
    <row r="29" spans="1:26" ht="45" customHeight="1" x14ac:dyDescent="0.4">
      <c r="A29" s="75" t="s">
        <v>340</v>
      </c>
      <c r="B29" s="44" t="str">
        <f>IFERROR(VLOOKUP(A29,MasterTable[[#All],[WCAG guideline]:[2.2 Level]],4,FALSE), "Not found")</f>
        <v>AAA</v>
      </c>
      <c r="C29" s="44">
        <f>COUNTIFS('Custom Test Script'!B2:B200,"*"&amp;'Findings Breakdown'!A29&amp;"*",'Custom Test Script'!D2:D200,'Validations List'!A107)+COUNTIFS('Report Entry'!D26:D207,"*"&amp;'Findings Breakdown'!A29&amp;"*",'Report Entry'!B26:B207,'Validations List'!A107)</f>
        <v>0</v>
      </c>
      <c r="D29" s="44">
        <f>COUNTIFS('Custom Test Script'!B2:B200,"*"&amp;'Findings Breakdown'!A29&amp;"*",'Custom Test Script'!D2:D200,'Validations List'!A106)+COUNTIFS('Report Entry'!D26:D207,"*"&amp;'Findings Breakdown'!A29&amp;"*",'Report Entry'!B26:B207,'Validations List'!A106)</f>
        <v>0</v>
      </c>
      <c r="E29" s="44">
        <f>COUNTIFS('Custom Test Script'!B2:B200,"*"&amp;'Findings Breakdown'!A29&amp;"*",'Custom Test Script'!D2:D200,'Validations List'!A105)+COUNTIFS('Report Entry'!D26:D207,"*"&amp;'Findings Breakdown'!A29&amp;"*",'Report Entry'!B26:B207,'Validations List'!A105)</f>
        <v>0</v>
      </c>
      <c r="F29" s="44">
        <f>COUNTIFS('Custom Test Script'!B2:B200,"*"&amp;'Findings Breakdown'!A29&amp;"*",'Custom Test Script'!D2:D200,'Validations List'!A108)+COUNTIFS('Report Entry'!D26:D207,"*"&amp;'Findings Breakdown'!A29&amp;"*",'Report Entry'!B26:B207,'Validations List'!A108)</f>
        <v>0</v>
      </c>
      <c r="G29" s="44">
        <f>COUNTIFS('Custom Test Script'!B2:B200,"*"&amp;'Findings Breakdown'!A29&amp;"*",'Custom Test Script'!D2:D200,'Validations List'!A109)+COUNTIFS('Report Entry'!D26:D207,"*"&amp;'Findings Breakdown'!A29&amp;"*",'Report Entry'!B26:B207,'Validations List'!A109)</f>
        <v>0</v>
      </c>
      <c r="H29" s="93" t="str" cm="1">
        <f t="array" ref="H29">INDEX('Validations List'!A120:D120,SUMPRODUCT(MAX(('Validations List'!A120:D143='Findings Breakdown'!A29)*(COLUMN('Validations List'!A120:D143))))-COLUMN('Validations List'!A120)+1)</f>
        <v>Not Ranked</v>
      </c>
      <c r="I29" s="76" t="str">
        <f>IFERROR(WCAG20results[[#This Row],['# Support w/ Exceptions]]*WCAG20results[[#This Row],[Excepts Value per]]+(WCAG20results[[#This Row],['# Supports]]+WCAG20results[[#This Row],['# Does Not Apply]])*WCAG20results[[#This Row],[Supports Value per]]," ")</f>
        <v xml:space="preserve"> </v>
      </c>
      <c r="J29" s="76" t="str">
        <f>IFERROR('Validations List'!I39*WCAG20results[[#This Row],[Supports Value per]]," ")</f>
        <v xml:space="preserve"> </v>
      </c>
      <c r="K29" s="44" t="str">
        <f>IF(WCAG20results[[#This Row],[Importance by Agency]]='Validations List'!A113,'Validations List'!D113,IF(WCAG20results[[#This Row],[Importance by Agency]]='Validations List'!A114,'Validations List'!D114,IF(WCAG20results[[#This Row],[Importance by Agency]]='Validations List'!A115,'Validations List'!D115,"Not Ranked")))</f>
        <v>Not Ranked</v>
      </c>
      <c r="L29" s="44" t="str">
        <f>IF(WCAG20results[[#This Row],[Importance by Agency]]='Validations List'!A113,'Validations List'!C113,IF(WCAG20results[[#This Row],[Importance by Agency]]='Validations List'!A114,'Validations List'!C114,IF(WCAG20results[[#This Row],[Importance by Agency]]='Validations List'!A115,'Validations List'!C115,"Not Ranked")))</f>
        <v>Not Ranked</v>
      </c>
      <c r="M29" s="76">
        <f>IFERROR(IFERROR(VLOOKUP(A29,MasterTable[[#All],[WCAG guideline]:[Epilepsy]],6,FALSE)," ")*I29,0)</f>
        <v>0</v>
      </c>
      <c r="N29" s="76">
        <f>IFERROR(IFERROR(VLOOKUP(A29,MasterTable[[#All],[WCAG guideline]:[Epilepsy]],6,FALSE)," ")*J29,0)</f>
        <v>0</v>
      </c>
      <c r="O29" s="77">
        <f>IFERROR(IFERROR(VLOOKUP(A29,MasterTable[[#All],[WCAG guideline]:[Epilepsy]],7,FALSE)," ")*I29,0)</f>
        <v>0</v>
      </c>
      <c r="P29" s="77">
        <f>IFERROR(IFERROR(VLOOKUP(A29,MasterTable[[#All],[WCAG guideline]:[Epilepsy]],7,FALSE)," ")*J29,0)</f>
        <v>0</v>
      </c>
      <c r="Q29" s="77">
        <f>IFERROR(IFERROR(VLOOKUP(A29,MasterTable[[#All],[WCAG guideline]:[Epilepsy]],8,FALSE)," ")*I29,0)</f>
        <v>0</v>
      </c>
      <c r="R29" s="77">
        <f>IFERROR(IFERROR(VLOOKUP(A29,MasterTable[[#All],[WCAG guideline]:[Epilepsy]],8,FALSE)," ")*J29,0)</f>
        <v>0</v>
      </c>
      <c r="S29" s="77">
        <f>IFERROR(IFERROR(VLOOKUP(A29,MasterTable[[#All],[WCAG guideline]:[Epilepsy]],9,FALSE)," ")*I29,0)</f>
        <v>0</v>
      </c>
      <c r="T29" s="77">
        <f>IFERROR(IFERROR(VLOOKUP(A29,MasterTable[[#All],[WCAG guideline]:[Epilepsy]],9,FALSE)," ")*J29,0)</f>
        <v>0</v>
      </c>
      <c r="U29" s="77">
        <f>IFERROR(IFERROR(VLOOKUP(A29,MasterTable[[#All],[WCAG guideline]:[Epilepsy]],10,FALSE)," ")*I29,0)</f>
        <v>0</v>
      </c>
      <c r="V29" s="77">
        <f>IFERROR(IFERROR(VLOOKUP(A29,MasterTable[[#All],[WCAG guideline]:[Epilepsy]],10,FALSE)," ")*J29,0)</f>
        <v>0</v>
      </c>
      <c r="W29" s="77">
        <f>IFERROR(IFERROR(VLOOKUP(A29,MasterTable[[#All],[WCAG guideline]:[Epilepsy]],11,FALSE)," ")*I29,0)</f>
        <v>0</v>
      </c>
      <c r="X29" s="77">
        <f>IFERROR(IFERROR(VLOOKUP(A29,MasterTable[[#All],[WCAG guideline]:[Epilepsy]],11,FALSE)," ")*J29,0)</f>
        <v>0</v>
      </c>
      <c r="Y29" s="77">
        <f>IFERROR(IFERROR(VLOOKUP(A29,MasterTable[[#All],[WCAG guideline]:[Epilepsy]],12,FALSE)," ")*I29,0)</f>
        <v>0</v>
      </c>
      <c r="Z29" s="77">
        <f>IFERROR(IFERROR(VLOOKUP(A29,MasterTable[[#All],[WCAG guideline]:[Epilepsy]],12,FALSE)," ")*J29,0)</f>
        <v>0</v>
      </c>
    </row>
    <row r="30" spans="1:26" ht="45" customHeight="1" x14ac:dyDescent="0.4">
      <c r="A30" s="75" t="s">
        <v>341</v>
      </c>
      <c r="B30" s="44" t="str">
        <f>IFERROR(VLOOKUP(A30,MasterTable[[#All],[WCAG guideline]:[2.2 Level]],4,FALSE), "Not found")</f>
        <v>AAA</v>
      </c>
      <c r="C30" s="44">
        <f>COUNTIFS('Custom Test Script'!B2:B200,"*"&amp;'Findings Breakdown'!A30&amp;"*",'Custom Test Script'!D2:D200,'Validations List'!A107)+COUNTIFS('Report Entry'!D26:D207,"*"&amp;'Findings Breakdown'!A30&amp;"*",'Report Entry'!B26:B207,'Validations List'!A107)</f>
        <v>0</v>
      </c>
      <c r="D30" s="44">
        <f>COUNTIFS('Custom Test Script'!B2:B200,"*"&amp;'Findings Breakdown'!A30&amp;"*",'Custom Test Script'!D2:D200,'Validations List'!A106)+COUNTIFS('Report Entry'!D26:D207,"*"&amp;'Findings Breakdown'!A30&amp;"*",'Report Entry'!B26:B207,'Validations List'!A106)</f>
        <v>0</v>
      </c>
      <c r="E30" s="44">
        <f>COUNTIFS('Custom Test Script'!B2:B200,"*"&amp;'Findings Breakdown'!A30&amp;"*",'Custom Test Script'!D2:D200,'Validations List'!A105)+COUNTIFS('Report Entry'!D26:D207,"*"&amp;'Findings Breakdown'!A30&amp;"*",'Report Entry'!B26:B207,'Validations List'!A105)</f>
        <v>0</v>
      </c>
      <c r="F30" s="44">
        <f>COUNTIFS('Custom Test Script'!B2:B200,"*"&amp;'Findings Breakdown'!A30&amp;"*",'Custom Test Script'!D2:D200,'Validations List'!A108)+COUNTIFS('Report Entry'!D26:D207,"*"&amp;'Findings Breakdown'!A30&amp;"*",'Report Entry'!B26:B207,'Validations List'!A108)</f>
        <v>0</v>
      </c>
      <c r="G30" s="44">
        <f>COUNTIFS('Custom Test Script'!B2:B200,"*"&amp;'Findings Breakdown'!A30&amp;"*",'Custom Test Script'!D2:D200,'Validations List'!A109)+COUNTIFS('Report Entry'!D26:D207,"*"&amp;'Findings Breakdown'!A30&amp;"*",'Report Entry'!B26:B207,'Validations List'!A109)</f>
        <v>0</v>
      </c>
      <c r="H30" s="93" t="str" cm="1">
        <f t="array" ref="H30">INDEX('Validations List'!A120:D120,SUMPRODUCT(MAX(('Validations List'!A120:D143='Findings Breakdown'!A30)*(COLUMN('Validations List'!A120:D143))))-COLUMN('Validations List'!A120)+1)</f>
        <v>Not Ranked</v>
      </c>
      <c r="I30" s="76" t="str">
        <f>IFERROR(WCAG20results[[#This Row],['# Support w/ Exceptions]]*WCAG20results[[#This Row],[Excepts Value per]]+(WCAG20results[[#This Row],['# Supports]]+WCAG20results[[#This Row],['# Does Not Apply]])*WCAG20results[[#This Row],[Supports Value per]]," ")</f>
        <v xml:space="preserve"> </v>
      </c>
      <c r="J30" s="76" t="str">
        <f>IFERROR('Validations List'!I40*WCAG20results[[#This Row],[Supports Value per]]," ")</f>
        <v xml:space="preserve"> </v>
      </c>
      <c r="K30" s="44" t="str">
        <f>IF(WCAG20results[[#This Row],[Importance by Agency]]='Validations List'!A113,'Validations List'!D113,IF(WCAG20results[[#This Row],[Importance by Agency]]='Validations List'!A114,'Validations List'!D114,IF(WCAG20results[[#This Row],[Importance by Agency]]='Validations List'!A115,'Validations List'!D115,"Not Ranked")))</f>
        <v>Not Ranked</v>
      </c>
      <c r="L30" s="44" t="str">
        <f>IF(WCAG20results[[#This Row],[Importance by Agency]]='Validations List'!A113,'Validations List'!C113,IF(WCAG20results[[#This Row],[Importance by Agency]]='Validations List'!A114,'Validations List'!C114,IF(WCAG20results[[#This Row],[Importance by Agency]]='Validations List'!A115,'Validations List'!C115,"Not Ranked")))</f>
        <v>Not Ranked</v>
      </c>
      <c r="M30" s="76">
        <f>IFERROR(IFERROR(VLOOKUP(A30,MasterTable[[#All],[WCAG guideline]:[Epilepsy]],6,FALSE)," ")*I30,0)</f>
        <v>0</v>
      </c>
      <c r="N30" s="76">
        <f>IFERROR(IFERROR(VLOOKUP(A30,MasterTable[[#All],[WCAG guideline]:[Epilepsy]],6,FALSE)," ")*J30,0)</f>
        <v>0</v>
      </c>
      <c r="O30" s="77">
        <f>IFERROR(IFERROR(VLOOKUP(A30,MasterTable[[#All],[WCAG guideline]:[Epilepsy]],7,FALSE)," ")*I30,0)</f>
        <v>0</v>
      </c>
      <c r="P30" s="77">
        <f>IFERROR(IFERROR(VLOOKUP(A30,MasterTable[[#All],[WCAG guideline]:[Epilepsy]],7,FALSE)," ")*J30,0)</f>
        <v>0</v>
      </c>
      <c r="Q30" s="77">
        <f>IFERROR(IFERROR(VLOOKUP(A30,MasterTable[[#All],[WCAG guideline]:[Epilepsy]],8,FALSE)," ")*I30,0)</f>
        <v>0</v>
      </c>
      <c r="R30" s="77">
        <f>IFERROR(IFERROR(VLOOKUP(A30,MasterTable[[#All],[WCAG guideline]:[Epilepsy]],8,FALSE)," ")*J30,0)</f>
        <v>0</v>
      </c>
      <c r="S30" s="77">
        <f>IFERROR(IFERROR(VLOOKUP(A30,MasterTable[[#All],[WCAG guideline]:[Epilepsy]],9,FALSE)," ")*I30,0)</f>
        <v>0</v>
      </c>
      <c r="T30" s="77">
        <f>IFERROR(IFERROR(VLOOKUP(A30,MasterTable[[#All],[WCAG guideline]:[Epilepsy]],9,FALSE)," ")*J30,0)</f>
        <v>0</v>
      </c>
      <c r="U30" s="77">
        <f>IFERROR(IFERROR(VLOOKUP(A30,MasterTable[[#All],[WCAG guideline]:[Epilepsy]],10,FALSE)," ")*I30,0)</f>
        <v>0</v>
      </c>
      <c r="V30" s="77">
        <f>IFERROR(IFERROR(VLOOKUP(A30,MasterTable[[#All],[WCAG guideline]:[Epilepsy]],10,FALSE)," ")*J30,0)</f>
        <v>0</v>
      </c>
      <c r="W30" s="77">
        <f>IFERROR(IFERROR(VLOOKUP(A30,MasterTable[[#All],[WCAG guideline]:[Epilepsy]],11,FALSE)," ")*I30,0)</f>
        <v>0</v>
      </c>
      <c r="X30" s="77">
        <f>IFERROR(IFERROR(VLOOKUP(A30,MasterTable[[#All],[WCAG guideline]:[Epilepsy]],11,FALSE)," ")*J30,0)</f>
        <v>0</v>
      </c>
      <c r="Y30" s="77">
        <f>IFERROR(IFERROR(VLOOKUP(A30,MasterTable[[#All],[WCAG guideline]:[Epilepsy]],12,FALSE)," ")*I30,0)</f>
        <v>0</v>
      </c>
      <c r="Z30" s="77">
        <f>IFERROR(IFERROR(VLOOKUP(A30,MasterTable[[#All],[WCAG guideline]:[Epilepsy]],12,FALSE)," ")*J30,0)</f>
        <v>0</v>
      </c>
    </row>
    <row r="31" spans="1:26" ht="45" customHeight="1" x14ac:dyDescent="0.4">
      <c r="A31" s="75" t="s">
        <v>342</v>
      </c>
      <c r="B31" s="44" t="str">
        <f>IFERROR(VLOOKUP(A31,MasterTable[[#All],[WCAG guideline]:[2.2 Level]],4,FALSE), "Not found")</f>
        <v>AAA</v>
      </c>
      <c r="C31" s="44">
        <f>COUNTIFS('Custom Test Script'!B2:B200,"*"&amp;'Findings Breakdown'!A31&amp;"*",'Custom Test Script'!D2:D200,'Validations List'!A107)+COUNTIFS('Report Entry'!D26:D207,"*"&amp;'Findings Breakdown'!A31&amp;"*",'Report Entry'!B26:B207,'Validations List'!A107)</f>
        <v>0</v>
      </c>
      <c r="D31" s="44">
        <f>COUNTIFS('Custom Test Script'!B2:B200,"*"&amp;'Findings Breakdown'!A31&amp;"*",'Custom Test Script'!D2:D200,'Validations List'!A106)+COUNTIFS('Report Entry'!D26:D207,"*"&amp;'Findings Breakdown'!A31&amp;"*",'Report Entry'!B26:B207,'Validations List'!A106)</f>
        <v>0</v>
      </c>
      <c r="E31" s="44">
        <f>COUNTIFS('Custom Test Script'!B2:B200,"*"&amp;'Findings Breakdown'!A31&amp;"*",'Custom Test Script'!D2:D200,'Validations List'!A105)+COUNTIFS('Report Entry'!D26:D207,"*"&amp;'Findings Breakdown'!A31&amp;"*",'Report Entry'!B26:B207,'Validations List'!A105)</f>
        <v>0</v>
      </c>
      <c r="F31" s="44">
        <f>COUNTIFS('Custom Test Script'!B2:B200,"*"&amp;'Findings Breakdown'!A31&amp;"*",'Custom Test Script'!D2:D200,'Validations List'!A108)+COUNTIFS('Report Entry'!D26:D207,"*"&amp;'Findings Breakdown'!A31&amp;"*",'Report Entry'!B26:B207,'Validations List'!A108)</f>
        <v>0</v>
      </c>
      <c r="G31" s="44">
        <f>COUNTIFS('Custom Test Script'!B2:B200,"*"&amp;'Findings Breakdown'!A31&amp;"*",'Custom Test Script'!D2:D200,'Validations List'!A109)+COUNTIFS('Report Entry'!D26:D207,"*"&amp;'Findings Breakdown'!A31&amp;"*",'Report Entry'!B26:B207,'Validations List'!A109)</f>
        <v>0</v>
      </c>
      <c r="H31" s="93" t="str" cm="1">
        <f t="array" ref="H31">INDEX('Validations List'!A120:D120,SUMPRODUCT(MAX(('Validations List'!A120:D143='Findings Breakdown'!A31)*(COLUMN('Validations List'!A120:D143))))-COLUMN('Validations List'!A120)+1)</f>
        <v>Not Ranked</v>
      </c>
      <c r="I31" s="76" t="str">
        <f>IFERROR(WCAG20results[[#This Row],['# Support w/ Exceptions]]*WCAG20results[[#This Row],[Excepts Value per]]+(WCAG20results[[#This Row],['# Supports]]+WCAG20results[[#This Row],['# Does Not Apply]])*WCAG20results[[#This Row],[Supports Value per]]," ")</f>
        <v xml:space="preserve"> </v>
      </c>
      <c r="J31" s="76" t="str">
        <f>IFERROR('Validations List'!I41*WCAG20results[[#This Row],[Supports Value per]]," ")</f>
        <v xml:space="preserve"> </v>
      </c>
      <c r="K31" s="44" t="str">
        <f>IF(WCAG20results[[#This Row],[Importance by Agency]]='Validations List'!A113,'Validations List'!D113,IF(WCAG20results[[#This Row],[Importance by Agency]]='Validations List'!A114,'Validations List'!D114,IF(WCAG20results[[#This Row],[Importance by Agency]]='Validations List'!A115,'Validations List'!D115,"Not Ranked")))</f>
        <v>Not Ranked</v>
      </c>
      <c r="L31" s="44" t="str">
        <f>IF(WCAG20results[[#This Row],[Importance by Agency]]='Validations List'!A113,'Validations List'!C113,IF(WCAG20results[[#This Row],[Importance by Agency]]='Validations List'!A114,'Validations List'!C114,IF(WCAG20results[[#This Row],[Importance by Agency]]='Validations List'!A115,'Validations List'!C115,"Not Ranked")))</f>
        <v>Not Ranked</v>
      </c>
      <c r="M31" s="76">
        <f>IFERROR(IFERROR(VLOOKUP(A31,MasterTable[[#All],[WCAG guideline]:[Epilepsy]],6,FALSE)," ")*I31,0)</f>
        <v>0</v>
      </c>
      <c r="N31" s="76">
        <f>IFERROR(IFERROR(VLOOKUP(A31,MasterTable[[#All],[WCAG guideline]:[Epilepsy]],6,FALSE)," ")*J31,0)</f>
        <v>0</v>
      </c>
      <c r="O31" s="77">
        <f>IFERROR(IFERROR(VLOOKUP(A31,MasterTable[[#All],[WCAG guideline]:[Epilepsy]],7,FALSE)," ")*I31,0)</f>
        <v>0</v>
      </c>
      <c r="P31" s="77">
        <f>IFERROR(IFERROR(VLOOKUP(A31,MasterTable[[#All],[WCAG guideline]:[Epilepsy]],7,FALSE)," ")*J31,0)</f>
        <v>0</v>
      </c>
      <c r="Q31" s="77">
        <f>IFERROR(IFERROR(VLOOKUP(A31,MasterTable[[#All],[WCAG guideline]:[Epilepsy]],8,FALSE)," ")*I31,0)</f>
        <v>0</v>
      </c>
      <c r="R31" s="77">
        <f>IFERROR(IFERROR(VLOOKUP(A31,MasterTable[[#All],[WCAG guideline]:[Epilepsy]],8,FALSE)," ")*J31,0)</f>
        <v>0</v>
      </c>
      <c r="S31" s="77">
        <f>IFERROR(IFERROR(VLOOKUP(A31,MasterTable[[#All],[WCAG guideline]:[Epilepsy]],9,FALSE)," ")*I31,0)</f>
        <v>0</v>
      </c>
      <c r="T31" s="77">
        <f>IFERROR(IFERROR(VLOOKUP(A31,MasterTable[[#All],[WCAG guideline]:[Epilepsy]],9,FALSE)," ")*J31,0)</f>
        <v>0</v>
      </c>
      <c r="U31" s="77">
        <f>IFERROR(IFERROR(VLOOKUP(A31,MasterTable[[#All],[WCAG guideline]:[Epilepsy]],10,FALSE)," ")*I31,0)</f>
        <v>0</v>
      </c>
      <c r="V31" s="77">
        <f>IFERROR(IFERROR(VLOOKUP(A31,MasterTable[[#All],[WCAG guideline]:[Epilepsy]],10,FALSE)," ")*J31,0)</f>
        <v>0</v>
      </c>
      <c r="W31" s="77">
        <f>IFERROR(IFERROR(VLOOKUP(A31,MasterTable[[#All],[WCAG guideline]:[Epilepsy]],11,FALSE)," ")*I31,0)</f>
        <v>0</v>
      </c>
      <c r="X31" s="77">
        <f>IFERROR(IFERROR(VLOOKUP(A31,MasterTable[[#All],[WCAG guideline]:[Epilepsy]],11,FALSE)," ")*J31,0)</f>
        <v>0</v>
      </c>
      <c r="Y31" s="77">
        <f>IFERROR(IFERROR(VLOOKUP(A31,MasterTable[[#All],[WCAG guideline]:[Epilepsy]],12,FALSE)," ")*I31,0)</f>
        <v>0</v>
      </c>
      <c r="Z31" s="77">
        <f>IFERROR(IFERROR(VLOOKUP(A31,MasterTable[[#All],[WCAG guideline]:[Epilepsy]],12,FALSE)," ")*J31,0)</f>
        <v>0</v>
      </c>
    </row>
    <row r="32" spans="1:26" ht="45" customHeight="1" x14ac:dyDescent="0.4">
      <c r="A32" s="75" t="s">
        <v>343</v>
      </c>
      <c r="B32" s="44" t="str">
        <f>IFERROR(VLOOKUP(A32,MasterTable[[#All],[WCAG guideline]:[2.2 Level]],4,FALSE), "Not found")</f>
        <v>A</v>
      </c>
      <c r="C32" s="44">
        <f>COUNTIFS('Custom Test Script'!B2:B200,"*"&amp;'Findings Breakdown'!A32&amp;"*",'Custom Test Script'!D2:D200,'Validations List'!A107)+COUNTIFS('Report Entry'!D26:D207,"*"&amp;'Findings Breakdown'!A32&amp;"*",'Report Entry'!B26:B207,'Validations List'!A107)</f>
        <v>0</v>
      </c>
      <c r="D32" s="44">
        <f>COUNTIFS('Custom Test Script'!B2:B200,"*"&amp;'Findings Breakdown'!A32&amp;"*",'Custom Test Script'!D2:D200,'Validations List'!A106)+COUNTIFS('Report Entry'!D26:D207,"*"&amp;'Findings Breakdown'!A32&amp;"*",'Report Entry'!B26:B207,'Validations List'!A106)</f>
        <v>0</v>
      </c>
      <c r="E32" s="44">
        <f>COUNTIFS('Custom Test Script'!B2:B200,"*"&amp;'Findings Breakdown'!A32&amp;"*",'Custom Test Script'!D2:D200,'Validations List'!A105)+COUNTIFS('Report Entry'!D26:D207,"*"&amp;'Findings Breakdown'!A32&amp;"*",'Report Entry'!B26:B207,'Validations List'!A105)</f>
        <v>0</v>
      </c>
      <c r="F32" s="44">
        <f>COUNTIFS('Custom Test Script'!B2:B200,"*"&amp;'Findings Breakdown'!A32&amp;"*",'Custom Test Script'!D2:D200,'Validations List'!A108)+COUNTIFS('Report Entry'!D26:D207,"*"&amp;'Findings Breakdown'!A32&amp;"*",'Report Entry'!B26:B207,'Validations List'!A108)</f>
        <v>0</v>
      </c>
      <c r="G32" s="44">
        <f>COUNTIFS('Custom Test Script'!B2:B200,"*"&amp;'Findings Breakdown'!A32&amp;"*",'Custom Test Script'!D2:D200,'Validations List'!A109)+COUNTIFS('Report Entry'!D26:D207,"*"&amp;'Findings Breakdown'!A32&amp;"*",'Report Entry'!B26:B207,'Validations List'!A109)</f>
        <v>0</v>
      </c>
      <c r="H32" s="93" t="str" cm="1">
        <f t="array" ref="H32">INDEX('Validations List'!A120:D120,SUMPRODUCT(MAX(('Validations List'!A120:D143='Findings Breakdown'!A32)*(COLUMN('Validations List'!A120:D143))))-COLUMN('Validations List'!A120)+1)</f>
        <v>Extremely Important</v>
      </c>
      <c r="I32" s="76">
        <f>IFERROR(WCAG20results[[#This Row],['# Support w/ Exceptions]]*WCAG20results[[#This Row],[Excepts Value per]]+(WCAG20results[[#This Row],['# Supports]]+WCAG20results[[#This Row],['# Does Not Apply]])*WCAG20results[[#This Row],[Supports Value per]]," ")</f>
        <v>0</v>
      </c>
      <c r="J32" s="76">
        <f>IFERROR('Validations List'!I43*WCAG20results[[#This Row],[Supports Value per]]," ")</f>
        <v>600</v>
      </c>
      <c r="K32" s="44">
        <f>IF(WCAG20results[[#This Row],[Importance by Agency]]='Validations List'!A113,'Validations List'!D113,IF(WCAG20results[[#This Row],[Importance by Agency]]='Validations List'!A114,'Validations List'!D114,IF(WCAG20results[[#This Row],[Importance by Agency]]='Validations List'!A115,'Validations List'!D115,"Not Ranked")))</f>
        <v>300</v>
      </c>
      <c r="L32" s="44">
        <f>IF(WCAG20results[[#This Row],[Importance by Agency]]='Validations List'!A113,'Validations List'!C113,IF(WCAG20results[[#This Row],[Importance by Agency]]='Validations List'!A114,'Validations List'!C114,IF(WCAG20results[[#This Row],[Importance by Agency]]='Validations List'!A115,'Validations List'!C115,"Not Ranked")))</f>
        <v>150</v>
      </c>
      <c r="M32" s="76">
        <f>IFERROR(IFERROR(VLOOKUP(A32,MasterTable[[#All],[WCAG guideline]:[Epilepsy]],6,FALSE)," ")*I32,0)</f>
        <v>0</v>
      </c>
      <c r="N32" s="76">
        <f>IFERROR(IFERROR(VLOOKUP(A32,MasterTable[[#All],[WCAG guideline]:[Epilepsy]],6,FALSE)," ")*J32,0)</f>
        <v>0</v>
      </c>
      <c r="O32" s="77">
        <f>IFERROR(IFERROR(VLOOKUP(A32,MasterTable[[#All],[WCAG guideline]:[Epilepsy]],7,FALSE)," ")*I32,0)</f>
        <v>0</v>
      </c>
      <c r="P32" s="77">
        <f>IFERROR(IFERROR(VLOOKUP(A32,MasterTable[[#All],[WCAG guideline]:[Epilepsy]],7,FALSE)," ")*J32,0)</f>
        <v>600</v>
      </c>
      <c r="Q32" s="77">
        <f>IFERROR(IFERROR(VLOOKUP(A32,MasterTable[[#All],[WCAG guideline]:[Epilepsy]],8,FALSE)," ")*I32,0)</f>
        <v>0</v>
      </c>
      <c r="R32" s="77">
        <f>IFERROR(IFERROR(VLOOKUP(A32,MasterTable[[#All],[WCAG guideline]:[Epilepsy]],8,FALSE)," ")*J32,0)</f>
        <v>0</v>
      </c>
      <c r="S32" s="77">
        <f>IFERROR(IFERROR(VLOOKUP(A32,MasterTable[[#All],[WCAG guideline]:[Epilepsy]],9,FALSE)," ")*I32,0)</f>
        <v>0</v>
      </c>
      <c r="T32" s="77">
        <f>IFERROR(IFERROR(VLOOKUP(A32,MasterTable[[#All],[WCAG guideline]:[Epilepsy]],9,FALSE)," ")*J32,0)</f>
        <v>0</v>
      </c>
      <c r="U32" s="77">
        <f>IFERROR(IFERROR(VLOOKUP(A32,MasterTable[[#All],[WCAG guideline]:[Epilepsy]],10,FALSE)," ")*I32,0)</f>
        <v>0</v>
      </c>
      <c r="V32" s="77">
        <f>IFERROR(IFERROR(VLOOKUP(A32,MasterTable[[#All],[WCAG guideline]:[Epilepsy]],10,FALSE)," ")*J32,0)</f>
        <v>600</v>
      </c>
      <c r="W32" s="77">
        <f>IFERROR(IFERROR(VLOOKUP(A32,MasterTable[[#All],[WCAG guideline]:[Epilepsy]],11,FALSE)," ")*I32,0)</f>
        <v>0</v>
      </c>
      <c r="X32" s="77">
        <f>IFERROR(IFERROR(VLOOKUP(A32,MasterTable[[#All],[WCAG guideline]:[Epilepsy]],11,FALSE)," ")*J32,0)</f>
        <v>600</v>
      </c>
      <c r="Y32" s="77">
        <f>IFERROR(IFERROR(VLOOKUP(A32,MasterTable[[#All],[WCAG guideline]:[Epilepsy]],12,FALSE)," ")*I32,0)</f>
        <v>0</v>
      </c>
      <c r="Z32" s="77">
        <f>IFERROR(IFERROR(VLOOKUP(A32,MasterTable[[#All],[WCAG guideline]:[Epilepsy]],12,FALSE)," ")*J32,0)</f>
        <v>600</v>
      </c>
    </row>
    <row r="33" spans="1:26" ht="45" customHeight="1" x14ac:dyDescent="0.4">
      <c r="A33" s="75" t="s">
        <v>344</v>
      </c>
      <c r="B33" s="44" t="str">
        <f>IFERROR(VLOOKUP(A33,MasterTable[[#All],[WCAG guideline]:[2.2 Level]],4,FALSE), "Not found")</f>
        <v>AAA</v>
      </c>
      <c r="C33" s="44">
        <f>COUNTIFS('Custom Test Script'!B2:B200,"*"&amp;'Findings Breakdown'!A33&amp;"*",'Custom Test Script'!D2:D200,'Validations List'!A107)+COUNTIFS('Report Entry'!D26:D207,"*"&amp;'Findings Breakdown'!A33&amp;"*",'Report Entry'!B26:B207,'Validations List'!A107)</f>
        <v>0</v>
      </c>
      <c r="D33" s="44">
        <f>COUNTIFS('Custom Test Script'!B2:B200,"*"&amp;'Findings Breakdown'!A33&amp;"*",'Custom Test Script'!D2:D200,'Validations List'!A106)+COUNTIFS('Report Entry'!D26:D207,"*"&amp;'Findings Breakdown'!A33&amp;"*",'Report Entry'!B26:B207,'Validations List'!A106)</f>
        <v>0</v>
      </c>
      <c r="E33" s="44">
        <f>COUNTIFS('Custom Test Script'!B2:B200,"*"&amp;'Findings Breakdown'!A33&amp;"*",'Custom Test Script'!D2:D200,'Validations List'!A105)+COUNTIFS('Report Entry'!D26:D207,"*"&amp;'Findings Breakdown'!A33&amp;"*",'Report Entry'!B26:B207,'Validations List'!A105)</f>
        <v>0</v>
      </c>
      <c r="F33" s="44">
        <f>COUNTIFS('Custom Test Script'!B2:B200,"*"&amp;'Findings Breakdown'!A33&amp;"*",'Custom Test Script'!D2:D200,'Validations List'!A108)+COUNTIFS('Report Entry'!D26:D207,"*"&amp;'Findings Breakdown'!A33&amp;"*",'Report Entry'!B26:B207,'Validations List'!A108)</f>
        <v>0</v>
      </c>
      <c r="G33" s="44">
        <f>COUNTIFS('Custom Test Script'!B2:B200,"*"&amp;'Findings Breakdown'!A33&amp;"*",'Custom Test Script'!D2:D200,'Validations List'!A109)+COUNTIFS('Report Entry'!D26:D207,"*"&amp;'Findings Breakdown'!A33&amp;"*",'Report Entry'!B26:B207,'Validations List'!A109)</f>
        <v>0</v>
      </c>
      <c r="H33" s="93" t="str" cm="1">
        <f t="array" ref="H33">INDEX('Validations List'!A120:D120,SUMPRODUCT(MAX(('Validations List'!A120:D143='Findings Breakdown'!A33)*(COLUMN('Validations List'!A120:D143))))-COLUMN('Validations List'!A120)+1)</f>
        <v>Not Ranked</v>
      </c>
      <c r="I33" s="76" t="str">
        <f>IFERROR(WCAG20results[[#This Row],['# Support w/ Exceptions]]*WCAG20results[[#This Row],[Excepts Value per]]+(WCAG20results[[#This Row],['# Supports]]+WCAG20results[[#This Row],['# Does Not Apply]])*WCAG20results[[#This Row],[Supports Value per]]," ")</f>
        <v xml:space="preserve"> </v>
      </c>
      <c r="J33" s="76" t="str">
        <f>IFERROR('Validations List'!I44*WCAG20results[[#This Row],[Supports Value per]]," ")</f>
        <v xml:space="preserve"> </v>
      </c>
      <c r="K33" s="44" t="str">
        <f>IF(WCAG20results[[#This Row],[Importance by Agency]]='Validations List'!A113,'Validations List'!D113,IF(WCAG20results[[#This Row],[Importance by Agency]]='Validations List'!A114,'Validations List'!D114,IF(WCAG20results[[#This Row],[Importance by Agency]]='Validations List'!A115,'Validations List'!D115,"Not Ranked")))</f>
        <v>Not Ranked</v>
      </c>
      <c r="L33" s="44" t="str">
        <f>IF(WCAG20results[[#This Row],[Importance by Agency]]='Validations List'!A113,'Validations List'!C113,IF(WCAG20results[[#This Row],[Importance by Agency]]='Validations List'!A114,'Validations List'!C114,IF(WCAG20results[[#This Row],[Importance by Agency]]='Validations List'!A115,'Validations List'!C115,"Not Ranked")))</f>
        <v>Not Ranked</v>
      </c>
      <c r="M33" s="76">
        <f>IFERROR(IFERROR(VLOOKUP(A33,MasterTable[[#All],[WCAG guideline]:[Epilepsy]],6,FALSE)," ")*I33,0)</f>
        <v>0</v>
      </c>
      <c r="N33" s="76">
        <f>IFERROR(IFERROR(VLOOKUP(A33,MasterTable[[#All],[WCAG guideline]:[Epilepsy]],6,FALSE)," ")*J33,0)</f>
        <v>0</v>
      </c>
      <c r="O33" s="77">
        <f>IFERROR(IFERROR(VLOOKUP(A33,MasterTable[[#All],[WCAG guideline]:[Epilepsy]],7,FALSE)," ")*I33,0)</f>
        <v>0</v>
      </c>
      <c r="P33" s="77">
        <f>IFERROR(IFERROR(VLOOKUP(A33,MasterTable[[#All],[WCAG guideline]:[Epilepsy]],7,FALSE)," ")*J33,0)</f>
        <v>0</v>
      </c>
      <c r="Q33" s="77">
        <f>IFERROR(IFERROR(VLOOKUP(A33,MasterTable[[#All],[WCAG guideline]:[Epilepsy]],8,FALSE)," ")*I33,0)</f>
        <v>0</v>
      </c>
      <c r="R33" s="77">
        <f>IFERROR(IFERROR(VLOOKUP(A33,MasterTable[[#All],[WCAG guideline]:[Epilepsy]],8,FALSE)," ")*J33,0)</f>
        <v>0</v>
      </c>
      <c r="S33" s="77">
        <f>IFERROR(IFERROR(VLOOKUP(A33,MasterTable[[#All],[WCAG guideline]:[Epilepsy]],9,FALSE)," ")*I33,0)</f>
        <v>0</v>
      </c>
      <c r="T33" s="77">
        <f>IFERROR(IFERROR(VLOOKUP(A33,MasterTable[[#All],[WCAG guideline]:[Epilepsy]],9,FALSE)," ")*J33,0)</f>
        <v>0</v>
      </c>
      <c r="U33" s="77">
        <f>IFERROR(IFERROR(VLOOKUP(A33,MasterTable[[#All],[WCAG guideline]:[Epilepsy]],10,FALSE)," ")*I33,0)</f>
        <v>0</v>
      </c>
      <c r="V33" s="77">
        <f>IFERROR(IFERROR(VLOOKUP(A33,MasterTable[[#All],[WCAG guideline]:[Epilepsy]],10,FALSE)," ")*J33,0)</f>
        <v>0</v>
      </c>
      <c r="W33" s="77">
        <f>IFERROR(IFERROR(VLOOKUP(A33,MasterTable[[#All],[WCAG guideline]:[Epilepsy]],11,FALSE)," ")*I33,0)</f>
        <v>0</v>
      </c>
      <c r="X33" s="77">
        <f>IFERROR(IFERROR(VLOOKUP(A33,MasterTable[[#All],[WCAG guideline]:[Epilepsy]],11,FALSE)," ")*J33,0)</f>
        <v>0</v>
      </c>
      <c r="Y33" s="77">
        <f>IFERROR(IFERROR(VLOOKUP(A33,MasterTable[[#All],[WCAG guideline]:[Epilepsy]],12,FALSE)," ")*I33,0)</f>
        <v>0</v>
      </c>
      <c r="Z33" s="77">
        <f>IFERROR(IFERROR(VLOOKUP(A33,MasterTable[[#All],[WCAG guideline]:[Epilepsy]],12,FALSE)," ")*J33,0)</f>
        <v>0</v>
      </c>
    </row>
    <row r="34" spans="1:26" ht="45" customHeight="1" x14ac:dyDescent="0.4">
      <c r="A34" s="75" t="s">
        <v>345</v>
      </c>
      <c r="B34" s="44" t="str">
        <f>IFERROR(VLOOKUP(A34,MasterTable[[#All],[WCAG guideline]:[2.2 Level]],4,FALSE), "Not found")</f>
        <v>A</v>
      </c>
      <c r="C34" s="44">
        <f>COUNTIFS('Custom Test Script'!B2:B200,"*"&amp;'Findings Breakdown'!A34&amp;"*",'Custom Test Script'!D2:D200,'Validations List'!A107)+COUNTIFS('Report Entry'!D26:D207,"*"&amp;'Findings Breakdown'!A34&amp;"*",'Report Entry'!B26:B207,'Validations List'!A107)</f>
        <v>0</v>
      </c>
      <c r="D34" s="44">
        <f>COUNTIFS('Custom Test Script'!B2:B200,"*"&amp;'Findings Breakdown'!A34&amp;"*",'Custom Test Script'!D2:D200,'Validations List'!A106)+COUNTIFS('Report Entry'!D26:D207,"*"&amp;'Findings Breakdown'!A34&amp;"*",'Report Entry'!B26:B207,'Validations List'!A106)</f>
        <v>0</v>
      </c>
      <c r="E34" s="44">
        <f>COUNTIFS('Custom Test Script'!B2:B200,"*"&amp;'Findings Breakdown'!A34&amp;"*",'Custom Test Script'!D2:D200,'Validations List'!A105)+COUNTIFS('Report Entry'!D26:D207,"*"&amp;'Findings Breakdown'!A34&amp;"*",'Report Entry'!B26:B207,'Validations List'!A105)</f>
        <v>0</v>
      </c>
      <c r="F34" s="44">
        <f>COUNTIFS('Custom Test Script'!B2:B200,"*"&amp;'Findings Breakdown'!A34&amp;"*",'Custom Test Script'!D2:D200,'Validations List'!A108)+COUNTIFS('Report Entry'!D26:D207,"*"&amp;'Findings Breakdown'!A34&amp;"*",'Report Entry'!B26:B207,'Validations List'!A108)</f>
        <v>0</v>
      </c>
      <c r="G34" s="44">
        <f>COUNTIFS('Custom Test Script'!B2:B200,"*"&amp;'Findings Breakdown'!A34&amp;"*",'Custom Test Script'!D2:D200,'Validations List'!A109)+COUNTIFS('Report Entry'!D26:D207,"*"&amp;'Findings Breakdown'!A34&amp;"*",'Report Entry'!B26:B207,'Validations List'!A109)</f>
        <v>0</v>
      </c>
      <c r="H34" s="93" t="str" cm="1">
        <f t="array" ref="H34">INDEX('Validations List'!A120:D120,SUMPRODUCT(MAX(('Validations List'!A120:D143='Findings Breakdown'!A34)*(COLUMN('Validations List'!A120:D143))))-COLUMN('Validations List'!A120)+1)</f>
        <v>Extremely Important</v>
      </c>
      <c r="I34" s="76">
        <f>IFERROR(WCAG20results[[#This Row],['# Support w/ Exceptions]]*WCAG20results[[#This Row],[Excepts Value per]]+(WCAG20results[[#This Row],['# Supports]]+WCAG20results[[#This Row],['# Does Not Apply]])*WCAG20results[[#This Row],[Supports Value per]]," ")</f>
        <v>0</v>
      </c>
      <c r="J34" s="76">
        <f>IFERROR('Validations List'!I46*WCAG20results[[#This Row],[Supports Value per]]," ")</f>
        <v>600</v>
      </c>
      <c r="K34" s="44">
        <f>IF(WCAG20results[[#This Row],[Importance by Agency]]='Validations List'!A113,'Validations List'!D113,IF(WCAG20results[[#This Row],[Importance by Agency]]='Validations List'!A114,'Validations List'!D114,IF(WCAG20results[[#This Row],[Importance by Agency]]='Validations List'!A115,'Validations List'!D115,"Not Ranked")))</f>
        <v>300</v>
      </c>
      <c r="L34" s="44">
        <f>IF(WCAG20results[[#This Row],[Importance by Agency]]='Validations List'!A113,'Validations List'!C113,IF(WCAG20results[[#This Row],[Importance by Agency]]='Validations List'!A114,'Validations List'!C114,IF(WCAG20results[[#This Row],[Importance by Agency]]='Validations List'!A115,'Validations List'!C115,"Not Ranked")))</f>
        <v>150</v>
      </c>
      <c r="M34" s="76">
        <f>IFERROR(IFERROR(VLOOKUP(A34,MasterTable[[#All],[WCAG guideline]:[Epilepsy]],6,FALSE)," ")*I34,0)</f>
        <v>0</v>
      </c>
      <c r="N34" s="76">
        <f>IFERROR(IFERROR(VLOOKUP(A34,MasterTable[[#All],[WCAG guideline]:[Epilepsy]],6,FALSE)," ")*J34,0)</f>
        <v>600</v>
      </c>
      <c r="O34" s="77">
        <f>IFERROR(IFERROR(VLOOKUP(A34,MasterTable[[#All],[WCAG guideline]:[Epilepsy]],7,FALSE)," ")*I34,0)</f>
        <v>0</v>
      </c>
      <c r="P34" s="77">
        <f>IFERROR(IFERROR(VLOOKUP(A34,MasterTable[[#All],[WCAG guideline]:[Epilepsy]],7,FALSE)," ")*J34,0)</f>
        <v>600</v>
      </c>
      <c r="Q34" s="77">
        <f>IFERROR(IFERROR(VLOOKUP(A34,MasterTable[[#All],[WCAG guideline]:[Epilepsy]],8,FALSE)," ")*I34,0)</f>
        <v>0</v>
      </c>
      <c r="R34" s="77">
        <f>IFERROR(IFERROR(VLOOKUP(A34,MasterTable[[#All],[WCAG guideline]:[Epilepsy]],8,FALSE)," ")*J34,0)</f>
        <v>0</v>
      </c>
      <c r="S34" s="77">
        <f>IFERROR(IFERROR(VLOOKUP(A34,MasterTable[[#All],[WCAG guideline]:[Epilepsy]],9,FALSE)," ")*I34,0)</f>
        <v>0</v>
      </c>
      <c r="T34" s="77">
        <f>IFERROR(IFERROR(VLOOKUP(A34,MasterTable[[#All],[WCAG guideline]:[Epilepsy]],9,FALSE)," ")*J34,0)</f>
        <v>0</v>
      </c>
      <c r="U34" s="77">
        <f>IFERROR(IFERROR(VLOOKUP(A34,MasterTable[[#All],[WCAG guideline]:[Epilepsy]],10,FALSE)," ")*I34,0)</f>
        <v>0</v>
      </c>
      <c r="V34" s="77">
        <f>IFERROR(IFERROR(VLOOKUP(A34,MasterTable[[#All],[WCAG guideline]:[Epilepsy]],10,FALSE)," ")*J34,0)</f>
        <v>600</v>
      </c>
      <c r="W34" s="77">
        <f>IFERROR(IFERROR(VLOOKUP(A34,MasterTable[[#All],[WCAG guideline]:[Epilepsy]],11,FALSE)," ")*I34,0)</f>
        <v>0</v>
      </c>
      <c r="X34" s="77">
        <f>IFERROR(IFERROR(VLOOKUP(A34,MasterTable[[#All],[WCAG guideline]:[Epilepsy]],11,FALSE)," ")*J34,0)</f>
        <v>600</v>
      </c>
      <c r="Y34" s="77">
        <f>IFERROR(IFERROR(VLOOKUP(A34,MasterTable[[#All],[WCAG guideline]:[Epilepsy]],12,FALSE)," ")*I34,0)</f>
        <v>0</v>
      </c>
      <c r="Z34" s="77">
        <f>IFERROR(IFERROR(VLOOKUP(A34,MasterTable[[#All],[WCAG guideline]:[Epilepsy]],12,FALSE)," ")*J34,0)</f>
        <v>0</v>
      </c>
    </row>
    <row r="35" spans="1:26" ht="45" customHeight="1" x14ac:dyDescent="0.4">
      <c r="A35" s="75" t="s">
        <v>346</v>
      </c>
      <c r="B35" s="44" t="str">
        <f>IFERROR(VLOOKUP(A35,MasterTable[[#All],[WCAG guideline]:[2.2 Level]],4,FALSE), "Not found")</f>
        <v>A</v>
      </c>
      <c r="C35" s="44">
        <f>COUNTIFS('Custom Test Script'!B2:B200,"*"&amp;'Findings Breakdown'!A35&amp;"*",'Custom Test Script'!D2:D200,'Validations List'!A107)+COUNTIFS('Report Entry'!D26:D207,"*"&amp;'Findings Breakdown'!A35&amp;"*",'Report Entry'!B26:B207,'Validations List'!A107)</f>
        <v>0</v>
      </c>
      <c r="D35" s="44">
        <f>COUNTIFS('Custom Test Script'!B2:B200,"*"&amp;'Findings Breakdown'!A35&amp;"*",'Custom Test Script'!D2:D200,'Validations List'!A106)+COUNTIFS('Report Entry'!D26:D207,"*"&amp;'Findings Breakdown'!A35&amp;"*",'Report Entry'!B26:B207,'Validations List'!A106)</f>
        <v>0</v>
      </c>
      <c r="E35" s="44">
        <f>COUNTIFS('Custom Test Script'!B2:B200,"*"&amp;'Findings Breakdown'!A35&amp;"*",'Custom Test Script'!D2:D200,'Validations List'!A105)+COUNTIFS('Report Entry'!D26:D207,"*"&amp;'Findings Breakdown'!A35&amp;"*",'Report Entry'!B26:B207,'Validations List'!A105)</f>
        <v>0</v>
      </c>
      <c r="F35" s="44">
        <f>COUNTIFS('Custom Test Script'!B2:B200,"*"&amp;'Findings Breakdown'!A35&amp;"*",'Custom Test Script'!D2:D200,'Validations List'!A108)+COUNTIFS('Report Entry'!D26:D207,"*"&amp;'Findings Breakdown'!A35&amp;"*",'Report Entry'!B26:B207,'Validations List'!A108)</f>
        <v>0</v>
      </c>
      <c r="G35" s="44">
        <f>COUNTIFS('Custom Test Script'!B2:B200,"*"&amp;'Findings Breakdown'!A35&amp;"*",'Custom Test Script'!D2:D200,'Validations List'!A109)+COUNTIFS('Report Entry'!D26:D207,"*"&amp;'Findings Breakdown'!A35&amp;"*",'Report Entry'!B26:B207,'Validations List'!A109)</f>
        <v>0</v>
      </c>
      <c r="H35" s="93" t="str" cm="1">
        <f t="array" ref="H35">INDEX('Validations List'!A120:D120,SUMPRODUCT(MAX(('Validations List'!A120:D143='Findings Breakdown'!A35)*(COLUMN('Validations List'!A120:D143))))-COLUMN('Validations List'!A120)+1)</f>
        <v>Standard</v>
      </c>
      <c r="I35" s="76">
        <f>IFERROR(WCAG20results[[#This Row],['# Support w/ Exceptions]]*WCAG20results[[#This Row],[Excepts Value per]]+(WCAG20results[[#This Row],['# Supports]]+WCAG20results[[#This Row],['# Does Not Apply]])*WCAG20results[[#This Row],[Supports Value per]]," ")</f>
        <v>0</v>
      </c>
      <c r="J35" s="76">
        <f>IFERROR('Validations List'!I47*WCAG20results[[#This Row],[Supports Value per]]," ")</f>
        <v>100</v>
      </c>
      <c r="K35" s="44">
        <f>IF(WCAG20results[[#This Row],[Importance by Agency]]='Validations List'!A113,'Validations List'!D113,IF(WCAG20results[[#This Row],[Importance by Agency]]='Validations List'!A114,'Validations List'!D114,IF(WCAG20results[[#This Row],[Importance by Agency]]='Validations List'!A115,'Validations List'!D115,"Not Ranked")))</f>
        <v>50</v>
      </c>
      <c r="L35" s="44">
        <f>IF(WCAG20results[[#This Row],[Importance by Agency]]='Validations List'!A113,'Validations List'!C113,IF(WCAG20results[[#This Row],[Importance by Agency]]='Validations List'!A114,'Validations List'!C114,IF(WCAG20results[[#This Row],[Importance by Agency]]='Validations List'!A115,'Validations List'!C115,"Not Ranked")))</f>
        <v>25</v>
      </c>
      <c r="M35" s="76">
        <f>IFERROR(IFERROR(VLOOKUP(A35,MasterTable[[#All],[WCAG guideline]:[Epilepsy]],6,FALSE)," ")*I35,0)</f>
        <v>0</v>
      </c>
      <c r="N35" s="76">
        <f>IFERROR(IFERROR(VLOOKUP(A35,MasterTable[[#All],[WCAG guideline]:[Epilepsy]],6,FALSE)," ")*J35,0)</f>
        <v>100</v>
      </c>
      <c r="O35" s="77">
        <f>IFERROR(IFERROR(VLOOKUP(A35,MasterTable[[#All],[WCAG guideline]:[Epilepsy]],7,FALSE)," ")*I35,0)</f>
        <v>0</v>
      </c>
      <c r="P35" s="77">
        <f>IFERROR(IFERROR(VLOOKUP(A35,MasterTable[[#All],[WCAG guideline]:[Epilepsy]],7,FALSE)," ")*J35,0)</f>
        <v>0</v>
      </c>
      <c r="Q35" s="77">
        <f>IFERROR(IFERROR(VLOOKUP(A35,MasterTable[[#All],[WCAG guideline]:[Epilepsy]],8,FALSE)," ")*I35,0)</f>
        <v>0</v>
      </c>
      <c r="R35" s="77">
        <f>IFERROR(IFERROR(VLOOKUP(A35,MasterTable[[#All],[WCAG guideline]:[Epilepsy]],8,FALSE)," ")*J35,0)</f>
        <v>0</v>
      </c>
      <c r="S35" s="77">
        <f>IFERROR(IFERROR(VLOOKUP(A35,MasterTable[[#All],[WCAG guideline]:[Epilepsy]],9,FALSE)," ")*I35,0)</f>
        <v>0</v>
      </c>
      <c r="T35" s="77">
        <f>IFERROR(IFERROR(VLOOKUP(A35,MasterTable[[#All],[WCAG guideline]:[Epilepsy]],9,FALSE)," ")*J35,0)</f>
        <v>0</v>
      </c>
      <c r="U35" s="77">
        <f>IFERROR(IFERROR(VLOOKUP(A35,MasterTable[[#All],[WCAG guideline]:[Epilepsy]],10,FALSE)," ")*I35,0)</f>
        <v>0</v>
      </c>
      <c r="V35" s="77">
        <f>IFERROR(IFERROR(VLOOKUP(A35,MasterTable[[#All],[WCAG guideline]:[Epilepsy]],10,FALSE)," ")*J35,0)</f>
        <v>100</v>
      </c>
      <c r="W35" s="77">
        <f>IFERROR(IFERROR(VLOOKUP(A35,MasterTable[[#All],[WCAG guideline]:[Epilepsy]],11,FALSE)," ")*I35,0)</f>
        <v>0</v>
      </c>
      <c r="X35" s="77">
        <f>IFERROR(IFERROR(VLOOKUP(A35,MasterTable[[#All],[WCAG guideline]:[Epilepsy]],11,FALSE)," ")*J35,0)</f>
        <v>100</v>
      </c>
      <c r="Y35" s="77">
        <f>IFERROR(IFERROR(VLOOKUP(A35,MasterTable[[#All],[WCAG guideline]:[Epilepsy]],12,FALSE)," ")*I35,0)</f>
        <v>0</v>
      </c>
      <c r="Z35" s="77">
        <f>IFERROR(IFERROR(VLOOKUP(A35,MasterTable[[#All],[WCAG guideline]:[Epilepsy]],12,FALSE)," ")*J35,0)</f>
        <v>0</v>
      </c>
    </row>
    <row r="36" spans="1:26" ht="45" customHeight="1" x14ac:dyDescent="0.4">
      <c r="A36" s="75" t="s">
        <v>347</v>
      </c>
      <c r="B36" s="44" t="str">
        <f>IFERROR(VLOOKUP(A36,MasterTable[[#All],[WCAG guideline]:[2.2 Level]],4,FALSE), "Not found")</f>
        <v>A</v>
      </c>
      <c r="C36" s="44">
        <f>COUNTIFS('Custom Test Script'!B2:B200,"*"&amp;'Findings Breakdown'!A36&amp;"*",'Custom Test Script'!D2:D200,'Validations List'!A107)+COUNTIFS('Report Entry'!D26:D207,"*"&amp;'Findings Breakdown'!A36&amp;"*",'Report Entry'!B26:B207,'Validations List'!A107)</f>
        <v>0</v>
      </c>
      <c r="D36" s="44">
        <f>COUNTIFS('Custom Test Script'!B2:B200,"*"&amp;'Findings Breakdown'!A36&amp;"*",'Custom Test Script'!D2:D200,'Validations List'!A106)+COUNTIFS('Report Entry'!D26:D207,"*"&amp;'Findings Breakdown'!A36&amp;"*",'Report Entry'!B26:B207,'Validations List'!A106)</f>
        <v>0</v>
      </c>
      <c r="E36" s="44">
        <f>COUNTIFS('Custom Test Script'!B2:B200,"*"&amp;'Findings Breakdown'!A36&amp;"*",'Custom Test Script'!D2:D200,'Validations List'!A105)+COUNTIFS('Report Entry'!D26:D207,"*"&amp;'Findings Breakdown'!A36&amp;"*",'Report Entry'!B26:B207,'Validations List'!A105)</f>
        <v>0</v>
      </c>
      <c r="F36" s="44">
        <f>COUNTIFS('Custom Test Script'!B2:B200,"*"&amp;'Findings Breakdown'!A36&amp;"*",'Custom Test Script'!D2:D200,'Validations List'!A108)+COUNTIFS('Report Entry'!D26:D207,"*"&amp;'Findings Breakdown'!A36&amp;"*",'Report Entry'!B26:B207,'Validations List'!A108)</f>
        <v>0</v>
      </c>
      <c r="G36" s="44">
        <f>COUNTIFS('Custom Test Script'!B2:B200,"*"&amp;'Findings Breakdown'!A36&amp;"*",'Custom Test Script'!D2:D200,'Validations List'!A109)+COUNTIFS('Report Entry'!D26:D207,"*"&amp;'Findings Breakdown'!A36&amp;"*",'Report Entry'!B26:B207,'Validations List'!A109)</f>
        <v>0</v>
      </c>
      <c r="H36" s="93" t="str" cm="1">
        <f t="array" ref="H36">INDEX('Validations List'!A120:D120,SUMPRODUCT(MAX(('Validations List'!A120:D143='Findings Breakdown'!A36)*(COLUMN('Validations List'!A120:D143))))-COLUMN('Validations List'!A120)+1)</f>
        <v>Extremely Important</v>
      </c>
      <c r="I36" s="76">
        <f>IFERROR(WCAG20results[[#This Row],['# Support w/ Exceptions]]*WCAG20results[[#This Row],[Excepts Value per]]+(WCAG20results[[#This Row],['# Supports]]+WCAG20results[[#This Row],['# Does Not Apply]])*WCAG20results[[#This Row],[Supports Value per]]," ")</f>
        <v>0</v>
      </c>
      <c r="J36" s="76">
        <f>IFERROR('Validations List'!I48*WCAG20results[[#This Row],[Supports Value per]]," ")</f>
        <v>1500</v>
      </c>
      <c r="K36" s="44">
        <f>IF(WCAG20results[[#This Row],[Importance by Agency]]='Validations List'!A113,'Validations List'!D113,IF(WCAG20results[[#This Row],[Importance by Agency]]='Validations List'!A114,'Validations List'!D114,IF(WCAG20results[[#This Row],[Importance by Agency]]='Validations List'!A115,'Validations List'!D115,"Not Ranked")))</f>
        <v>300</v>
      </c>
      <c r="L36" s="44">
        <f>IF(WCAG20results[[#This Row],[Importance by Agency]]='Validations List'!A113,'Validations List'!C113,IF(WCAG20results[[#This Row],[Importance by Agency]]='Validations List'!A114,'Validations List'!C114,IF(WCAG20results[[#This Row],[Importance by Agency]]='Validations List'!A115,'Validations List'!C115,"Not Ranked")))</f>
        <v>150</v>
      </c>
      <c r="M36" s="76">
        <f>IFERROR(IFERROR(VLOOKUP(A36,MasterTable[[#All],[WCAG guideline]:[Epilepsy]],6,FALSE)," ")*I36,0)</f>
        <v>0</v>
      </c>
      <c r="N36" s="76">
        <f>IFERROR(IFERROR(VLOOKUP(A36,MasterTable[[#All],[WCAG guideline]:[Epilepsy]],6,FALSE)," ")*J36,0)</f>
        <v>1500</v>
      </c>
      <c r="O36" s="77">
        <f>IFERROR(IFERROR(VLOOKUP(A36,MasterTable[[#All],[WCAG guideline]:[Epilepsy]],7,FALSE)," ")*I36,0)</f>
        <v>0</v>
      </c>
      <c r="P36" s="77">
        <f>IFERROR(IFERROR(VLOOKUP(A36,MasterTable[[#All],[WCAG guideline]:[Epilepsy]],7,FALSE)," ")*J36,0)</f>
        <v>1500</v>
      </c>
      <c r="Q36" s="77">
        <f>IFERROR(IFERROR(VLOOKUP(A36,MasterTable[[#All],[WCAG guideline]:[Epilepsy]],8,FALSE)," ")*I36,0)</f>
        <v>0</v>
      </c>
      <c r="R36" s="77">
        <f>IFERROR(IFERROR(VLOOKUP(A36,MasterTable[[#All],[WCAG guideline]:[Epilepsy]],8,FALSE)," ")*J36,0)</f>
        <v>0</v>
      </c>
      <c r="S36" s="77">
        <f>IFERROR(IFERROR(VLOOKUP(A36,MasterTable[[#All],[WCAG guideline]:[Epilepsy]],9,FALSE)," ")*I36,0)</f>
        <v>0</v>
      </c>
      <c r="T36" s="77">
        <f>IFERROR(IFERROR(VLOOKUP(A36,MasterTable[[#All],[WCAG guideline]:[Epilepsy]],9,FALSE)," ")*J36,0)</f>
        <v>0</v>
      </c>
      <c r="U36" s="77">
        <f>IFERROR(IFERROR(VLOOKUP(A36,MasterTable[[#All],[WCAG guideline]:[Epilepsy]],10,FALSE)," ")*I36,0)</f>
        <v>0</v>
      </c>
      <c r="V36" s="77">
        <f>IFERROR(IFERROR(VLOOKUP(A36,MasterTable[[#All],[WCAG guideline]:[Epilepsy]],10,FALSE)," ")*J36,0)</f>
        <v>1500</v>
      </c>
      <c r="W36" s="77">
        <f>IFERROR(IFERROR(VLOOKUP(A36,MasterTable[[#All],[WCAG guideline]:[Epilepsy]],11,FALSE)," ")*I36,0)</f>
        <v>0</v>
      </c>
      <c r="X36" s="77">
        <f>IFERROR(IFERROR(VLOOKUP(A36,MasterTable[[#All],[WCAG guideline]:[Epilepsy]],11,FALSE)," ")*J36,0)</f>
        <v>1500</v>
      </c>
      <c r="Y36" s="77">
        <f>IFERROR(IFERROR(VLOOKUP(A36,MasterTable[[#All],[WCAG guideline]:[Epilepsy]],12,FALSE)," ")*I36,0)</f>
        <v>0</v>
      </c>
      <c r="Z36" s="77">
        <f>IFERROR(IFERROR(VLOOKUP(A36,MasterTable[[#All],[WCAG guideline]:[Epilepsy]],12,FALSE)," ")*J36,0)</f>
        <v>0</v>
      </c>
    </row>
    <row r="37" spans="1:26" ht="45" customHeight="1" x14ac:dyDescent="0.4">
      <c r="A37" s="75" t="s">
        <v>348</v>
      </c>
      <c r="B37" s="44" t="str">
        <f>IFERROR(VLOOKUP(A37,MasterTable[[#All],[WCAG guideline]:[2.2 Level]],4,FALSE), "Not found")</f>
        <v>A</v>
      </c>
      <c r="C37" s="44">
        <f>COUNTIFS('Custom Test Script'!B2:B200,"*"&amp;'Findings Breakdown'!A37&amp;"*",'Custom Test Script'!D2:D200,'Validations List'!A107)+COUNTIFS('Report Entry'!D26:D207,"*"&amp;'Findings Breakdown'!A37&amp;"*",'Report Entry'!B26:B207,'Validations List'!A107)</f>
        <v>0</v>
      </c>
      <c r="D37" s="44">
        <f>COUNTIFS('Custom Test Script'!B2:B200,"*"&amp;'Findings Breakdown'!A37&amp;"*",'Custom Test Script'!D2:D200,'Validations List'!A106)+COUNTIFS('Report Entry'!D26:D207,"*"&amp;'Findings Breakdown'!A37&amp;"*",'Report Entry'!B26:B207,'Validations List'!A106)</f>
        <v>0</v>
      </c>
      <c r="E37" s="44">
        <f>COUNTIFS('Custom Test Script'!B2:B200,"*"&amp;'Findings Breakdown'!A37&amp;"*",'Custom Test Script'!D2:D200,'Validations List'!A105)+COUNTIFS('Report Entry'!D26:D207,"*"&amp;'Findings Breakdown'!A37&amp;"*",'Report Entry'!B26:B207,'Validations List'!A105)</f>
        <v>0</v>
      </c>
      <c r="F37" s="44">
        <f>COUNTIFS('Custom Test Script'!B2:B200,"*"&amp;'Findings Breakdown'!A37&amp;"*",'Custom Test Script'!D2:D200,'Validations List'!A108)+COUNTIFS('Report Entry'!D26:D207,"*"&amp;'Findings Breakdown'!A37&amp;"*",'Report Entry'!B26:B207,'Validations List'!A108)</f>
        <v>0</v>
      </c>
      <c r="G37" s="44">
        <f>COUNTIFS('Custom Test Script'!B2:B200,"*"&amp;'Findings Breakdown'!A37&amp;"*",'Custom Test Script'!D2:D200,'Validations List'!A109)+COUNTIFS('Report Entry'!D26:D207,"*"&amp;'Findings Breakdown'!A37&amp;"*",'Report Entry'!B26:B207,'Validations List'!A109)</f>
        <v>0</v>
      </c>
      <c r="H37" s="93" t="str" cm="1">
        <f t="array" ref="H37">INDEX('Validations List'!A120:D120,SUMPRODUCT(MAX(('Validations List'!A120:D143='Findings Breakdown'!A37)*(COLUMN('Validations List'!A120:D143))))-COLUMN('Validations List'!A120)+1)</f>
        <v>Extremely Important</v>
      </c>
      <c r="I37" s="76">
        <f>IFERROR(WCAG20results[[#This Row],['# Support w/ Exceptions]]*WCAG20results[[#This Row],[Excepts Value per]]+(WCAG20results[[#This Row],['# Supports]]+WCAG20results[[#This Row],['# Does Not Apply]])*WCAG20results[[#This Row],[Supports Value per]]," ")</f>
        <v>0</v>
      </c>
      <c r="J37" s="76">
        <f>IFERROR('Validations List'!I49*WCAG20results[[#This Row],[Supports Value per]]," ")</f>
        <v>300</v>
      </c>
      <c r="K37" s="44">
        <f>IF(WCAG20results[[#This Row],[Importance by Agency]]='Validations List'!A113,'Validations List'!D113,IF(WCAG20results[[#This Row],[Importance by Agency]]='Validations List'!A114,'Validations List'!D114,IF(WCAG20results[[#This Row],[Importance by Agency]]='Validations List'!A115,'Validations List'!D115,"Not Ranked")))</f>
        <v>300</v>
      </c>
      <c r="L37" s="44">
        <f>IF(WCAG20results[[#This Row],[Importance by Agency]]='Validations List'!A113,'Validations List'!C113,IF(WCAG20results[[#This Row],[Importance by Agency]]='Validations List'!A114,'Validations List'!C114,IF(WCAG20results[[#This Row],[Importance by Agency]]='Validations List'!A115,'Validations List'!C115,"Not Ranked")))</f>
        <v>150</v>
      </c>
      <c r="M37" s="76">
        <f>IFERROR(IFERROR(VLOOKUP(A37,MasterTable[[#All],[WCAG guideline]:[Epilepsy]],6,FALSE)," ")*I37,0)</f>
        <v>0</v>
      </c>
      <c r="N37" s="76">
        <f>IFERROR(IFERROR(VLOOKUP(A37,MasterTable[[#All],[WCAG guideline]:[Epilepsy]],6,FALSE)," ")*J37,0)</f>
        <v>300</v>
      </c>
      <c r="O37" s="77">
        <f>IFERROR(IFERROR(VLOOKUP(A37,MasterTable[[#All],[WCAG guideline]:[Epilepsy]],7,FALSE)," ")*I37,0)</f>
        <v>0</v>
      </c>
      <c r="P37" s="77">
        <f>IFERROR(IFERROR(VLOOKUP(A37,MasterTable[[#All],[WCAG guideline]:[Epilepsy]],7,FALSE)," ")*J37,0)</f>
        <v>300</v>
      </c>
      <c r="Q37" s="77">
        <f>IFERROR(IFERROR(VLOOKUP(A37,MasterTable[[#All],[WCAG guideline]:[Epilepsy]],8,FALSE)," ")*I37,0)</f>
        <v>0</v>
      </c>
      <c r="R37" s="77">
        <f>IFERROR(IFERROR(VLOOKUP(A37,MasterTable[[#All],[WCAG guideline]:[Epilepsy]],8,FALSE)," ")*J37,0)</f>
        <v>0</v>
      </c>
      <c r="S37" s="77">
        <f>IFERROR(IFERROR(VLOOKUP(A37,MasterTable[[#All],[WCAG guideline]:[Epilepsy]],9,FALSE)," ")*I37,0)</f>
        <v>0</v>
      </c>
      <c r="T37" s="77">
        <f>IFERROR(IFERROR(VLOOKUP(A37,MasterTable[[#All],[WCAG guideline]:[Epilepsy]],9,FALSE)," ")*J37,0)</f>
        <v>0</v>
      </c>
      <c r="U37" s="77">
        <f>IFERROR(IFERROR(VLOOKUP(A37,MasterTable[[#All],[WCAG guideline]:[Epilepsy]],10,FALSE)," ")*I37,0)</f>
        <v>0</v>
      </c>
      <c r="V37" s="77">
        <f>IFERROR(IFERROR(VLOOKUP(A37,MasterTable[[#All],[WCAG guideline]:[Epilepsy]],10,FALSE)," ")*J37,0)</f>
        <v>300</v>
      </c>
      <c r="W37" s="77">
        <f>IFERROR(IFERROR(VLOOKUP(A37,MasterTable[[#All],[WCAG guideline]:[Epilepsy]],11,FALSE)," ")*I37,0)</f>
        <v>0</v>
      </c>
      <c r="X37" s="77">
        <f>IFERROR(IFERROR(VLOOKUP(A37,MasterTable[[#All],[WCAG guideline]:[Epilepsy]],11,FALSE)," ")*J37,0)</f>
        <v>300</v>
      </c>
      <c r="Y37" s="77">
        <f>IFERROR(IFERROR(VLOOKUP(A37,MasterTable[[#All],[WCAG guideline]:[Epilepsy]],12,FALSE)," ")*I37,0)</f>
        <v>0</v>
      </c>
      <c r="Z37" s="77">
        <f>IFERROR(IFERROR(VLOOKUP(A37,MasterTable[[#All],[WCAG guideline]:[Epilepsy]],12,FALSE)," ")*J37,0)</f>
        <v>0</v>
      </c>
    </row>
    <row r="38" spans="1:26" ht="45" customHeight="1" x14ac:dyDescent="0.4">
      <c r="A38" s="75" t="s">
        <v>349</v>
      </c>
      <c r="B38" s="44" t="str">
        <f>IFERROR(VLOOKUP(A38,MasterTable[[#All],[WCAG guideline]:[2.2 Level]],4,FALSE), "Not found")</f>
        <v>AA</v>
      </c>
      <c r="C38" s="44">
        <f>COUNTIFS('Custom Test Script'!B2:B200,"*"&amp;'Findings Breakdown'!A38&amp;"*",'Custom Test Script'!D2:D200,'Validations List'!A107)+COUNTIFS('Report Entry'!D26:D207,"*"&amp;'Findings Breakdown'!A38&amp;"*",'Report Entry'!B26:B207,'Validations List'!A107)</f>
        <v>0</v>
      </c>
      <c r="D38" s="44">
        <f>COUNTIFS('Custom Test Script'!B2:B200,"*"&amp;'Findings Breakdown'!A38&amp;"*",'Custom Test Script'!D2:D200,'Validations List'!A106)+COUNTIFS('Report Entry'!D26:D207,"*"&amp;'Findings Breakdown'!A38&amp;"*",'Report Entry'!B26:B207,'Validations List'!A106)</f>
        <v>0</v>
      </c>
      <c r="E38" s="44">
        <f>COUNTIFS('Custom Test Script'!B2:B200,"*"&amp;'Findings Breakdown'!A38&amp;"*",'Custom Test Script'!D2:D200,'Validations List'!A105)+COUNTIFS('Report Entry'!D26:D207,"*"&amp;'Findings Breakdown'!A38&amp;"*",'Report Entry'!B26:B207,'Validations List'!A105)</f>
        <v>0</v>
      </c>
      <c r="F38" s="44">
        <f>COUNTIFS('Custom Test Script'!B2:B200,"*"&amp;'Findings Breakdown'!A38&amp;"*",'Custom Test Script'!D2:D200,'Validations List'!A108)+COUNTIFS('Report Entry'!D26:D207,"*"&amp;'Findings Breakdown'!A38&amp;"*",'Report Entry'!B26:B207,'Validations List'!A108)</f>
        <v>0</v>
      </c>
      <c r="G38" s="44">
        <f>COUNTIFS('Custom Test Script'!B2:B200,"*"&amp;'Findings Breakdown'!A38&amp;"*",'Custom Test Script'!D2:D200,'Validations List'!A109)+COUNTIFS('Report Entry'!D26:D207,"*"&amp;'Findings Breakdown'!A38&amp;"*",'Report Entry'!B26:B207,'Validations List'!A109)</f>
        <v>0</v>
      </c>
      <c r="H38" s="93" t="str" cm="1">
        <f t="array" ref="H38">INDEX('Validations List'!A120:D120,SUMPRODUCT(MAX(('Validations List'!A120:D143='Findings Breakdown'!A38)*(COLUMN('Validations List'!A120:D143))))-COLUMN('Validations List'!A120)+1)</f>
        <v>Standard</v>
      </c>
      <c r="I38" s="76">
        <f>IFERROR(WCAG20results[[#This Row],['# Support w/ Exceptions]]*WCAG20results[[#This Row],[Excepts Value per]]+(WCAG20results[[#This Row],['# Supports]]+WCAG20results[[#This Row],['# Does Not Apply]])*WCAG20results[[#This Row],[Supports Value per]]," ")</f>
        <v>0</v>
      </c>
      <c r="J38" s="76">
        <f>IFERROR('Validations List'!I50*WCAG20results[[#This Row],[Supports Value per]]," ")</f>
        <v>50</v>
      </c>
      <c r="K38" s="44">
        <f>IF(WCAG20results[[#This Row],[Importance by Agency]]='Validations List'!A113,'Validations List'!D113,IF(WCAG20results[[#This Row],[Importance by Agency]]='Validations List'!A114,'Validations List'!D114,IF(WCAG20results[[#This Row],[Importance by Agency]]='Validations List'!A115,'Validations List'!D115,"Not Ranked")))</f>
        <v>50</v>
      </c>
      <c r="L38" s="44">
        <f>IF(WCAG20results[[#This Row],[Importance by Agency]]='Validations List'!A113,'Validations List'!C113,IF(WCAG20results[[#This Row],[Importance by Agency]]='Validations List'!A114,'Validations List'!C114,IF(WCAG20results[[#This Row],[Importance by Agency]]='Validations List'!A115,'Validations List'!C115,"Not Ranked")))</f>
        <v>25</v>
      </c>
      <c r="M38" s="76">
        <f>IFERROR(IFERROR(VLOOKUP(A38,MasterTable[[#All],[WCAG guideline]:[Epilepsy]],6,FALSE)," ")*I38,0)</f>
        <v>0</v>
      </c>
      <c r="N38" s="76">
        <f>IFERROR(IFERROR(VLOOKUP(A38,MasterTable[[#All],[WCAG guideline]:[Epilepsy]],6,FALSE)," ")*J38,0)</f>
        <v>50</v>
      </c>
      <c r="O38" s="77">
        <f>IFERROR(IFERROR(VLOOKUP(A38,MasterTable[[#All],[WCAG guideline]:[Epilepsy]],7,FALSE)," ")*I38,0)</f>
        <v>0</v>
      </c>
      <c r="P38" s="77">
        <f>IFERROR(IFERROR(VLOOKUP(A38,MasterTable[[#All],[WCAG guideline]:[Epilepsy]],7,FALSE)," ")*J38,0)</f>
        <v>50</v>
      </c>
      <c r="Q38" s="77">
        <f>IFERROR(IFERROR(VLOOKUP(A38,MasterTable[[#All],[WCAG guideline]:[Epilepsy]],8,FALSE)," ")*I38,0)</f>
        <v>0</v>
      </c>
      <c r="R38" s="77">
        <f>IFERROR(IFERROR(VLOOKUP(A38,MasterTable[[#All],[WCAG guideline]:[Epilepsy]],8,FALSE)," ")*J38,0)</f>
        <v>0</v>
      </c>
      <c r="S38" s="77">
        <f>IFERROR(IFERROR(VLOOKUP(A38,MasterTable[[#All],[WCAG guideline]:[Epilepsy]],9,FALSE)," ")*I38,0)</f>
        <v>0</v>
      </c>
      <c r="T38" s="77">
        <f>IFERROR(IFERROR(VLOOKUP(A38,MasterTable[[#All],[WCAG guideline]:[Epilepsy]],9,FALSE)," ")*J38,0)</f>
        <v>0</v>
      </c>
      <c r="U38" s="77">
        <f>IFERROR(IFERROR(VLOOKUP(A38,MasterTable[[#All],[WCAG guideline]:[Epilepsy]],10,FALSE)," ")*I38,0)</f>
        <v>0</v>
      </c>
      <c r="V38" s="77">
        <f>IFERROR(IFERROR(VLOOKUP(A38,MasterTable[[#All],[WCAG guideline]:[Epilepsy]],10,FALSE)," ")*J38,0)</f>
        <v>50</v>
      </c>
      <c r="W38" s="77">
        <f>IFERROR(IFERROR(VLOOKUP(A38,MasterTable[[#All],[WCAG guideline]:[Epilepsy]],11,FALSE)," ")*I38,0)</f>
        <v>0</v>
      </c>
      <c r="X38" s="77">
        <f>IFERROR(IFERROR(VLOOKUP(A38,MasterTable[[#All],[WCAG guideline]:[Epilepsy]],11,FALSE)," ")*J38,0)</f>
        <v>50</v>
      </c>
      <c r="Y38" s="77">
        <f>IFERROR(IFERROR(VLOOKUP(A38,MasterTable[[#All],[WCAG guideline]:[Epilepsy]],12,FALSE)," ")*I38,0)</f>
        <v>0</v>
      </c>
      <c r="Z38" s="77">
        <f>IFERROR(IFERROR(VLOOKUP(A38,MasterTable[[#All],[WCAG guideline]:[Epilepsy]],12,FALSE)," ")*J38,0)</f>
        <v>0</v>
      </c>
    </row>
    <row r="39" spans="1:26" ht="45" customHeight="1" x14ac:dyDescent="0.4">
      <c r="A39" s="75" t="s">
        <v>350</v>
      </c>
      <c r="B39" s="44" t="str">
        <f>IFERROR(VLOOKUP(A39,MasterTable[[#All],[WCAG guideline]:[2.2 Level]],4,FALSE), "Not found")</f>
        <v>AA</v>
      </c>
      <c r="C39" s="44">
        <f>COUNTIFS('Custom Test Script'!B2:B200,"*"&amp;'Findings Breakdown'!A39&amp;"*",'Custom Test Script'!D2:D200,'Validations List'!A107)+COUNTIFS('Report Entry'!D26:D207,"*"&amp;'Findings Breakdown'!A39&amp;"*",'Report Entry'!B26:B207,'Validations List'!A107)</f>
        <v>0</v>
      </c>
      <c r="D39" s="44">
        <f>COUNTIFS('Custom Test Script'!B2:B200,"*"&amp;'Findings Breakdown'!A39&amp;"*",'Custom Test Script'!D2:D200,'Validations List'!A106)+COUNTIFS('Report Entry'!D26:D207,"*"&amp;'Findings Breakdown'!A39&amp;"*",'Report Entry'!B26:B207,'Validations List'!A106)</f>
        <v>0</v>
      </c>
      <c r="E39" s="44">
        <f>COUNTIFS('Custom Test Script'!B2:B200,"*"&amp;'Findings Breakdown'!A39&amp;"*",'Custom Test Script'!D2:D200,'Validations List'!A105)+COUNTIFS('Report Entry'!D26:D207,"*"&amp;'Findings Breakdown'!A39&amp;"*",'Report Entry'!B26:B207,'Validations List'!A105)</f>
        <v>0</v>
      </c>
      <c r="F39" s="44">
        <f>COUNTIFS('Custom Test Script'!B2:B200,"*"&amp;'Findings Breakdown'!A39&amp;"*",'Custom Test Script'!D2:D200,'Validations List'!A108)+COUNTIFS('Report Entry'!D26:D207,"*"&amp;'Findings Breakdown'!A39&amp;"*",'Report Entry'!B26:B207,'Validations List'!A108)</f>
        <v>0</v>
      </c>
      <c r="G39" s="44">
        <f>COUNTIFS('Custom Test Script'!B2:B200,"*"&amp;'Findings Breakdown'!A39&amp;"*",'Custom Test Script'!D2:D200,'Validations List'!A109)+COUNTIFS('Report Entry'!D26:D207,"*"&amp;'Findings Breakdown'!A39&amp;"*",'Report Entry'!B26:B207,'Validations List'!A109)</f>
        <v>0</v>
      </c>
      <c r="H39" s="93" t="str" cm="1">
        <f t="array" ref="H39">INDEX('Validations List'!A120:D120,SUMPRODUCT(MAX(('Validations List'!A120:D143='Findings Breakdown'!A39)*(COLUMN('Validations List'!A120:D143))))-COLUMN('Validations List'!A120)+1)</f>
        <v>Standard</v>
      </c>
      <c r="I39" s="76">
        <f>IFERROR(WCAG20results[[#This Row],['# Support w/ Exceptions]]*WCAG20results[[#This Row],[Excepts Value per]]+(WCAG20results[[#This Row],['# Supports]]+WCAG20results[[#This Row],['# Does Not Apply]])*WCAG20results[[#This Row],[Supports Value per]]," ")</f>
        <v>0</v>
      </c>
      <c r="J39" s="76">
        <f>IFERROR('Validations List'!I51*WCAG20results[[#This Row],[Supports Value per]]," ")</f>
        <v>100</v>
      </c>
      <c r="K39" s="44">
        <f>IF(WCAG20results[[#This Row],[Importance by Agency]]='Validations List'!A113,'Validations List'!D113,IF(WCAG20results[[#This Row],[Importance by Agency]]='Validations List'!A114,'Validations List'!D114,IF(WCAG20results[[#This Row],[Importance by Agency]]='Validations List'!A115,'Validations List'!D115,"Not Ranked")))</f>
        <v>50</v>
      </c>
      <c r="L39" s="44">
        <f>IF(WCAG20results[[#This Row],[Importance by Agency]]='Validations List'!A113,'Validations List'!C113,IF(WCAG20results[[#This Row],[Importance by Agency]]='Validations List'!A114,'Validations List'!C114,IF(WCAG20results[[#This Row],[Importance by Agency]]='Validations List'!A115,'Validations List'!C115,"Not Ranked")))</f>
        <v>25</v>
      </c>
      <c r="M39" s="76">
        <f>IFERROR(IFERROR(VLOOKUP(A39,MasterTable[[#All],[WCAG guideline]:[Epilepsy]],6,FALSE)," ")*I39,0)</f>
        <v>0</v>
      </c>
      <c r="N39" s="76">
        <f>IFERROR(IFERROR(VLOOKUP(A39,MasterTable[[#All],[WCAG guideline]:[Epilepsy]],6,FALSE)," ")*J39,0)</f>
        <v>100</v>
      </c>
      <c r="O39" s="77">
        <f>IFERROR(IFERROR(VLOOKUP(A39,MasterTable[[#All],[WCAG guideline]:[Epilepsy]],7,FALSE)," ")*I39,0)</f>
        <v>0</v>
      </c>
      <c r="P39" s="77">
        <f>IFERROR(IFERROR(VLOOKUP(A39,MasterTable[[#All],[WCAG guideline]:[Epilepsy]],7,FALSE)," ")*J39,0)</f>
        <v>100</v>
      </c>
      <c r="Q39" s="77">
        <f>IFERROR(IFERROR(VLOOKUP(A39,MasterTable[[#All],[WCAG guideline]:[Epilepsy]],8,FALSE)," ")*I39,0)</f>
        <v>0</v>
      </c>
      <c r="R39" s="77">
        <f>IFERROR(IFERROR(VLOOKUP(A39,MasterTable[[#All],[WCAG guideline]:[Epilepsy]],8,FALSE)," ")*J39,0)</f>
        <v>0</v>
      </c>
      <c r="S39" s="77">
        <f>IFERROR(IFERROR(VLOOKUP(A39,MasterTable[[#All],[WCAG guideline]:[Epilepsy]],9,FALSE)," ")*I39,0)</f>
        <v>0</v>
      </c>
      <c r="T39" s="77">
        <f>IFERROR(IFERROR(VLOOKUP(A39,MasterTable[[#All],[WCAG guideline]:[Epilepsy]],9,FALSE)," ")*J39,0)</f>
        <v>0</v>
      </c>
      <c r="U39" s="77">
        <f>IFERROR(IFERROR(VLOOKUP(A39,MasterTable[[#All],[WCAG guideline]:[Epilepsy]],10,FALSE)," ")*I39,0)</f>
        <v>0</v>
      </c>
      <c r="V39" s="77">
        <f>IFERROR(IFERROR(VLOOKUP(A39,MasterTable[[#All],[WCAG guideline]:[Epilepsy]],10,FALSE)," ")*J39,0)</f>
        <v>100</v>
      </c>
      <c r="W39" s="77">
        <f>IFERROR(IFERROR(VLOOKUP(A39,MasterTable[[#All],[WCAG guideline]:[Epilepsy]],11,FALSE)," ")*I39,0)</f>
        <v>0</v>
      </c>
      <c r="X39" s="77">
        <f>IFERROR(IFERROR(VLOOKUP(A39,MasterTable[[#All],[WCAG guideline]:[Epilepsy]],11,FALSE)," ")*J39,0)</f>
        <v>0</v>
      </c>
      <c r="Y39" s="77">
        <f>IFERROR(IFERROR(VLOOKUP(A39,MasterTable[[#All],[WCAG guideline]:[Epilepsy]],12,FALSE)," ")*I39,0)</f>
        <v>0</v>
      </c>
      <c r="Z39" s="77">
        <f>IFERROR(IFERROR(VLOOKUP(A39,MasterTable[[#All],[WCAG guideline]:[Epilepsy]],12,FALSE)," ")*J39,0)</f>
        <v>0</v>
      </c>
    </row>
    <row r="40" spans="1:26" ht="45" customHeight="1" x14ac:dyDescent="0.4">
      <c r="A40" s="75" t="s">
        <v>351</v>
      </c>
      <c r="B40" s="44" t="str">
        <f>IFERROR(VLOOKUP(A40,MasterTable[[#All],[WCAG guideline]:[2.2 Level]],4,FALSE), "Not found")</f>
        <v>AA</v>
      </c>
      <c r="C40" s="44">
        <f>COUNTIFS('Custom Test Script'!B2:B200,"*"&amp;'Findings Breakdown'!A40&amp;"*",'Custom Test Script'!D2:D200,'Validations List'!A107)+COUNTIFS('Report Entry'!D26:D207,"*"&amp;'Findings Breakdown'!A40&amp;"*",'Report Entry'!B26:B207,'Validations List'!A107)</f>
        <v>0</v>
      </c>
      <c r="D40" s="44">
        <f>COUNTIFS('Custom Test Script'!B2:B200,"*"&amp;'Findings Breakdown'!A40&amp;"*",'Custom Test Script'!D2:D200,'Validations List'!A106)+COUNTIFS('Report Entry'!D26:D207,"*"&amp;'Findings Breakdown'!A40&amp;"*",'Report Entry'!B26:B207,'Validations List'!A106)</f>
        <v>0</v>
      </c>
      <c r="E40" s="44">
        <f>COUNTIFS('Custom Test Script'!B2:B200,"*"&amp;'Findings Breakdown'!A40&amp;"*",'Custom Test Script'!D2:D200,'Validations List'!A105)+COUNTIFS('Report Entry'!D26:D207,"*"&amp;'Findings Breakdown'!A40&amp;"*",'Report Entry'!B26:B207,'Validations List'!A105)</f>
        <v>0</v>
      </c>
      <c r="F40" s="44">
        <f>COUNTIFS('Custom Test Script'!B2:B200,"*"&amp;'Findings Breakdown'!A40&amp;"*",'Custom Test Script'!D2:D200,'Validations List'!A108)+COUNTIFS('Report Entry'!D26:D207,"*"&amp;'Findings Breakdown'!A40&amp;"*",'Report Entry'!B26:B207,'Validations List'!A108)</f>
        <v>0</v>
      </c>
      <c r="G40" s="44">
        <f>COUNTIFS('Custom Test Script'!B2:B200,"*"&amp;'Findings Breakdown'!A40&amp;"*",'Custom Test Script'!D2:D200,'Validations List'!A109)+COUNTIFS('Report Entry'!D26:D207,"*"&amp;'Findings Breakdown'!A40&amp;"*",'Report Entry'!B26:B207,'Validations List'!A109)</f>
        <v>0</v>
      </c>
      <c r="H40" s="93" t="str" cm="1">
        <f t="array" ref="H40">INDEX('Validations List'!A120:D120,SUMPRODUCT(MAX(('Validations List'!A120:D143='Findings Breakdown'!A40)*(COLUMN('Validations List'!A120:D143))))-COLUMN('Validations List'!A120)+1)</f>
        <v>Extremely Important</v>
      </c>
      <c r="I40" s="76">
        <f>IFERROR(WCAG20results[[#This Row],['# Support w/ Exceptions]]*WCAG20results[[#This Row],[Excepts Value per]]+(WCAG20results[[#This Row],['# Supports]]+WCAG20results[[#This Row],['# Does Not Apply]])*WCAG20results[[#This Row],[Supports Value per]]," ")</f>
        <v>0</v>
      </c>
      <c r="J40" s="76">
        <f>IFERROR('Validations List'!I52*WCAG20results[[#This Row],[Supports Value per]]," ")</f>
        <v>600</v>
      </c>
      <c r="K40" s="44">
        <f>IF(WCAG20results[[#This Row],[Importance by Agency]]='Validations List'!A113,'Validations List'!D113,IF(WCAG20results[[#This Row],[Importance by Agency]]='Validations List'!A114,'Validations List'!D114,IF(WCAG20results[[#This Row],[Importance by Agency]]='Validations List'!A115,'Validations List'!D115,"Not Ranked")))</f>
        <v>300</v>
      </c>
      <c r="L40" s="44">
        <f>IF(WCAG20results[[#This Row],[Importance by Agency]]='Validations List'!A113,'Validations List'!C113,IF(WCAG20results[[#This Row],[Importance by Agency]]='Validations List'!A114,'Validations List'!C114,IF(WCAG20results[[#This Row],[Importance by Agency]]='Validations List'!A115,'Validations List'!C115,"Not Ranked")))</f>
        <v>150</v>
      </c>
      <c r="M40" s="76">
        <f>IFERROR(IFERROR(VLOOKUP(A40,MasterTable[[#All],[WCAG guideline]:[Epilepsy]],6,FALSE)," ")*I40,0)</f>
        <v>0</v>
      </c>
      <c r="N40" s="76">
        <f>IFERROR(IFERROR(VLOOKUP(A40,MasterTable[[#All],[WCAG guideline]:[Epilepsy]],6,FALSE)," ")*J40,0)</f>
        <v>0</v>
      </c>
      <c r="O40" s="77">
        <f>IFERROR(IFERROR(VLOOKUP(A40,MasterTable[[#All],[WCAG guideline]:[Epilepsy]],7,FALSE)," ")*I40,0)</f>
        <v>0</v>
      </c>
      <c r="P40" s="77">
        <f>IFERROR(IFERROR(VLOOKUP(A40,MasterTable[[#All],[WCAG guideline]:[Epilepsy]],7,FALSE)," ")*J40,0)</f>
        <v>600</v>
      </c>
      <c r="Q40" s="77">
        <f>IFERROR(IFERROR(VLOOKUP(A40,MasterTable[[#All],[WCAG guideline]:[Epilepsy]],8,FALSE)," ")*I40,0)</f>
        <v>0</v>
      </c>
      <c r="R40" s="77">
        <f>IFERROR(IFERROR(VLOOKUP(A40,MasterTable[[#All],[WCAG guideline]:[Epilepsy]],8,FALSE)," ")*J40,0)</f>
        <v>0</v>
      </c>
      <c r="S40" s="77">
        <f>IFERROR(IFERROR(VLOOKUP(A40,MasterTable[[#All],[WCAG guideline]:[Epilepsy]],9,FALSE)," ")*I40,0)</f>
        <v>0</v>
      </c>
      <c r="T40" s="77">
        <f>IFERROR(IFERROR(VLOOKUP(A40,MasterTable[[#All],[WCAG guideline]:[Epilepsy]],9,FALSE)," ")*J40,0)</f>
        <v>0</v>
      </c>
      <c r="U40" s="77">
        <f>IFERROR(IFERROR(VLOOKUP(A40,MasterTable[[#All],[WCAG guideline]:[Epilepsy]],10,FALSE)," ")*I40,0)</f>
        <v>0</v>
      </c>
      <c r="V40" s="77">
        <f>IFERROR(IFERROR(VLOOKUP(A40,MasterTable[[#All],[WCAG guideline]:[Epilepsy]],10,FALSE)," ")*J40,0)</f>
        <v>600</v>
      </c>
      <c r="W40" s="77">
        <f>IFERROR(IFERROR(VLOOKUP(A40,MasterTable[[#All],[WCAG guideline]:[Epilepsy]],11,FALSE)," ")*I40,0)</f>
        <v>0</v>
      </c>
      <c r="X40" s="77">
        <f>IFERROR(IFERROR(VLOOKUP(A40,MasterTable[[#All],[WCAG guideline]:[Epilepsy]],11,FALSE)," ")*J40,0)</f>
        <v>0</v>
      </c>
      <c r="Y40" s="77">
        <f>IFERROR(IFERROR(VLOOKUP(A40,MasterTable[[#All],[WCAG guideline]:[Epilepsy]],12,FALSE)," ")*I40,0)</f>
        <v>0</v>
      </c>
      <c r="Z40" s="77">
        <f>IFERROR(IFERROR(VLOOKUP(A40,MasterTable[[#All],[WCAG guideline]:[Epilepsy]],12,FALSE)," ")*J40,0)</f>
        <v>0</v>
      </c>
    </row>
    <row r="41" spans="1:26" ht="45" customHeight="1" x14ac:dyDescent="0.4">
      <c r="A41" s="75" t="s">
        <v>352</v>
      </c>
      <c r="B41" s="44" t="str">
        <f>IFERROR(VLOOKUP(A41,MasterTable[[#All],[WCAG guideline]:[2.2 Level]],4,FALSE), "Not found")</f>
        <v>AAA</v>
      </c>
      <c r="C41" s="44">
        <f>COUNTIFS('Custom Test Script'!B2:B200,"*"&amp;'Findings Breakdown'!A41&amp;"*",'Custom Test Script'!D2:D200,'Validations List'!A107)+COUNTIFS('Report Entry'!D26:D207,"*"&amp;'Findings Breakdown'!A41&amp;"*",'Report Entry'!B26:B207,'Validations List'!A107)</f>
        <v>0</v>
      </c>
      <c r="D41" s="44">
        <f>COUNTIFS('Custom Test Script'!B2:B200,"*"&amp;'Findings Breakdown'!A41&amp;"*",'Custom Test Script'!D2:D200,'Validations List'!A106)+COUNTIFS('Report Entry'!D26:D207,"*"&amp;'Findings Breakdown'!A41&amp;"*",'Report Entry'!B26:B207,'Validations List'!A106)</f>
        <v>0</v>
      </c>
      <c r="E41" s="44">
        <f>COUNTIFS('Custom Test Script'!B2:B200,"*"&amp;'Findings Breakdown'!A41&amp;"*",'Custom Test Script'!D2:D200,'Validations List'!A105)+COUNTIFS('Report Entry'!D26:D207,"*"&amp;'Findings Breakdown'!A41&amp;"*",'Report Entry'!B26:B207,'Validations List'!A105)</f>
        <v>0</v>
      </c>
      <c r="F41" s="44">
        <f>COUNTIFS('Custom Test Script'!B2:B200,"*"&amp;'Findings Breakdown'!A41&amp;"*",'Custom Test Script'!D2:D200,'Validations List'!A108)+COUNTIFS('Report Entry'!D26:D207,"*"&amp;'Findings Breakdown'!A41&amp;"*",'Report Entry'!B26:B207,'Validations List'!A108)</f>
        <v>0</v>
      </c>
      <c r="G41" s="44">
        <f>COUNTIFS('Custom Test Script'!B2:B200,"*"&amp;'Findings Breakdown'!A41&amp;"*",'Custom Test Script'!D2:D200,'Validations List'!A109)+COUNTIFS('Report Entry'!D26:D207,"*"&amp;'Findings Breakdown'!A41&amp;"*",'Report Entry'!B26:B207,'Validations List'!A109)</f>
        <v>0</v>
      </c>
      <c r="H41" s="93" t="str" cm="1">
        <f t="array" ref="H41">INDEX('Validations List'!A120:D120,SUMPRODUCT(MAX(('Validations List'!A120:D143='Findings Breakdown'!A41)*(COLUMN('Validations List'!A120:D143))))-COLUMN('Validations List'!A120)+1)</f>
        <v>Not Ranked</v>
      </c>
      <c r="I41" s="76" t="str">
        <f>IFERROR(WCAG20results[[#This Row],['# Support w/ Exceptions]]*WCAG20results[[#This Row],[Excepts Value per]]+(WCAG20results[[#This Row],['# Supports]]+WCAG20results[[#This Row],['# Does Not Apply]])*WCAG20results[[#This Row],[Supports Value per]]," ")</f>
        <v xml:space="preserve"> </v>
      </c>
      <c r="J41" s="76" t="str">
        <f>IFERROR('Validations List'!I53*WCAG20results[[#This Row],[Supports Value per]]," ")</f>
        <v xml:space="preserve"> </v>
      </c>
      <c r="K41" s="44" t="str">
        <f>IF(WCAG20results[[#This Row],[Importance by Agency]]='Validations List'!A113,'Validations List'!D113,IF(WCAG20results[[#This Row],[Importance by Agency]]='Validations List'!A114,'Validations List'!D114,IF(WCAG20results[[#This Row],[Importance by Agency]]='Validations List'!A115,'Validations List'!D115,"Not Ranked")))</f>
        <v>Not Ranked</v>
      </c>
      <c r="L41" s="44" t="str">
        <f>IF(WCAG20results[[#This Row],[Importance by Agency]]='Validations List'!A113,'Validations List'!C113,IF(WCAG20results[[#This Row],[Importance by Agency]]='Validations List'!A114,'Validations List'!C114,IF(WCAG20results[[#This Row],[Importance by Agency]]='Validations List'!A115,'Validations List'!C115,"Not Ranked")))</f>
        <v>Not Ranked</v>
      </c>
      <c r="M41" s="76">
        <f>IFERROR(IFERROR(VLOOKUP(A41,MasterTable[[#All],[WCAG guideline]:[Epilepsy]],6,FALSE)," ")*I41,0)</f>
        <v>0</v>
      </c>
      <c r="N41" s="76">
        <f>IFERROR(IFERROR(VLOOKUP(A41,MasterTable[[#All],[WCAG guideline]:[Epilepsy]],6,FALSE)," ")*J41,0)</f>
        <v>0</v>
      </c>
      <c r="O41" s="77">
        <f>IFERROR(IFERROR(VLOOKUP(A41,MasterTable[[#All],[WCAG guideline]:[Epilepsy]],7,FALSE)," ")*I41,0)</f>
        <v>0</v>
      </c>
      <c r="P41" s="77">
        <f>IFERROR(IFERROR(VLOOKUP(A41,MasterTable[[#All],[WCAG guideline]:[Epilepsy]],7,FALSE)," ")*J41,0)</f>
        <v>0</v>
      </c>
      <c r="Q41" s="77">
        <f>IFERROR(IFERROR(VLOOKUP(A41,MasterTable[[#All],[WCAG guideline]:[Epilepsy]],8,FALSE)," ")*I41,0)</f>
        <v>0</v>
      </c>
      <c r="R41" s="77">
        <f>IFERROR(IFERROR(VLOOKUP(A41,MasterTable[[#All],[WCAG guideline]:[Epilepsy]],8,FALSE)," ")*J41,0)</f>
        <v>0</v>
      </c>
      <c r="S41" s="77">
        <f>IFERROR(IFERROR(VLOOKUP(A41,MasterTable[[#All],[WCAG guideline]:[Epilepsy]],9,FALSE)," ")*I41,0)</f>
        <v>0</v>
      </c>
      <c r="T41" s="77">
        <f>IFERROR(IFERROR(VLOOKUP(A41,MasterTable[[#All],[WCAG guideline]:[Epilepsy]],9,FALSE)," ")*J41,0)</f>
        <v>0</v>
      </c>
      <c r="U41" s="77">
        <f>IFERROR(IFERROR(VLOOKUP(A41,MasterTable[[#All],[WCAG guideline]:[Epilepsy]],10,FALSE)," ")*I41,0)</f>
        <v>0</v>
      </c>
      <c r="V41" s="77">
        <f>IFERROR(IFERROR(VLOOKUP(A41,MasterTable[[#All],[WCAG guideline]:[Epilepsy]],10,FALSE)," ")*J41,0)</f>
        <v>0</v>
      </c>
      <c r="W41" s="77">
        <f>IFERROR(IFERROR(VLOOKUP(A41,MasterTable[[#All],[WCAG guideline]:[Epilepsy]],11,FALSE)," ")*I41,0)</f>
        <v>0</v>
      </c>
      <c r="X41" s="77">
        <f>IFERROR(IFERROR(VLOOKUP(A41,MasterTable[[#All],[WCAG guideline]:[Epilepsy]],11,FALSE)," ")*J41,0)</f>
        <v>0</v>
      </c>
      <c r="Y41" s="77">
        <f>IFERROR(IFERROR(VLOOKUP(A41,MasterTable[[#All],[WCAG guideline]:[Epilepsy]],12,FALSE)," ")*I41,0)</f>
        <v>0</v>
      </c>
      <c r="Z41" s="77">
        <f>IFERROR(IFERROR(VLOOKUP(A41,MasterTable[[#All],[WCAG guideline]:[Epilepsy]],12,FALSE)," ")*J41,0)</f>
        <v>0</v>
      </c>
    </row>
    <row r="42" spans="1:26" ht="45" customHeight="1" x14ac:dyDescent="0.4">
      <c r="A42" s="75" t="s">
        <v>353</v>
      </c>
      <c r="B42" s="44" t="str">
        <f>IFERROR(VLOOKUP(A42,MasterTable[[#All],[WCAG guideline]:[2.2 Level]],4,FALSE), "Not found")</f>
        <v>AAA</v>
      </c>
      <c r="C42" s="44">
        <f>COUNTIFS('Custom Test Script'!B2:B200,"*"&amp;'Findings Breakdown'!A42&amp;"*",'Custom Test Script'!D2:D200,'Validations List'!A107)+COUNTIFS('Report Entry'!D26:D207,"*"&amp;'Findings Breakdown'!A42&amp;"*",'Report Entry'!B26:B207,'Validations List'!A107)</f>
        <v>0</v>
      </c>
      <c r="D42" s="44">
        <f>COUNTIFS('Custom Test Script'!B2:B200,"*"&amp;'Findings Breakdown'!A42&amp;"*",'Custom Test Script'!D2:D200,'Validations List'!A106)+COUNTIFS('Report Entry'!D26:D207,"*"&amp;'Findings Breakdown'!A42&amp;"*",'Report Entry'!B26:B207,'Validations List'!A106)</f>
        <v>0</v>
      </c>
      <c r="E42" s="44">
        <f>COUNTIFS('Custom Test Script'!B2:B200,"*"&amp;'Findings Breakdown'!A42&amp;"*",'Custom Test Script'!D2:D200,'Validations List'!A105)+COUNTIFS('Report Entry'!D26:D207,"*"&amp;'Findings Breakdown'!A42&amp;"*",'Report Entry'!B26:B207,'Validations List'!A105)</f>
        <v>0</v>
      </c>
      <c r="F42" s="44">
        <f>COUNTIFS('Custom Test Script'!B2:B200,"*"&amp;'Findings Breakdown'!A42&amp;"*",'Custom Test Script'!D2:D200,'Validations List'!A108)+COUNTIFS('Report Entry'!D26:D207,"*"&amp;'Findings Breakdown'!A42&amp;"*",'Report Entry'!B26:B207,'Validations List'!A108)</f>
        <v>0</v>
      </c>
      <c r="G42" s="44">
        <f>COUNTIFS('Custom Test Script'!B2:B200,"*"&amp;'Findings Breakdown'!A42&amp;"*",'Custom Test Script'!D2:D200,'Validations List'!A109)+COUNTIFS('Report Entry'!D26:D207,"*"&amp;'Findings Breakdown'!A42&amp;"*",'Report Entry'!B26:B207,'Validations List'!A109)</f>
        <v>0</v>
      </c>
      <c r="H42" s="93" t="str" cm="1">
        <f t="array" ref="H42">INDEX('Validations List'!A120:D120,SUMPRODUCT(MAX(('Validations List'!A120:D143='Findings Breakdown'!A42)*(COLUMN('Validations List'!A120:D143))))-COLUMN('Validations List'!A120)+1)</f>
        <v>Not Ranked</v>
      </c>
      <c r="I42" s="76" t="str">
        <f>IFERROR(WCAG20results[[#This Row],['# Support w/ Exceptions]]*WCAG20results[[#This Row],[Excepts Value per]]+(WCAG20results[[#This Row],['# Supports]]+WCAG20results[[#This Row],['# Does Not Apply]])*WCAG20results[[#This Row],[Supports Value per]]," ")</f>
        <v xml:space="preserve"> </v>
      </c>
      <c r="J42" s="76" t="str">
        <f>IFERROR('Validations List'!I54*WCAG20results[[#This Row],[Supports Value per]]," ")</f>
        <v xml:space="preserve"> </v>
      </c>
      <c r="K42" s="44" t="str">
        <f>IF(WCAG20results[[#This Row],[Importance by Agency]]='Validations List'!A113,'Validations List'!D113,IF(WCAG20results[[#This Row],[Importance by Agency]]='Validations List'!A114,'Validations List'!D114,IF(WCAG20results[[#This Row],[Importance by Agency]]='Validations List'!A115,'Validations List'!D115,"Not Ranked")))</f>
        <v>Not Ranked</v>
      </c>
      <c r="L42" s="44" t="str">
        <f>IF(WCAG20results[[#This Row],[Importance by Agency]]='Validations List'!A113,'Validations List'!C113,IF(WCAG20results[[#This Row],[Importance by Agency]]='Validations List'!A114,'Validations List'!C114,IF(WCAG20results[[#This Row],[Importance by Agency]]='Validations List'!A115,'Validations List'!C115,"Not Ranked")))</f>
        <v>Not Ranked</v>
      </c>
      <c r="M42" s="76">
        <f>IFERROR(IFERROR(VLOOKUP(A42,MasterTable[[#All],[WCAG guideline]:[Epilepsy]],6,FALSE)," ")*I42,0)</f>
        <v>0</v>
      </c>
      <c r="N42" s="76">
        <f>IFERROR(IFERROR(VLOOKUP(A42,MasterTable[[#All],[WCAG guideline]:[Epilepsy]],6,FALSE)," ")*J42,0)</f>
        <v>0</v>
      </c>
      <c r="O42" s="77">
        <f>IFERROR(IFERROR(VLOOKUP(A42,MasterTable[[#All],[WCAG guideline]:[Epilepsy]],7,FALSE)," ")*I42,0)</f>
        <v>0</v>
      </c>
      <c r="P42" s="77">
        <f>IFERROR(IFERROR(VLOOKUP(A42,MasterTable[[#All],[WCAG guideline]:[Epilepsy]],7,FALSE)," ")*J42,0)</f>
        <v>0</v>
      </c>
      <c r="Q42" s="77">
        <f>IFERROR(IFERROR(VLOOKUP(A42,MasterTable[[#All],[WCAG guideline]:[Epilepsy]],8,FALSE)," ")*I42,0)</f>
        <v>0</v>
      </c>
      <c r="R42" s="77">
        <f>IFERROR(IFERROR(VLOOKUP(A42,MasterTable[[#All],[WCAG guideline]:[Epilepsy]],8,FALSE)," ")*J42,0)</f>
        <v>0</v>
      </c>
      <c r="S42" s="77">
        <f>IFERROR(IFERROR(VLOOKUP(A42,MasterTable[[#All],[WCAG guideline]:[Epilepsy]],9,FALSE)," ")*I42,0)</f>
        <v>0</v>
      </c>
      <c r="T42" s="77">
        <f>IFERROR(IFERROR(VLOOKUP(A42,MasterTable[[#All],[WCAG guideline]:[Epilepsy]],9,FALSE)," ")*J42,0)</f>
        <v>0</v>
      </c>
      <c r="U42" s="77">
        <f>IFERROR(IFERROR(VLOOKUP(A42,MasterTable[[#All],[WCAG guideline]:[Epilepsy]],10,FALSE)," ")*I42,0)</f>
        <v>0</v>
      </c>
      <c r="V42" s="77">
        <f>IFERROR(IFERROR(VLOOKUP(A42,MasterTable[[#All],[WCAG guideline]:[Epilepsy]],10,FALSE)," ")*J42,0)</f>
        <v>0</v>
      </c>
      <c r="W42" s="77">
        <f>IFERROR(IFERROR(VLOOKUP(A42,MasterTable[[#All],[WCAG guideline]:[Epilepsy]],11,FALSE)," ")*I42,0)</f>
        <v>0</v>
      </c>
      <c r="X42" s="77">
        <f>IFERROR(IFERROR(VLOOKUP(A42,MasterTable[[#All],[WCAG guideline]:[Epilepsy]],11,FALSE)," ")*J42,0)</f>
        <v>0</v>
      </c>
      <c r="Y42" s="77">
        <f>IFERROR(IFERROR(VLOOKUP(A42,MasterTable[[#All],[WCAG guideline]:[Epilepsy]],12,FALSE)," ")*I42,0)</f>
        <v>0</v>
      </c>
      <c r="Z42" s="77">
        <f>IFERROR(IFERROR(VLOOKUP(A42,MasterTable[[#All],[WCAG guideline]:[Epilepsy]],12,FALSE)," ")*J42,0)</f>
        <v>0</v>
      </c>
    </row>
    <row r="43" spans="1:26" ht="45" customHeight="1" x14ac:dyDescent="0.4">
      <c r="A43" s="75" t="s">
        <v>354</v>
      </c>
      <c r="B43" s="44" t="str">
        <f>IFERROR(VLOOKUP(A43,MasterTable[[#All],[WCAG guideline]:[2.2 Level]],4,FALSE), "Not found")</f>
        <v>AAA</v>
      </c>
      <c r="C43" s="44">
        <f>COUNTIFS('Custom Test Script'!B2:B200,"*"&amp;'Findings Breakdown'!A43&amp;"*",'Custom Test Script'!D2:D200,'Validations List'!A107)+COUNTIFS('Report Entry'!D26:D207,"*"&amp;'Findings Breakdown'!A43&amp;"*",'Report Entry'!B26:B207,'Validations List'!A107)</f>
        <v>0</v>
      </c>
      <c r="D43" s="44">
        <f>COUNTIFS('Custom Test Script'!B2:B200,"*"&amp;'Findings Breakdown'!A43&amp;"*",'Custom Test Script'!D2:D200,'Validations List'!A106)+COUNTIFS('Report Entry'!D26:D207,"*"&amp;'Findings Breakdown'!A43&amp;"*",'Report Entry'!B26:B207,'Validations List'!A106)</f>
        <v>0</v>
      </c>
      <c r="E43" s="44">
        <f>COUNTIFS('Custom Test Script'!B2:B200,"*"&amp;'Findings Breakdown'!A43&amp;"*",'Custom Test Script'!D2:D200,'Validations List'!A105)+COUNTIFS('Report Entry'!D26:D207,"*"&amp;'Findings Breakdown'!A43&amp;"*",'Report Entry'!B26:B207,'Validations List'!A105)</f>
        <v>0</v>
      </c>
      <c r="F43" s="44">
        <f>COUNTIFS('Custom Test Script'!B2:B200,"*"&amp;'Findings Breakdown'!A43&amp;"*",'Custom Test Script'!D2:D200,'Validations List'!A108)+COUNTIFS('Report Entry'!D26:D207,"*"&amp;'Findings Breakdown'!A43&amp;"*",'Report Entry'!B26:B207,'Validations List'!A108)</f>
        <v>0</v>
      </c>
      <c r="G43" s="44">
        <f>COUNTIFS('Custom Test Script'!B2:B200,"*"&amp;'Findings Breakdown'!A43&amp;"*",'Custom Test Script'!D2:D200,'Validations List'!A109)+COUNTIFS('Report Entry'!D26:D207,"*"&amp;'Findings Breakdown'!A43&amp;"*",'Report Entry'!B26:B207,'Validations List'!A109)</f>
        <v>0</v>
      </c>
      <c r="H43" s="93" t="str" cm="1">
        <f t="array" ref="H43">INDEX('Validations List'!A120:D120,SUMPRODUCT(MAX(('Validations List'!A120:D143='Findings Breakdown'!A43)*(COLUMN('Validations List'!A120:D143))))-COLUMN('Validations List'!A120)+1)</f>
        <v>Not Ranked</v>
      </c>
      <c r="I43" s="76" t="str">
        <f>IFERROR(WCAG20results[[#This Row],['# Support w/ Exceptions]]*WCAG20results[[#This Row],[Excepts Value per]]+(WCAG20results[[#This Row],['# Supports]]+WCAG20results[[#This Row],['# Does Not Apply]])*WCAG20results[[#This Row],[Supports Value per]]," ")</f>
        <v xml:space="preserve"> </v>
      </c>
      <c r="J43" s="76" t="str">
        <f>IFERROR('Validations List'!I55*WCAG20results[[#This Row],[Supports Value per]]," ")</f>
        <v xml:space="preserve"> </v>
      </c>
      <c r="K43" s="44" t="str">
        <f>IF(WCAG20results[[#This Row],[Importance by Agency]]='Validations List'!A113,'Validations List'!D113,IF(WCAG20results[[#This Row],[Importance by Agency]]='Validations List'!A114,'Validations List'!D114,IF(WCAG20results[[#This Row],[Importance by Agency]]='Validations List'!A115,'Validations List'!D115,"Not Ranked")))</f>
        <v>Not Ranked</v>
      </c>
      <c r="L43" s="44" t="str">
        <f>IF(WCAG20results[[#This Row],[Importance by Agency]]='Validations List'!A113,'Validations List'!C113,IF(WCAG20results[[#This Row],[Importance by Agency]]='Validations List'!A114,'Validations List'!C114,IF(WCAG20results[[#This Row],[Importance by Agency]]='Validations List'!A115,'Validations List'!C115,"Not Ranked")))</f>
        <v>Not Ranked</v>
      </c>
      <c r="M43" s="76">
        <f>IFERROR(IFERROR(VLOOKUP(A43,MasterTable[[#All],[WCAG guideline]:[Epilepsy]],6,FALSE)," ")*I43,0)</f>
        <v>0</v>
      </c>
      <c r="N43" s="76">
        <f>IFERROR(IFERROR(VLOOKUP(A43,MasterTable[[#All],[WCAG guideline]:[Epilepsy]],6,FALSE)," ")*J43,0)</f>
        <v>0</v>
      </c>
      <c r="O43" s="77">
        <f>IFERROR(IFERROR(VLOOKUP(A43,MasterTable[[#All],[WCAG guideline]:[Epilepsy]],7,FALSE)," ")*I43,0)</f>
        <v>0</v>
      </c>
      <c r="P43" s="77">
        <f>IFERROR(IFERROR(VLOOKUP(A43,MasterTable[[#All],[WCAG guideline]:[Epilepsy]],7,FALSE)," ")*J43,0)</f>
        <v>0</v>
      </c>
      <c r="Q43" s="77">
        <f>IFERROR(IFERROR(VLOOKUP(A43,MasterTable[[#All],[WCAG guideline]:[Epilepsy]],8,FALSE)," ")*I43,0)</f>
        <v>0</v>
      </c>
      <c r="R43" s="77">
        <f>IFERROR(IFERROR(VLOOKUP(A43,MasterTable[[#All],[WCAG guideline]:[Epilepsy]],8,FALSE)," ")*J43,0)</f>
        <v>0</v>
      </c>
      <c r="S43" s="77">
        <f>IFERROR(IFERROR(VLOOKUP(A43,MasterTable[[#All],[WCAG guideline]:[Epilepsy]],9,FALSE)," ")*I43,0)</f>
        <v>0</v>
      </c>
      <c r="T43" s="77">
        <f>IFERROR(IFERROR(VLOOKUP(A43,MasterTable[[#All],[WCAG guideline]:[Epilepsy]],9,FALSE)," ")*J43,0)</f>
        <v>0</v>
      </c>
      <c r="U43" s="77">
        <f>IFERROR(IFERROR(VLOOKUP(A43,MasterTable[[#All],[WCAG guideline]:[Epilepsy]],10,FALSE)," ")*I43,0)</f>
        <v>0</v>
      </c>
      <c r="V43" s="77">
        <f>IFERROR(IFERROR(VLOOKUP(A43,MasterTable[[#All],[WCAG guideline]:[Epilepsy]],10,FALSE)," ")*J43,0)</f>
        <v>0</v>
      </c>
      <c r="W43" s="77">
        <f>IFERROR(IFERROR(VLOOKUP(A43,MasterTable[[#All],[WCAG guideline]:[Epilepsy]],11,FALSE)," ")*I43,0)</f>
        <v>0</v>
      </c>
      <c r="X43" s="77">
        <f>IFERROR(IFERROR(VLOOKUP(A43,MasterTable[[#All],[WCAG guideline]:[Epilepsy]],11,FALSE)," ")*J43,0)</f>
        <v>0</v>
      </c>
      <c r="Y43" s="77">
        <f>IFERROR(IFERROR(VLOOKUP(A43,MasterTable[[#All],[WCAG guideline]:[Epilepsy]],12,FALSE)," ")*I43,0)</f>
        <v>0</v>
      </c>
      <c r="Z43" s="77">
        <f>IFERROR(IFERROR(VLOOKUP(A43,MasterTable[[#All],[WCAG guideline]:[Epilepsy]],12,FALSE)," ")*J43,0)</f>
        <v>0</v>
      </c>
    </row>
    <row r="44" spans="1:26" ht="45" customHeight="1" x14ac:dyDescent="0.4">
      <c r="A44" s="75" t="s">
        <v>286</v>
      </c>
      <c r="B44" s="44" t="str">
        <f>IFERROR(VLOOKUP(A44,MasterTable[[#All],[WCAG guideline]:[2.2 Level]],4,FALSE), "Not found")</f>
        <v>A</v>
      </c>
      <c r="C44" s="44">
        <f>COUNTIFS('Custom Test Script'!B2:B200,"*"&amp;'Findings Breakdown'!A44&amp;"*",'Custom Test Script'!D2:D200,'Validations List'!A107)+COUNTIFS('Report Entry'!D26:D207,"*"&amp;'Findings Breakdown'!A44&amp;"*",'Report Entry'!B26:B207,'Validations List'!A107)</f>
        <v>0</v>
      </c>
      <c r="D44" s="44">
        <f>COUNTIFS('Custom Test Script'!B2:B200,"*"&amp;'Findings Breakdown'!A44&amp;"*",'Custom Test Script'!D2:D200,'Validations List'!A106)+COUNTIFS('Report Entry'!D26:D207,"*"&amp;'Findings Breakdown'!A44&amp;"*",'Report Entry'!B26:B207,'Validations List'!A106)</f>
        <v>0</v>
      </c>
      <c r="E44" s="44">
        <f>COUNTIFS('Custom Test Script'!B2:B200,"*"&amp;'Findings Breakdown'!A44&amp;"*",'Custom Test Script'!D2:D200,'Validations List'!A105)+COUNTIFS('Report Entry'!D26:D207,"*"&amp;'Findings Breakdown'!A44&amp;"*",'Report Entry'!B26:B207,'Validations List'!A105)</f>
        <v>0</v>
      </c>
      <c r="F44" s="44">
        <f>COUNTIFS('Custom Test Script'!B2:B200,"*"&amp;'Findings Breakdown'!A44&amp;"*",'Custom Test Script'!D2:D200,'Validations List'!A108)+COUNTIFS('Report Entry'!D26:D207,"*"&amp;'Findings Breakdown'!A44&amp;"*",'Report Entry'!B26:B207,'Validations List'!A108)</f>
        <v>0</v>
      </c>
      <c r="G44" s="44">
        <f>COUNTIFS('Custom Test Script'!B2:B200,"*"&amp;'Findings Breakdown'!A44&amp;"*",'Custom Test Script'!D2:D200,'Validations List'!A109)+COUNTIFS('Report Entry'!D26:D207,"*"&amp;'Findings Breakdown'!A44&amp;"*",'Report Entry'!B26:B207,'Validations List'!A109)</f>
        <v>0</v>
      </c>
      <c r="H44" s="93" t="str" cm="1">
        <f t="array" ref="H44">INDEX('Validations List'!A120:D120,SUMPRODUCT(MAX(('Validations List'!A120:D143='Findings Breakdown'!A44)*(COLUMN('Validations List'!A120:D143))))-COLUMN('Validations List'!A120)+1)</f>
        <v>Standard</v>
      </c>
      <c r="I44" s="76">
        <f>IFERROR(WCAG20results[[#This Row],['# Support w/ Exceptions]]*WCAG20results[[#This Row],[Excepts Value per]]+(WCAG20results[[#This Row],['# Supports]]+WCAG20results[[#This Row],['# Does Not Apply]])*WCAG20results[[#This Row],[Supports Value per]]," ")</f>
        <v>0</v>
      </c>
      <c r="J44" s="76">
        <f>IFERROR('Validations List'!I67*WCAG20results[[#This Row],[Supports Value per]]," ")</f>
        <v>50</v>
      </c>
      <c r="K44" s="44">
        <f>IF(WCAG20results[[#This Row],[Importance by Agency]]='Validations List'!A113,'Validations List'!D113,IF(WCAG20results[[#This Row],[Importance by Agency]]='Validations List'!A114,'Validations List'!D114,IF(WCAG20results[[#This Row],[Importance by Agency]]='Validations List'!A115,'Validations List'!D115,"Not Ranked")))</f>
        <v>50</v>
      </c>
      <c r="L44" s="44">
        <f>IF(WCAG20results[[#This Row],[Importance by Agency]]='Validations List'!A113,'Validations List'!C113,IF(WCAG20results[[#This Row],[Importance by Agency]]='Validations List'!A114,'Validations List'!C114,IF(WCAG20results[[#This Row],[Importance by Agency]]='Validations List'!A115,'Validations List'!C115,"Not Ranked")))</f>
        <v>25</v>
      </c>
      <c r="M44" s="76">
        <f>IFERROR(IFERROR(VLOOKUP(A44,MasterTable[[#All],[WCAG guideline]:[Epilepsy]],6,FALSE)," ")*I44,0)</f>
        <v>0</v>
      </c>
      <c r="N44" s="76">
        <f>IFERROR(IFERROR(VLOOKUP(A44,MasterTable[[#All],[WCAG guideline]:[Epilepsy]],6,FALSE)," ")*J44,0)</f>
        <v>50</v>
      </c>
      <c r="O44" s="77">
        <f>IFERROR(IFERROR(VLOOKUP(A44,MasterTable[[#All],[WCAG guideline]:[Epilepsy]],7,FALSE)," ")*I44,0)</f>
        <v>0</v>
      </c>
      <c r="P44" s="77">
        <f>IFERROR(IFERROR(VLOOKUP(A44,MasterTable[[#All],[WCAG guideline]:[Epilepsy]],7,FALSE)," ")*J44,0)</f>
        <v>0</v>
      </c>
      <c r="Q44" s="77">
        <f>IFERROR(IFERROR(VLOOKUP(A44,MasterTable[[#All],[WCAG guideline]:[Epilepsy]],8,FALSE)," ")*I44,0)</f>
        <v>0</v>
      </c>
      <c r="R44" s="77">
        <f>IFERROR(IFERROR(VLOOKUP(A44,MasterTable[[#All],[WCAG guideline]:[Epilepsy]],8,FALSE)," ")*J44,0)</f>
        <v>0</v>
      </c>
      <c r="S44" s="77">
        <f>IFERROR(IFERROR(VLOOKUP(A44,MasterTable[[#All],[WCAG guideline]:[Epilepsy]],9,FALSE)," ")*I44,0)</f>
        <v>0</v>
      </c>
      <c r="T44" s="77">
        <f>IFERROR(IFERROR(VLOOKUP(A44,MasterTable[[#All],[WCAG guideline]:[Epilepsy]],9,FALSE)," ")*J44,0)</f>
        <v>0</v>
      </c>
      <c r="U44" s="77">
        <f>IFERROR(IFERROR(VLOOKUP(A44,MasterTable[[#All],[WCAG guideline]:[Epilepsy]],10,FALSE)," ")*I44,0)</f>
        <v>0</v>
      </c>
      <c r="V44" s="77">
        <f>IFERROR(IFERROR(VLOOKUP(A44,MasterTable[[#All],[WCAG guideline]:[Epilepsy]],10,FALSE)," ")*J44,0)</f>
        <v>50</v>
      </c>
      <c r="W44" s="77">
        <f>IFERROR(IFERROR(VLOOKUP(A44,MasterTable[[#All],[WCAG guideline]:[Epilepsy]],11,FALSE)," ")*I44,0)</f>
        <v>0</v>
      </c>
      <c r="X44" s="77">
        <f>IFERROR(IFERROR(VLOOKUP(A44,MasterTable[[#All],[WCAG guideline]:[Epilepsy]],11,FALSE)," ")*J44,0)</f>
        <v>50</v>
      </c>
      <c r="Y44" s="77">
        <f>IFERROR(IFERROR(VLOOKUP(A44,MasterTable[[#All],[WCAG guideline]:[Epilepsy]],12,FALSE)," ")*I44,0)</f>
        <v>0</v>
      </c>
      <c r="Z44" s="77">
        <f>IFERROR(IFERROR(VLOOKUP(A44,MasterTable[[#All],[WCAG guideline]:[Epilepsy]],12,FALSE)," ")*J44,0)</f>
        <v>0</v>
      </c>
    </row>
    <row r="45" spans="1:26" ht="45" customHeight="1" x14ac:dyDescent="0.4">
      <c r="A45" s="75" t="s">
        <v>355</v>
      </c>
      <c r="B45" s="44" t="str">
        <f>IFERROR(VLOOKUP(A45,MasterTable[[#All],[WCAG guideline]:[2.2 Level]],4,FALSE), "Not found")</f>
        <v>AA</v>
      </c>
      <c r="C45" s="44">
        <f>COUNTIFS('Custom Test Script'!B2:B200,"*"&amp;'Findings Breakdown'!A45&amp;"*",'Custom Test Script'!D2:D200,'Validations List'!A107)+COUNTIFS('Report Entry'!D26:D207,"*"&amp;'Findings Breakdown'!A45&amp;"*",'Report Entry'!B26:B207,'Validations List'!A107)</f>
        <v>0</v>
      </c>
      <c r="D45" s="44">
        <f>COUNTIFS('Custom Test Script'!B2:B200,"*"&amp;'Findings Breakdown'!A45&amp;"*",'Custom Test Script'!D2:D200,'Validations List'!A106)+COUNTIFS('Report Entry'!D26:D207,"*"&amp;'Findings Breakdown'!A45&amp;"*",'Report Entry'!B26:B207,'Validations List'!A106)</f>
        <v>0</v>
      </c>
      <c r="E45" s="44">
        <f>COUNTIFS('Custom Test Script'!B2:B200,"*"&amp;'Findings Breakdown'!A45&amp;"*",'Custom Test Script'!D2:D200,'Validations List'!A105)+COUNTIFS('Report Entry'!D26:D207,"*"&amp;'Findings Breakdown'!A45&amp;"*",'Report Entry'!B26:B207,'Validations List'!A105)</f>
        <v>0</v>
      </c>
      <c r="F45" s="44">
        <f>COUNTIFS('Custom Test Script'!B2:B200,"*"&amp;'Findings Breakdown'!A45&amp;"*",'Custom Test Script'!D2:D200,'Validations List'!A108)+COUNTIFS('Report Entry'!D26:D207,"*"&amp;'Findings Breakdown'!A45&amp;"*",'Report Entry'!B26:B207,'Validations List'!A108)</f>
        <v>0</v>
      </c>
      <c r="G45" s="44">
        <f>COUNTIFS('Custom Test Script'!B2:B200,"*"&amp;'Findings Breakdown'!A45&amp;"*",'Custom Test Script'!D2:D200,'Validations List'!A109)+COUNTIFS('Report Entry'!D26:D207,"*"&amp;'Findings Breakdown'!A45&amp;"*",'Report Entry'!B26:B207,'Validations List'!A109)</f>
        <v>0</v>
      </c>
      <c r="H45" s="93" t="str" cm="1">
        <f t="array" ref="H45">INDEX('Validations List'!A120:D120,SUMPRODUCT(MAX(('Validations List'!A120:D143='Findings Breakdown'!A45)*(COLUMN('Validations List'!A120:D143))))-COLUMN('Validations List'!A120)+1)</f>
        <v>Standard</v>
      </c>
      <c r="I45" s="76">
        <f>IFERROR(WCAG20results[[#This Row],['# Support w/ Exceptions]]*WCAG20results[[#This Row],[Excepts Value per]]+(WCAG20results[[#This Row],['# Supports]]+WCAG20results[[#This Row],['# Does Not Apply]])*WCAG20results[[#This Row],[Supports Value per]]," ")</f>
        <v>0</v>
      </c>
      <c r="J45" s="76">
        <f>IFERROR('Validations List'!I68*WCAG20results[[#This Row],[Supports Value per]]," ")</f>
        <v>50</v>
      </c>
      <c r="K45" s="44">
        <f>IF(WCAG20results[[#This Row],[Importance by Agency]]='Validations List'!A113,'Validations List'!D113,IF(WCAG20results[[#This Row],[Importance by Agency]]='Validations List'!A114,'Validations List'!D114,IF(WCAG20results[[#This Row],[Importance by Agency]]='Validations List'!A115,'Validations List'!D115,"Not Ranked")))</f>
        <v>50</v>
      </c>
      <c r="L45" s="44">
        <f>IF(WCAG20results[[#This Row],[Importance by Agency]]='Validations List'!A113,'Validations List'!C113,IF(WCAG20results[[#This Row],[Importance by Agency]]='Validations List'!A114,'Validations List'!C114,IF(WCAG20results[[#This Row],[Importance by Agency]]='Validations List'!A115,'Validations List'!C115,"Not Ranked")))</f>
        <v>25</v>
      </c>
      <c r="M45" s="76">
        <f>IFERROR(IFERROR(VLOOKUP(A45,MasterTable[[#All],[WCAG guideline]:[Epilepsy]],6,FALSE)," ")*I45,0)</f>
        <v>0</v>
      </c>
      <c r="N45" s="76">
        <f>IFERROR(IFERROR(VLOOKUP(A45,MasterTable[[#All],[WCAG guideline]:[Epilepsy]],6,FALSE)," ")*J45,0)</f>
        <v>50</v>
      </c>
      <c r="O45" s="77">
        <f>IFERROR(IFERROR(VLOOKUP(A45,MasterTable[[#All],[WCAG guideline]:[Epilepsy]],7,FALSE)," ")*I45,0)</f>
        <v>0</v>
      </c>
      <c r="P45" s="77">
        <f>IFERROR(IFERROR(VLOOKUP(A45,MasterTable[[#All],[WCAG guideline]:[Epilepsy]],7,FALSE)," ")*J45,0)</f>
        <v>50</v>
      </c>
      <c r="Q45" s="77">
        <f>IFERROR(IFERROR(VLOOKUP(A45,MasterTable[[#All],[WCAG guideline]:[Epilepsy]],8,FALSE)," ")*I45,0)</f>
        <v>0</v>
      </c>
      <c r="R45" s="77">
        <f>IFERROR(IFERROR(VLOOKUP(A45,MasterTable[[#All],[WCAG guideline]:[Epilepsy]],8,FALSE)," ")*J45,0)</f>
        <v>0</v>
      </c>
      <c r="S45" s="77">
        <f>IFERROR(IFERROR(VLOOKUP(A45,MasterTable[[#All],[WCAG guideline]:[Epilepsy]],9,FALSE)," ")*I45,0)</f>
        <v>0</v>
      </c>
      <c r="T45" s="77">
        <f>IFERROR(IFERROR(VLOOKUP(A45,MasterTable[[#All],[WCAG guideline]:[Epilepsy]],9,FALSE)," ")*J45,0)</f>
        <v>0</v>
      </c>
      <c r="U45" s="77">
        <f>IFERROR(IFERROR(VLOOKUP(A45,MasterTable[[#All],[WCAG guideline]:[Epilepsy]],10,FALSE)," ")*I45,0)</f>
        <v>0</v>
      </c>
      <c r="V45" s="77">
        <f>IFERROR(IFERROR(VLOOKUP(A45,MasterTable[[#All],[WCAG guideline]:[Epilepsy]],10,FALSE)," ")*J45,0)</f>
        <v>50</v>
      </c>
      <c r="W45" s="77">
        <f>IFERROR(IFERROR(VLOOKUP(A45,MasterTable[[#All],[WCAG guideline]:[Epilepsy]],11,FALSE)," ")*I45,0)</f>
        <v>0</v>
      </c>
      <c r="X45" s="77">
        <f>IFERROR(IFERROR(VLOOKUP(A45,MasterTable[[#All],[WCAG guideline]:[Epilepsy]],11,FALSE)," ")*J45,0)</f>
        <v>50</v>
      </c>
      <c r="Y45" s="77">
        <f>IFERROR(IFERROR(VLOOKUP(A45,MasterTable[[#All],[WCAG guideline]:[Epilepsy]],12,FALSE)," ")*I45,0)</f>
        <v>0</v>
      </c>
      <c r="Z45" s="77">
        <f>IFERROR(IFERROR(VLOOKUP(A45,MasterTable[[#All],[WCAG guideline]:[Epilepsy]],12,FALSE)," ")*J45,0)</f>
        <v>0</v>
      </c>
    </row>
    <row r="46" spans="1:26" ht="45" customHeight="1" x14ac:dyDescent="0.4">
      <c r="A46" s="75" t="s">
        <v>356</v>
      </c>
      <c r="B46" s="44" t="str">
        <f>IFERROR(VLOOKUP(A46,MasterTable[[#All],[WCAG guideline]:[2.2 Level]],4,FALSE), "Not found")</f>
        <v>AAA</v>
      </c>
      <c r="C46" s="44">
        <f>COUNTIFS('Custom Test Script'!B2:B200,"*"&amp;'Findings Breakdown'!A46&amp;"*",'Custom Test Script'!D2:D200,'Validations List'!A107)+COUNTIFS('Report Entry'!D26:D207,"*"&amp;'Findings Breakdown'!A46&amp;"*",'Report Entry'!B26:B207,'Validations List'!A107)</f>
        <v>0</v>
      </c>
      <c r="D46" s="44">
        <f>COUNTIFS('Custom Test Script'!B2:B200,"*"&amp;'Findings Breakdown'!A46&amp;"*",'Custom Test Script'!D2:D200,'Validations List'!A106)+COUNTIFS('Report Entry'!D26:D207,"*"&amp;'Findings Breakdown'!A46&amp;"*",'Report Entry'!B26:B207,'Validations List'!A106)</f>
        <v>0</v>
      </c>
      <c r="E46" s="44">
        <f>COUNTIFS('Custom Test Script'!B2:B200,"*"&amp;'Findings Breakdown'!A46&amp;"*",'Custom Test Script'!D2:D200,'Validations List'!A105)+COUNTIFS('Report Entry'!D26:D207,"*"&amp;'Findings Breakdown'!A46&amp;"*",'Report Entry'!B26:B207,'Validations List'!A105)</f>
        <v>0</v>
      </c>
      <c r="F46" s="44">
        <f>COUNTIFS('Custom Test Script'!B2:B200,"*"&amp;'Findings Breakdown'!A46&amp;"*",'Custom Test Script'!D2:D200,'Validations List'!A108)+COUNTIFS('Report Entry'!D26:D207,"*"&amp;'Findings Breakdown'!A46&amp;"*",'Report Entry'!B26:B207,'Validations List'!A108)</f>
        <v>0</v>
      </c>
      <c r="G46" s="44">
        <f>COUNTIFS('Custom Test Script'!B2:B200,"*"&amp;'Findings Breakdown'!A46&amp;"*",'Custom Test Script'!D2:D200,'Validations List'!A109)+COUNTIFS('Report Entry'!D26:D207,"*"&amp;'Findings Breakdown'!A46&amp;"*",'Report Entry'!B26:B207,'Validations List'!A109)</f>
        <v>0</v>
      </c>
      <c r="H46" s="93" t="str" cm="1">
        <f t="array" ref="H46">INDEX('Validations List'!A120:D120,SUMPRODUCT(MAX(('Validations List'!A120:D143='Findings Breakdown'!A46)*(COLUMN('Validations List'!A120:D143))))-COLUMN('Validations List'!A120)+1)</f>
        <v>Not Ranked</v>
      </c>
      <c r="I46" s="76" t="str">
        <f>IFERROR(WCAG20results[[#This Row],['# Support w/ Exceptions]]*WCAG20results[[#This Row],[Excepts Value per]]+(WCAG20results[[#This Row],['# Supports]]+WCAG20results[[#This Row],['# Does Not Apply]])*WCAG20results[[#This Row],[Supports Value per]]," ")</f>
        <v xml:space="preserve"> </v>
      </c>
      <c r="J46" s="76" t="str">
        <f>IFERROR('Validations List'!I69*WCAG20results[[#This Row],[Supports Value per]]," ")</f>
        <v xml:space="preserve"> </v>
      </c>
      <c r="K46" s="44" t="str">
        <f>IF(WCAG20results[[#This Row],[Importance by Agency]]='Validations List'!A113,'Validations List'!D113,IF(WCAG20results[[#This Row],[Importance by Agency]]='Validations List'!A114,'Validations List'!D114,IF(WCAG20results[[#This Row],[Importance by Agency]]='Validations List'!A115,'Validations List'!D115,"Not Ranked")))</f>
        <v>Not Ranked</v>
      </c>
      <c r="L46" s="44" t="str">
        <f>IF(WCAG20results[[#This Row],[Importance by Agency]]='Validations List'!A113,'Validations List'!C113,IF(WCAG20results[[#This Row],[Importance by Agency]]='Validations List'!A114,'Validations List'!C114,IF(WCAG20results[[#This Row],[Importance by Agency]]='Validations List'!A115,'Validations List'!C115,"Not Ranked")))</f>
        <v>Not Ranked</v>
      </c>
      <c r="M46" s="76">
        <f>IFERROR(IFERROR(VLOOKUP(A46,MasterTable[[#All],[WCAG guideline]:[Epilepsy]],6,FALSE)," ")*I46,0)</f>
        <v>0</v>
      </c>
      <c r="N46" s="76">
        <f>IFERROR(IFERROR(VLOOKUP(A46,MasterTable[[#All],[WCAG guideline]:[Epilepsy]],6,FALSE)," ")*J46,0)</f>
        <v>0</v>
      </c>
      <c r="O46" s="77">
        <f>IFERROR(IFERROR(VLOOKUP(A46,MasterTable[[#All],[WCAG guideline]:[Epilepsy]],7,FALSE)," ")*I46,0)</f>
        <v>0</v>
      </c>
      <c r="P46" s="77">
        <f>IFERROR(IFERROR(VLOOKUP(A46,MasterTable[[#All],[WCAG guideline]:[Epilepsy]],7,FALSE)," ")*J46,0)</f>
        <v>0</v>
      </c>
      <c r="Q46" s="77">
        <f>IFERROR(IFERROR(VLOOKUP(A46,MasterTable[[#All],[WCAG guideline]:[Epilepsy]],8,FALSE)," ")*I46,0)</f>
        <v>0</v>
      </c>
      <c r="R46" s="77">
        <f>IFERROR(IFERROR(VLOOKUP(A46,MasterTable[[#All],[WCAG guideline]:[Epilepsy]],8,FALSE)," ")*J46,0)</f>
        <v>0</v>
      </c>
      <c r="S46" s="77">
        <f>IFERROR(IFERROR(VLOOKUP(A46,MasterTable[[#All],[WCAG guideline]:[Epilepsy]],9,FALSE)," ")*I46,0)</f>
        <v>0</v>
      </c>
      <c r="T46" s="77">
        <f>IFERROR(IFERROR(VLOOKUP(A46,MasterTable[[#All],[WCAG guideline]:[Epilepsy]],9,FALSE)," ")*J46,0)</f>
        <v>0</v>
      </c>
      <c r="U46" s="77">
        <f>IFERROR(IFERROR(VLOOKUP(A46,MasterTable[[#All],[WCAG guideline]:[Epilepsy]],10,FALSE)," ")*I46,0)</f>
        <v>0</v>
      </c>
      <c r="V46" s="77">
        <f>IFERROR(IFERROR(VLOOKUP(A46,MasterTable[[#All],[WCAG guideline]:[Epilepsy]],10,FALSE)," ")*J46,0)</f>
        <v>0</v>
      </c>
      <c r="W46" s="77">
        <f>IFERROR(IFERROR(VLOOKUP(A46,MasterTable[[#All],[WCAG guideline]:[Epilepsy]],11,FALSE)," ")*I46,0)</f>
        <v>0</v>
      </c>
      <c r="X46" s="77">
        <f>IFERROR(IFERROR(VLOOKUP(A46,MasterTable[[#All],[WCAG guideline]:[Epilepsy]],11,FALSE)," ")*J46,0)</f>
        <v>0</v>
      </c>
      <c r="Y46" s="77">
        <f>IFERROR(IFERROR(VLOOKUP(A46,MasterTable[[#All],[WCAG guideline]:[Epilepsy]],12,FALSE)," ")*I46,0)</f>
        <v>0</v>
      </c>
      <c r="Z46" s="77">
        <f>IFERROR(IFERROR(VLOOKUP(A46,MasterTable[[#All],[WCAG guideline]:[Epilepsy]],12,FALSE)," ")*J46,0)</f>
        <v>0</v>
      </c>
    </row>
    <row r="47" spans="1:26" ht="45" customHeight="1" x14ac:dyDescent="0.4">
      <c r="A47" s="75" t="s">
        <v>357</v>
      </c>
      <c r="B47" s="44" t="str">
        <f>IFERROR(VLOOKUP(A47,MasterTable[[#All],[WCAG guideline]:[2.2 Level]],4,FALSE), "Not found")</f>
        <v>AAA</v>
      </c>
      <c r="C47" s="44">
        <f>COUNTIFS('Custom Test Script'!B2:B200,"*"&amp;'Findings Breakdown'!A47&amp;"*",'Custom Test Script'!D2:D200,'Validations List'!A107)+COUNTIFS('Report Entry'!D26:D207,"*"&amp;'Findings Breakdown'!A47&amp;"*",'Report Entry'!B26:B207,'Validations List'!A107)</f>
        <v>0</v>
      </c>
      <c r="D47" s="44">
        <f>COUNTIFS('Custom Test Script'!B2:B200,"*"&amp;'Findings Breakdown'!A47&amp;"*",'Custom Test Script'!D2:D200,'Validations List'!A106)+COUNTIFS('Report Entry'!D26:D207,"*"&amp;'Findings Breakdown'!A47&amp;"*",'Report Entry'!B26:B207,'Validations List'!A106)</f>
        <v>0</v>
      </c>
      <c r="E47" s="44">
        <f>COUNTIFS('Custom Test Script'!B2:B200,"*"&amp;'Findings Breakdown'!A47&amp;"*",'Custom Test Script'!D2:D200,'Validations List'!A105)+COUNTIFS('Report Entry'!D26:D207,"*"&amp;'Findings Breakdown'!A47&amp;"*",'Report Entry'!B26:B207,'Validations List'!A105)</f>
        <v>0</v>
      </c>
      <c r="F47" s="44">
        <f>COUNTIFS('Custom Test Script'!B2:B200,"*"&amp;'Findings Breakdown'!A47&amp;"*",'Custom Test Script'!D2:D200,'Validations List'!A108)+COUNTIFS('Report Entry'!D26:D207,"*"&amp;'Findings Breakdown'!A47&amp;"*",'Report Entry'!B26:B207,'Validations List'!A108)</f>
        <v>0</v>
      </c>
      <c r="G47" s="44">
        <f>COUNTIFS('Custom Test Script'!B2:B200,"*"&amp;'Findings Breakdown'!A47&amp;"*",'Custom Test Script'!D2:D200,'Validations List'!A109)+COUNTIFS('Report Entry'!D26:D207,"*"&amp;'Findings Breakdown'!A47&amp;"*",'Report Entry'!B26:B207,'Validations List'!A109)</f>
        <v>0</v>
      </c>
      <c r="H47" s="93" t="str" cm="1">
        <f t="array" ref="H47">INDEX('Validations List'!A120:D120,SUMPRODUCT(MAX(('Validations List'!A120:D143='Findings Breakdown'!A47)*(COLUMN('Validations List'!A120:D143))))-COLUMN('Validations List'!A120)+1)</f>
        <v>Not Ranked</v>
      </c>
      <c r="I47" s="76" t="str">
        <f>IFERROR(WCAG20results[[#This Row],['# Support w/ Exceptions]]*WCAG20results[[#This Row],[Excepts Value per]]+(WCAG20results[[#This Row],['# Supports]]+WCAG20results[[#This Row],['# Does Not Apply]])*WCAG20results[[#This Row],[Supports Value per]]," ")</f>
        <v xml:space="preserve"> </v>
      </c>
      <c r="J47" s="76" t="str">
        <f>IFERROR('Validations List'!I70*WCAG20results[[#This Row],[Supports Value per]]," ")</f>
        <v xml:space="preserve"> </v>
      </c>
      <c r="K47" s="44" t="str">
        <f>IF(WCAG20results[[#This Row],[Importance by Agency]]='Validations List'!A113,'Validations List'!D113,IF(WCAG20results[[#This Row],[Importance by Agency]]='Validations List'!A114,'Validations List'!D114,IF(WCAG20results[[#This Row],[Importance by Agency]]='Validations List'!A115,'Validations List'!D115,"Not Ranked")))</f>
        <v>Not Ranked</v>
      </c>
      <c r="L47" s="44" t="str">
        <f>IF(WCAG20results[[#This Row],[Importance by Agency]]='Validations List'!A113,'Validations List'!C113,IF(WCAG20results[[#This Row],[Importance by Agency]]='Validations List'!A114,'Validations List'!C114,IF(WCAG20results[[#This Row],[Importance by Agency]]='Validations List'!A115,'Validations List'!C115,"Not Ranked")))</f>
        <v>Not Ranked</v>
      </c>
      <c r="M47" s="76">
        <f>IFERROR(IFERROR(VLOOKUP(A47,MasterTable[[#All],[WCAG guideline]:[Epilepsy]],6,FALSE)," ")*I47,0)</f>
        <v>0</v>
      </c>
      <c r="N47" s="76">
        <f>IFERROR(IFERROR(VLOOKUP(A47,MasterTable[[#All],[WCAG guideline]:[Epilepsy]],6,FALSE)," ")*J47,0)</f>
        <v>0</v>
      </c>
      <c r="O47" s="77">
        <f>IFERROR(IFERROR(VLOOKUP(A47,MasterTable[[#All],[WCAG guideline]:[Epilepsy]],7,FALSE)," ")*I47,0)</f>
        <v>0</v>
      </c>
      <c r="P47" s="77">
        <f>IFERROR(IFERROR(VLOOKUP(A47,MasterTable[[#All],[WCAG guideline]:[Epilepsy]],7,FALSE)," ")*J47,0)</f>
        <v>0</v>
      </c>
      <c r="Q47" s="77">
        <f>IFERROR(IFERROR(VLOOKUP(A47,MasterTable[[#All],[WCAG guideline]:[Epilepsy]],8,FALSE)," ")*I47,0)</f>
        <v>0</v>
      </c>
      <c r="R47" s="77">
        <f>IFERROR(IFERROR(VLOOKUP(A47,MasterTable[[#All],[WCAG guideline]:[Epilepsy]],8,FALSE)," ")*J47,0)</f>
        <v>0</v>
      </c>
      <c r="S47" s="77">
        <f>IFERROR(IFERROR(VLOOKUP(A47,MasterTable[[#All],[WCAG guideline]:[Epilepsy]],9,FALSE)," ")*I47,0)</f>
        <v>0</v>
      </c>
      <c r="T47" s="77">
        <f>IFERROR(IFERROR(VLOOKUP(A47,MasterTable[[#All],[WCAG guideline]:[Epilepsy]],9,FALSE)," ")*J47,0)</f>
        <v>0</v>
      </c>
      <c r="U47" s="77">
        <f>IFERROR(IFERROR(VLOOKUP(A47,MasterTable[[#All],[WCAG guideline]:[Epilepsy]],10,FALSE)," ")*I47,0)</f>
        <v>0</v>
      </c>
      <c r="V47" s="77">
        <f>IFERROR(IFERROR(VLOOKUP(A47,MasterTable[[#All],[WCAG guideline]:[Epilepsy]],10,FALSE)," ")*J47,0)</f>
        <v>0</v>
      </c>
      <c r="W47" s="77">
        <f>IFERROR(IFERROR(VLOOKUP(A47,MasterTable[[#All],[WCAG guideline]:[Epilepsy]],11,FALSE)," ")*I47,0)</f>
        <v>0</v>
      </c>
      <c r="X47" s="77">
        <f>IFERROR(IFERROR(VLOOKUP(A47,MasterTable[[#All],[WCAG guideline]:[Epilepsy]],11,FALSE)," ")*J47,0)</f>
        <v>0</v>
      </c>
      <c r="Y47" s="77">
        <f>IFERROR(IFERROR(VLOOKUP(A47,MasterTable[[#All],[WCAG guideline]:[Epilepsy]],12,FALSE)," ")*I47,0)</f>
        <v>0</v>
      </c>
      <c r="Z47" s="77">
        <f>IFERROR(IFERROR(VLOOKUP(A47,MasterTable[[#All],[WCAG guideline]:[Epilepsy]],12,FALSE)," ")*J47,0)</f>
        <v>0</v>
      </c>
    </row>
    <row r="48" spans="1:26" ht="45" customHeight="1" x14ac:dyDescent="0.4">
      <c r="A48" s="75" t="s">
        <v>358</v>
      </c>
      <c r="B48" s="44" t="str">
        <f>IFERROR(VLOOKUP(A48,MasterTable[[#All],[WCAG guideline]:[2.2 Level]],4,FALSE), "Not found")</f>
        <v>AAA</v>
      </c>
      <c r="C48" s="44">
        <f>COUNTIFS('Custom Test Script'!B2:B200,"*"&amp;'Findings Breakdown'!A48&amp;"*",'Custom Test Script'!D2:D200,'Validations List'!A107)+COUNTIFS('Report Entry'!D26:D207,"*"&amp;'Findings Breakdown'!A48&amp;"*",'Report Entry'!B26:B207,'Validations List'!A107)</f>
        <v>0</v>
      </c>
      <c r="D48" s="44">
        <f>COUNTIFS('Custom Test Script'!B2:B200,"*"&amp;'Findings Breakdown'!A48&amp;"*",'Custom Test Script'!D2:D200,'Validations List'!A106)+COUNTIFS('Report Entry'!D26:D207,"*"&amp;'Findings Breakdown'!A48&amp;"*",'Report Entry'!B26:B207,'Validations List'!A106)</f>
        <v>0</v>
      </c>
      <c r="E48" s="44">
        <f>COUNTIFS('Custom Test Script'!B2:B200,"*"&amp;'Findings Breakdown'!A48&amp;"*",'Custom Test Script'!D2:D200,'Validations List'!A105)+COUNTIFS('Report Entry'!D26:D207,"*"&amp;'Findings Breakdown'!A48&amp;"*",'Report Entry'!B26:B207,'Validations List'!A105)</f>
        <v>0</v>
      </c>
      <c r="F48" s="44">
        <f>COUNTIFS('Custom Test Script'!B2:B200,"*"&amp;'Findings Breakdown'!A48&amp;"*",'Custom Test Script'!D2:D200,'Validations List'!A108)+COUNTIFS('Report Entry'!D26:D207,"*"&amp;'Findings Breakdown'!A48&amp;"*",'Report Entry'!B26:B207,'Validations List'!A108)</f>
        <v>0</v>
      </c>
      <c r="G48" s="44">
        <f>COUNTIFS('Custom Test Script'!B2:B200,"*"&amp;'Findings Breakdown'!A48&amp;"*",'Custom Test Script'!D2:D200,'Validations List'!A109)+COUNTIFS('Report Entry'!D26:D207,"*"&amp;'Findings Breakdown'!A48&amp;"*",'Report Entry'!B26:B207,'Validations List'!A109)</f>
        <v>0</v>
      </c>
      <c r="H48" s="93" t="str" cm="1">
        <f t="array" ref="H48">INDEX('Validations List'!A120:D120,SUMPRODUCT(MAX(('Validations List'!A120:D143='Findings Breakdown'!A48)*(COLUMN('Validations List'!A120:D143))))-COLUMN('Validations List'!A120)+1)</f>
        <v>Not Ranked</v>
      </c>
      <c r="I48" s="76" t="str">
        <f>IFERROR(WCAG20results[[#This Row],['# Support w/ Exceptions]]*WCAG20results[[#This Row],[Excepts Value per]]+(WCAG20results[[#This Row],['# Supports]]+WCAG20results[[#This Row],['# Does Not Apply]])*WCAG20results[[#This Row],[Supports Value per]]," ")</f>
        <v xml:space="preserve"> </v>
      </c>
      <c r="J48" s="76" t="str">
        <f>IFERROR('Validations List'!I71*WCAG20results[[#This Row],[Supports Value per]]," ")</f>
        <v xml:space="preserve"> </v>
      </c>
      <c r="K48" s="44" t="str">
        <f>IF(WCAG20results[[#This Row],[Importance by Agency]]='Validations List'!A113,'Validations List'!D113,IF(WCAG20results[[#This Row],[Importance by Agency]]='Validations List'!A114,'Validations List'!D114,IF(WCAG20results[[#This Row],[Importance by Agency]]='Validations List'!A115,'Validations List'!D115,"Not Ranked")))</f>
        <v>Not Ranked</v>
      </c>
      <c r="L48" s="44" t="str">
        <f>IF(WCAG20results[[#This Row],[Importance by Agency]]='Validations List'!A113,'Validations List'!C113,IF(WCAG20results[[#This Row],[Importance by Agency]]='Validations List'!A114,'Validations List'!C114,IF(WCAG20results[[#This Row],[Importance by Agency]]='Validations List'!A115,'Validations List'!C115,"Not Ranked")))</f>
        <v>Not Ranked</v>
      </c>
      <c r="M48" s="76">
        <f>IFERROR(IFERROR(VLOOKUP(A48,MasterTable[[#All],[WCAG guideline]:[Epilepsy]],6,FALSE)," ")*I48,0)</f>
        <v>0</v>
      </c>
      <c r="N48" s="76">
        <f>IFERROR(IFERROR(VLOOKUP(A48,MasterTable[[#All],[WCAG guideline]:[Epilepsy]],6,FALSE)," ")*J48,0)</f>
        <v>0</v>
      </c>
      <c r="O48" s="77">
        <f>IFERROR(IFERROR(VLOOKUP(A48,MasterTable[[#All],[WCAG guideline]:[Epilepsy]],7,FALSE)," ")*I48,0)</f>
        <v>0</v>
      </c>
      <c r="P48" s="77">
        <f>IFERROR(IFERROR(VLOOKUP(A48,MasterTable[[#All],[WCAG guideline]:[Epilepsy]],7,FALSE)," ")*J48,0)</f>
        <v>0</v>
      </c>
      <c r="Q48" s="77">
        <f>IFERROR(IFERROR(VLOOKUP(A48,MasterTable[[#All],[WCAG guideline]:[Epilepsy]],8,FALSE)," ")*I48,0)</f>
        <v>0</v>
      </c>
      <c r="R48" s="77">
        <f>IFERROR(IFERROR(VLOOKUP(A48,MasterTable[[#All],[WCAG guideline]:[Epilepsy]],8,FALSE)," ")*J48,0)</f>
        <v>0</v>
      </c>
      <c r="S48" s="77">
        <f>IFERROR(IFERROR(VLOOKUP(A48,MasterTable[[#All],[WCAG guideline]:[Epilepsy]],9,FALSE)," ")*I48,0)</f>
        <v>0</v>
      </c>
      <c r="T48" s="77">
        <f>IFERROR(IFERROR(VLOOKUP(A48,MasterTable[[#All],[WCAG guideline]:[Epilepsy]],9,FALSE)," ")*J48,0)</f>
        <v>0</v>
      </c>
      <c r="U48" s="77">
        <f>IFERROR(IFERROR(VLOOKUP(A48,MasterTable[[#All],[WCAG guideline]:[Epilepsy]],10,FALSE)," ")*I48,0)</f>
        <v>0</v>
      </c>
      <c r="V48" s="77">
        <f>IFERROR(IFERROR(VLOOKUP(A48,MasterTable[[#All],[WCAG guideline]:[Epilepsy]],10,FALSE)," ")*J48,0)</f>
        <v>0</v>
      </c>
      <c r="W48" s="77">
        <f>IFERROR(IFERROR(VLOOKUP(A48,MasterTable[[#All],[WCAG guideline]:[Epilepsy]],11,FALSE)," ")*I48,0)</f>
        <v>0</v>
      </c>
      <c r="X48" s="77">
        <f>IFERROR(IFERROR(VLOOKUP(A48,MasterTable[[#All],[WCAG guideline]:[Epilepsy]],11,FALSE)," ")*J48,0)</f>
        <v>0</v>
      </c>
      <c r="Y48" s="77">
        <f>IFERROR(IFERROR(VLOOKUP(A48,MasterTable[[#All],[WCAG guideline]:[Epilepsy]],12,FALSE)," ")*I48,0)</f>
        <v>0</v>
      </c>
      <c r="Z48" s="77">
        <f>IFERROR(IFERROR(VLOOKUP(A48,MasterTable[[#All],[WCAG guideline]:[Epilepsy]],12,FALSE)," ")*J48,0)</f>
        <v>0</v>
      </c>
    </row>
    <row r="49" spans="1:26" ht="45" customHeight="1" x14ac:dyDescent="0.4">
      <c r="A49" s="75" t="s">
        <v>359</v>
      </c>
      <c r="B49" s="44" t="str">
        <f>IFERROR(VLOOKUP(A49,MasterTable[[#All],[WCAG guideline]:[2.2 Level]],4,FALSE), "Not found")</f>
        <v>AAA</v>
      </c>
      <c r="C49" s="44">
        <f>COUNTIFS('Custom Test Script'!B2:B200,"*"&amp;'Findings Breakdown'!A49&amp;"*",'Custom Test Script'!D2:D200,'Validations List'!A107)+COUNTIFS('Report Entry'!D26:D207,"*"&amp;'Findings Breakdown'!A49&amp;"*",'Report Entry'!B26:B207,'Validations List'!A107)</f>
        <v>0</v>
      </c>
      <c r="D49" s="44">
        <f>COUNTIFS('Custom Test Script'!B2:B200,"*"&amp;'Findings Breakdown'!A49&amp;"*",'Custom Test Script'!D2:D200,'Validations List'!A106)+COUNTIFS('Report Entry'!D26:D207,"*"&amp;'Findings Breakdown'!A49&amp;"*",'Report Entry'!B26:B207,'Validations List'!A106)</f>
        <v>0</v>
      </c>
      <c r="E49" s="44">
        <f>COUNTIFS('Custom Test Script'!B2:B200,"*"&amp;'Findings Breakdown'!A49&amp;"*",'Custom Test Script'!D2:D200,'Validations List'!A105)+COUNTIFS('Report Entry'!D26:D207,"*"&amp;'Findings Breakdown'!A49&amp;"*",'Report Entry'!B26:B207,'Validations List'!A105)</f>
        <v>0</v>
      </c>
      <c r="F49" s="44">
        <f>COUNTIFS('Custom Test Script'!B2:B200,"*"&amp;'Findings Breakdown'!A49&amp;"*",'Custom Test Script'!D2:D200,'Validations List'!A108)+COUNTIFS('Report Entry'!D26:D207,"*"&amp;'Findings Breakdown'!A49&amp;"*",'Report Entry'!B26:B207,'Validations List'!A108)</f>
        <v>0</v>
      </c>
      <c r="G49" s="44">
        <f>COUNTIFS('Custom Test Script'!B2:B200,"*"&amp;'Findings Breakdown'!A49&amp;"*",'Custom Test Script'!D2:D200,'Validations List'!A109)+COUNTIFS('Report Entry'!D26:D207,"*"&amp;'Findings Breakdown'!A49&amp;"*",'Report Entry'!B26:B207,'Validations List'!A109)</f>
        <v>0</v>
      </c>
      <c r="H49" s="93" t="str" cm="1">
        <f t="array" ref="H49">INDEX('Validations List'!A120:D120,SUMPRODUCT(MAX(('Validations List'!A120:D143='Findings Breakdown'!A49)*(COLUMN('Validations List'!A120:D143))))-COLUMN('Validations List'!A120)+1)</f>
        <v>Not Ranked</v>
      </c>
      <c r="I49" s="76" t="str">
        <f>IFERROR(WCAG20results[[#This Row],['# Support w/ Exceptions]]*WCAG20results[[#This Row],[Excepts Value per]]+(WCAG20results[[#This Row],['# Supports]]+WCAG20results[[#This Row],['# Does Not Apply]])*WCAG20results[[#This Row],[Supports Value per]]," ")</f>
        <v xml:space="preserve"> </v>
      </c>
      <c r="J49" s="76" t="str">
        <f>IFERROR('Validations List'!I72*WCAG20results[[#This Row],[Supports Value per]]," ")</f>
        <v xml:space="preserve"> </v>
      </c>
      <c r="K49" s="44" t="str">
        <f>IF(WCAG20results[[#This Row],[Importance by Agency]]='Validations List'!A113,'Validations List'!D113,IF(WCAG20results[[#This Row],[Importance by Agency]]='Validations List'!A114,'Validations List'!D114,IF(WCAG20results[[#This Row],[Importance by Agency]]='Validations List'!A115,'Validations List'!D115,"Not Ranked")))</f>
        <v>Not Ranked</v>
      </c>
      <c r="L49" s="44" t="str">
        <f>IF(WCAG20results[[#This Row],[Importance by Agency]]='Validations List'!A113,'Validations List'!C113,IF(WCAG20results[[#This Row],[Importance by Agency]]='Validations List'!A114,'Validations List'!C114,IF(WCAG20results[[#This Row],[Importance by Agency]]='Validations List'!A115,'Validations List'!C115,"Not Ranked")))</f>
        <v>Not Ranked</v>
      </c>
      <c r="M49" s="76">
        <f>IFERROR(IFERROR(VLOOKUP(A49,MasterTable[[#All],[WCAG guideline]:[Epilepsy]],6,FALSE)," ")*I49,0)</f>
        <v>0</v>
      </c>
      <c r="N49" s="76">
        <f>IFERROR(IFERROR(VLOOKUP(A49,MasterTable[[#All],[WCAG guideline]:[Epilepsy]],6,FALSE)," ")*J49,0)</f>
        <v>0</v>
      </c>
      <c r="O49" s="77">
        <f>IFERROR(IFERROR(VLOOKUP(A49,MasterTable[[#All],[WCAG guideline]:[Epilepsy]],7,FALSE)," ")*I49,0)</f>
        <v>0</v>
      </c>
      <c r="P49" s="77">
        <f>IFERROR(IFERROR(VLOOKUP(A49,MasterTable[[#All],[WCAG guideline]:[Epilepsy]],7,FALSE)," ")*J49,0)</f>
        <v>0</v>
      </c>
      <c r="Q49" s="77">
        <f>IFERROR(IFERROR(VLOOKUP(A49,MasterTable[[#All],[WCAG guideline]:[Epilepsy]],8,FALSE)," ")*I49,0)</f>
        <v>0</v>
      </c>
      <c r="R49" s="77">
        <f>IFERROR(IFERROR(VLOOKUP(A49,MasterTable[[#All],[WCAG guideline]:[Epilepsy]],8,FALSE)," ")*J49,0)</f>
        <v>0</v>
      </c>
      <c r="S49" s="77">
        <f>IFERROR(IFERROR(VLOOKUP(A49,MasterTable[[#All],[WCAG guideline]:[Epilepsy]],9,FALSE)," ")*I49,0)</f>
        <v>0</v>
      </c>
      <c r="T49" s="77">
        <f>IFERROR(IFERROR(VLOOKUP(A49,MasterTable[[#All],[WCAG guideline]:[Epilepsy]],9,FALSE)," ")*J49,0)</f>
        <v>0</v>
      </c>
      <c r="U49" s="77">
        <f>IFERROR(IFERROR(VLOOKUP(A49,MasterTable[[#All],[WCAG guideline]:[Epilepsy]],10,FALSE)," ")*I49,0)</f>
        <v>0</v>
      </c>
      <c r="V49" s="77">
        <f>IFERROR(IFERROR(VLOOKUP(A49,MasterTable[[#All],[WCAG guideline]:[Epilepsy]],10,FALSE)," ")*J49,0)</f>
        <v>0</v>
      </c>
      <c r="W49" s="77">
        <f>IFERROR(IFERROR(VLOOKUP(A49,MasterTable[[#All],[WCAG guideline]:[Epilepsy]],11,FALSE)," ")*I49,0)</f>
        <v>0</v>
      </c>
      <c r="X49" s="77">
        <f>IFERROR(IFERROR(VLOOKUP(A49,MasterTable[[#All],[WCAG guideline]:[Epilepsy]],11,FALSE)," ")*J49,0)</f>
        <v>0</v>
      </c>
      <c r="Y49" s="77">
        <f>IFERROR(IFERROR(VLOOKUP(A49,MasterTable[[#All],[WCAG guideline]:[Epilepsy]],12,FALSE)," ")*I49,0)</f>
        <v>0</v>
      </c>
      <c r="Z49" s="77">
        <f>IFERROR(IFERROR(VLOOKUP(A49,MasterTable[[#All],[WCAG guideline]:[Epilepsy]],12,FALSE)," ")*J49,0)</f>
        <v>0</v>
      </c>
    </row>
    <row r="50" spans="1:26" ht="45" customHeight="1" x14ac:dyDescent="0.4">
      <c r="A50" s="75" t="s">
        <v>360</v>
      </c>
      <c r="B50" s="44" t="str">
        <f>IFERROR(VLOOKUP(A50,MasterTable[[#All],[WCAG guideline]:[2.2 Level]],4,FALSE), "Not found")</f>
        <v>A</v>
      </c>
      <c r="C50" s="44">
        <f>COUNTIFS('Custom Test Script'!B2:B200,"*"&amp;'Findings Breakdown'!A50&amp;"*",'Custom Test Script'!D2:D200,'Validations List'!A107)+COUNTIFS('Report Entry'!D26:D207,"*"&amp;'Findings Breakdown'!A50&amp;"*",'Report Entry'!B26:B207,'Validations List'!A107)</f>
        <v>0</v>
      </c>
      <c r="D50" s="44">
        <f>COUNTIFS('Custom Test Script'!B2:B200,"*"&amp;'Findings Breakdown'!A50&amp;"*",'Custom Test Script'!D2:D200,'Validations List'!A106)+COUNTIFS('Report Entry'!D26:D207,"*"&amp;'Findings Breakdown'!A50&amp;"*",'Report Entry'!B26:B207,'Validations List'!A106)</f>
        <v>0</v>
      </c>
      <c r="E50" s="44">
        <f>COUNTIFS('Custom Test Script'!B2:B200,"*"&amp;'Findings Breakdown'!A50&amp;"*",'Custom Test Script'!D2:D200,'Validations List'!A105)+COUNTIFS('Report Entry'!D26:D207,"*"&amp;'Findings Breakdown'!A50&amp;"*",'Report Entry'!B26:B207,'Validations List'!A105)</f>
        <v>0</v>
      </c>
      <c r="F50" s="44">
        <f>COUNTIFS('Custom Test Script'!B2:B200,"*"&amp;'Findings Breakdown'!A50&amp;"*",'Custom Test Script'!D2:D200,'Validations List'!A108)+COUNTIFS('Report Entry'!D26:D207,"*"&amp;'Findings Breakdown'!A50&amp;"*",'Report Entry'!B26:B207,'Validations List'!A108)</f>
        <v>0</v>
      </c>
      <c r="G50" s="44">
        <f>COUNTIFS('Custom Test Script'!B2:B200,"*"&amp;'Findings Breakdown'!A50&amp;"*",'Custom Test Script'!D2:D200,'Validations List'!A109)+COUNTIFS('Report Entry'!D26:D207,"*"&amp;'Findings Breakdown'!A50&amp;"*",'Report Entry'!B26:B207,'Validations List'!A109)</f>
        <v>0</v>
      </c>
      <c r="H50" s="93" t="str" cm="1">
        <f t="array" ref="H50">INDEX('Validations List'!A120:D120,SUMPRODUCT(MAX(('Validations List'!A120:D143='Findings Breakdown'!A50)*(COLUMN('Validations List'!A120:D143))))-COLUMN('Validations List'!A120)+1)</f>
        <v>Important</v>
      </c>
      <c r="I50" s="76">
        <f>IFERROR(WCAG20results[[#This Row],['# Support w/ Exceptions]]*WCAG20results[[#This Row],[Excepts Value per]]+(WCAG20results[[#This Row],['# Supports]]+WCAG20results[[#This Row],['# Does Not Apply]])*WCAG20results[[#This Row],[Supports Value per]]," ")</f>
        <v>0</v>
      </c>
      <c r="J50" s="76">
        <f>IFERROR('Validations List'!I73*WCAG20results[[#This Row],[Supports Value per]]," ")</f>
        <v>100</v>
      </c>
      <c r="K50" s="44">
        <f>IF(WCAG20results[[#This Row],[Importance by Agency]]='Validations List'!A113,'Validations List'!D113,IF(WCAG20results[[#This Row],[Importance by Agency]]='Validations List'!A114,'Validations List'!D114,IF(WCAG20results[[#This Row],[Importance by Agency]]='Validations List'!A115,'Validations List'!D115,"Not Ranked")))</f>
        <v>100</v>
      </c>
      <c r="L50" s="44">
        <f>IF(WCAG20results[[#This Row],[Importance by Agency]]='Validations List'!A113,'Validations List'!C113,IF(WCAG20results[[#This Row],[Importance by Agency]]='Validations List'!A114,'Validations List'!C114,IF(WCAG20results[[#This Row],[Importance by Agency]]='Validations List'!A115,'Validations List'!C115,"Not Ranked")))</f>
        <v>50</v>
      </c>
      <c r="M50" s="76">
        <f>IFERROR(IFERROR(VLOOKUP(A50,MasterTable[[#All],[WCAG guideline]:[Epilepsy]],6,FALSE)," ")*I50,0)</f>
        <v>0</v>
      </c>
      <c r="N50" s="76">
        <f>IFERROR(IFERROR(VLOOKUP(A50,MasterTable[[#All],[WCAG guideline]:[Epilepsy]],6,FALSE)," ")*J50,0)</f>
        <v>100</v>
      </c>
      <c r="O50" s="77">
        <f>IFERROR(IFERROR(VLOOKUP(A50,MasterTable[[#All],[WCAG guideline]:[Epilepsy]],7,FALSE)," ")*I50,0)</f>
        <v>0</v>
      </c>
      <c r="P50" s="77">
        <f>IFERROR(IFERROR(VLOOKUP(A50,MasterTable[[#All],[WCAG guideline]:[Epilepsy]],7,FALSE)," ")*J50,0)</f>
        <v>100</v>
      </c>
      <c r="Q50" s="77">
        <f>IFERROR(IFERROR(VLOOKUP(A50,MasterTable[[#All],[WCAG guideline]:[Epilepsy]],8,FALSE)," ")*I50,0)</f>
        <v>0</v>
      </c>
      <c r="R50" s="77">
        <f>IFERROR(IFERROR(VLOOKUP(A50,MasterTable[[#All],[WCAG guideline]:[Epilepsy]],8,FALSE)," ")*J50,0)</f>
        <v>0</v>
      </c>
      <c r="S50" s="77">
        <f>IFERROR(IFERROR(VLOOKUP(A50,MasterTable[[#All],[WCAG guideline]:[Epilepsy]],9,FALSE)," ")*I50,0)</f>
        <v>0</v>
      </c>
      <c r="T50" s="77">
        <f>IFERROR(IFERROR(VLOOKUP(A50,MasterTable[[#All],[WCAG guideline]:[Epilepsy]],9,FALSE)," ")*J50,0)</f>
        <v>0</v>
      </c>
      <c r="U50" s="77">
        <f>IFERROR(IFERROR(VLOOKUP(A50,MasterTable[[#All],[WCAG guideline]:[Epilepsy]],10,FALSE)," ")*I50,0)</f>
        <v>0</v>
      </c>
      <c r="V50" s="77">
        <f>IFERROR(IFERROR(VLOOKUP(A50,MasterTable[[#All],[WCAG guideline]:[Epilepsy]],10,FALSE)," ")*J50,0)</f>
        <v>100</v>
      </c>
      <c r="W50" s="77">
        <f>IFERROR(IFERROR(VLOOKUP(A50,MasterTable[[#All],[WCAG guideline]:[Epilepsy]],11,FALSE)," ")*I50,0)</f>
        <v>0</v>
      </c>
      <c r="X50" s="77">
        <f>IFERROR(IFERROR(VLOOKUP(A50,MasterTable[[#All],[WCAG guideline]:[Epilepsy]],11,FALSE)," ")*J50,0)</f>
        <v>100</v>
      </c>
      <c r="Y50" s="77">
        <f>IFERROR(IFERROR(VLOOKUP(A50,MasterTable[[#All],[WCAG guideline]:[Epilepsy]],12,FALSE)," ")*I50,0)</f>
        <v>0</v>
      </c>
      <c r="Z50" s="77">
        <f>IFERROR(IFERROR(VLOOKUP(A50,MasterTable[[#All],[WCAG guideline]:[Epilepsy]],12,FALSE)," ")*J50,0)</f>
        <v>0</v>
      </c>
    </row>
    <row r="51" spans="1:26" ht="45" customHeight="1" x14ac:dyDescent="0.4">
      <c r="A51" s="75" t="s">
        <v>361</v>
      </c>
      <c r="B51" s="44" t="str">
        <f>IFERROR(VLOOKUP(A51,MasterTable[[#All],[WCAG guideline]:[2.2 Level]],4,FALSE), "Not found")</f>
        <v>A</v>
      </c>
      <c r="C51" s="44">
        <f>COUNTIFS('Custom Test Script'!B2:B200,"*"&amp;'Findings Breakdown'!A51&amp;"*",'Custom Test Script'!D2:D200,'Validations List'!A107)+COUNTIFS('Report Entry'!D26:D207,"*"&amp;'Findings Breakdown'!A51&amp;"*",'Report Entry'!B26:B207,'Validations List'!A107)</f>
        <v>0</v>
      </c>
      <c r="D51" s="44">
        <f>COUNTIFS('Custom Test Script'!B2:B200,"*"&amp;'Findings Breakdown'!A51&amp;"*",'Custom Test Script'!D2:D200,'Validations List'!A106)+COUNTIFS('Report Entry'!D26:D207,"*"&amp;'Findings Breakdown'!A51&amp;"*",'Report Entry'!B26:B207,'Validations List'!A106)</f>
        <v>0</v>
      </c>
      <c r="E51" s="44">
        <f>COUNTIFS('Custom Test Script'!B2:B200,"*"&amp;'Findings Breakdown'!A51&amp;"*",'Custom Test Script'!D2:D200,'Validations List'!A105)+COUNTIFS('Report Entry'!D26:D207,"*"&amp;'Findings Breakdown'!A51&amp;"*",'Report Entry'!B26:B207,'Validations List'!A105)</f>
        <v>0</v>
      </c>
      <c r="F51" s="44">
        <f>COUNTIFS('Custom Test Script'!B2:B200,"*"&amp;'Findings Breakdown'!A51&amp;"*",'Custom Test Script'!D2:D200,'Validations List'!A108)+COUNTIFS('Report Entry'!D26:D207,"*"&amp;'Findings Breakdown'!A51&amp;"*",'Report Entry'!B26:B207,'Validations List'!A108)</f>
        <v>0</v>
      </c>
      <c r="G51" s="44">
        <f>COUNTIFS('Custom Test Script'!B2:B200,"*"&amp;'Findings Breakdown'!A51&amp;"*",'Custom Test Script'!D2:D200,'Validations List'!A109)+COUNTIFS('Report Entry'!D26:D207,"*"&amp;'Findings Breakdown'!A51&amp;"*",'Report Entry'!B26:B207,'Validations List'!A109)</f>
        <v>0</v>
      </c>
      <c r="H51" s="93" t="str" cm="1">
        <f t="array" ref="H51">INDEX('Validations List'!A120:D120,SUMPRODUCT(MAX(('Validations List'!A120:D143='Findings Breakdown'!A51)*(COLUMN('Validations List'!A120:D143))))-COLUMN('Validations List'!A120)+1)</f>
        <v>Important</v>
      </c>
      <c r="I51" s="76">
        <f>IFERROR(WCAG20results[[#This Row],['# Support w/ Exceptions]]*WCAG20results[[#This Row],[Excepts Value per]]+(WCAG20results[[#This Row],['# Supports]]+WCAG20results[[#This Row],['# Does Not Apply]])*WCAG20results[[#This Row],[Supports Value per]]," ")</f>
        <v>0</v>
      </c>
      <c r="J51" s="76">
        <f>IFERROR('Validations List'!I74*WCAG20results[[#This Row],[Supports Value per]]," ")</f>
        <v>100</v>
      </c>
      <c r="K51" s="44">
        <f>IF(WCAG20results[[#This Row],[Importance by Agency]]='Validations List'!A113,'Validations List'!D113,IF(WCAG20results[[#This Row],[Importance by Agency]]='Validations List'!A114,'Validations List'!D114,IF(WCAG20results[[#This Row],[Importance by Agency]]='Validations List'!A115,'Validations List'!D115,"Not Ranked")))</f>
        <v>100</v>
      </c>
      <c r="L51" s="44">
        <f>IF(WCAG20results[[#This Row],[Importance by Agency]]='Validations List'!A113,'Validations List'!C113,IF(WCAG20results[[#This Row],[Importance by Agency]]='Validations List'!A114,'Validations List'!C114,IF(WCAG20results[[#This Row],[Importance by Agency]]='Validations List'!A115,'Validations List'!C115,"Not Ranked")))</f>
        <v>50</v>
      </c>
      <c r="M51" s="76">
        <f>IFERROR(IFERROR(VLOOKUP(A51,MasterTable[[#All],[WCAG guideline]:[Epilepsy]],6,FALSE)," ")*I51,0)</f>
        <v>0</v>
      </c>
      <c r="N51" s="76">
        <f>IFERROR(IFERROR(VLOOKUP(A51,MasterTable[[#All],[WCAG guideline]:[Epilepsy]],6,FALSE)," ")*J51,0)</f>
        <v>100</v>
      </c>
      <c r="O51" s="77">
        <f>IFERROR(IFERROR(VLOOKUP(A51,MasterTable[[#All],[WCAG guideline]:[Epilepsy]],7,FALSE)," ")*I51,0)</f>
        <v>0</v>
      </c>
      <c r="P51" s="77">
        <f>IFERROR(IFERROR(VLOOKUP(A51,MasterTable[[#All],[WCAG guideline]:[Epilepsy]],7,FALSE)," ")*J51,0)</f>
        <v>100</v>
      </c>
      <c r="Q51" s="77">
        <f>IFERROR(IFERROR(VLOOKUP(A51,MasterTable[[#All],[WCAG guideline]:[Epilepsy]],8,FALSE)," ")*I51,0)</f>
        <v>0</v>
      </c>
      <c r="R51" s="77">
        <f>IFERROR(IFERROR(VLOOKUP(A51,MasterTable[[#All],[WCAG guideline]:[Epilepsy]],8,FALSE)," ")*J51,0)</f>
        <v>0</v>
      </c>
      <c r="S51" s="77">
        <f>IFERROR(IFERROR(VLOOKUP(A51,MasterTable[[#All],[WCAG guideline]:[Epilepsy]],9,FALSE)," ")*I51,0)</f>
        <v>0</v>
      </c>
      <c r="T51" s="77">
        <f>IFERROR(IFERROR(VLOOKUP(A51,MasterTable[[#All],[WCAG guideline]:[Epilepsy]],9,FALSE)," ")*J51,0)</f>
        <v>0</v>
      </c>
      <c r="U51" s="77">
        <f>IFERROR(IFERROR(VLOOKUP(A51,MasterTable[[#All],[WCAG guideline]:[Epilepsy]],10,FALSE)," ")*I51,0)</f>
        <v>0</v>
      </c>
      <c r="V51" s="77">
        <f>IFERROR(IFERROR(VLOOKUP(A51,MasterTable[[#All],[WCAG guideline]:[Epilepsy]],10,FALSE)," ")*J51,0)</f>
        <v>100</v>
      </c>
      <c r="W51" s="77">
        <f>IFERROR(IFERROR(VLOOKUP(A51,MasterTable[[#All],[WCAG guideline]:[Epilepsy]],11,FALSE)," ")*I51,0)</f>
        <v>0</v>
      </c>
      <c r="X51" s="77">
        <f>IFERROR(IFERROR(VLOOKUP(A51,MasterTable[[#All],[WCAG guideline]:[Epilepsy]],11,FALSE)," ")*J51,0)</f>
        <v>100</v>
      </c>
      <c r="Y51" s="77">
        <f>IFERROR(IFERROR(VLOOKUP(A51,MasterTable[[#All],[WCAG guideline]:[Epilepsy]],12,FALSE)," ")*I51,0)</f>
        <v>0</v>
      </c>
      <c r="Z51" s="77">
        <f>IFERROR(IFERROR(VLOOKUP(A51,MasterTable[[#All],[WCAG guideline]:[Epilepsy]],12,FALSE)," ")*J51,0)</f>
        <v>0</v>
      </c>
    </row>
    <row r="52" spans="1:26" ht="45" customHeight="1" x14ac:dyDescent="0.4">
      <c r="A52" s="75" t="s">
        <v>362</v>
      </c>
      <c r="B52" s="44" t="str">
        <f>IFERROR(VLOOKUP(A52,MasterTable[[#All],[WCAG guideline]:[2.2 Level]],4,FALSE), "Not found")</f>
        <v>AA</v>
      </c>
      <c r="C52" s="44">
        <f>COUNTIFS('Custom Test Script'!B2:B200,"*"&amp;'Findings Breakdown'!A52&amp;"*",'Custom Test Script'!D2:D200,'Validations List'!A107)+COUNTIFS('Report Entry'!D26:D207,"*"&amp;'Findings Breakdown'!A52&amp;"*",'Report Entry'!B26:B207,'Validations List'!A107)</f>
        <v>0</v>
      </c>
      <c r="D52" s="44">
        <f>COUNTIFS('Custom Test Script'!B2:B200,"*"&amp;'Findings Breakdown'!A52&amp;"*",'Custom Test Script'!D2:D200,'Validations List'!A106)+COUNTIFS('Report Entry'!D26:D207,"*"&amp;'Findings Breakdown'!A52&amp;"*",'Report Entry'!B26:B207,'Validations List'!A106)</f>
        <v>0</v>
      </c>
      <c r="E52" s="44">
        <f>COUNTIFS('Custom Test Script'!B2:B200,"*"&amp;'Findings Breakdown'!A52&amp;"*",'Custom Test Script'!D2:D200,'Validations List'!A105)+COUNTIFS('Report Entry'!D26:D207,"*"&amp;'Findings Breakdown'!A52&amp;"*",'Report Entry'!B26:B207,'Validations List'!A105)</f>
        <v>0</v>
      </c>
      <c r="F52" s="44">
        <f>COUNTIFS('Custom Test Script'!B2:B200,"*"&amp;'Findings Breakdown'!A52&amp;"*",'Custom Test Script'!D2:D200,'Validations List'!A108)+COUNTIFS('Report Entry'!D26:D207,"*"&amp;'Findings Breakdown'!A52&amp;"*",'Report Entry'!B26:B207,'Validations List'!A108)</f>
        <v>0</v>
      </c>
      <c r="G52" s="44">
        <f>COUNTIFS('Custom Test Script'!B2:B200,"*"&amp;'Findings Breakdown'!A52&amp;"*",'Custom Test Script'!D2:D200,'Validations List'!A109)+COUNTIFS('Report Entry'!D26:D207,"*"&amp;'Findings Breakdown'!A52&amp;"*",'Report Entry'!B26:B207,'Validations List'!A109)</f>
        <v>0</v>
      </c>
      <c r="H52" s="93" t="str" cm="1">
        <f t="array" ref="H52">INDEX('Validations List'!A120:D120,SUMPRODUCT(MAX(('Validations List'!A120:D143='Findings Breakdown'!A52)*(COLUMN('Validations List'!A120:D143))))-COLUMN('Validations List'!A120)+1)</f>
        <v>Standard</v>
      </c>
      <c r="I52" s="76">
        <f>IFERROR(WCAG20results[[#This Row],['# Support w/ Exceptions]]*WCAG20results[[#This Row],[Excepts Value per]]+(WCAG20results[[#This Row],['# Supports]]+WCAG20results[[#This Row],['# Does Not Apply]])*WCAG20results[[#This Row],[Supports Value per]]," ")</f>
        <v>0</v>
      </c>
      <c r="J52" s="76">
        <f>IFERROR('Validations List'!I75*WCAG20results[[#This Row],[Supports Value per]]," ")</f>
        <v>50</v>
      </c>
      <c r="K52" s="44">
        <f>IF(WCAG20results[[#This Row],[Importance by Agency]]='Validations List'!A113,'Validations List'!D113,IF(WCAG20results[[#This Row],[Importance by Agency]]='Validations List'!A114,'Validations List'!D114,IF(WCAG20results[[#This Row],[Importance by Agency]]='Validations List'!A115,'Validations List'!D115,"Not Ranked")))</f>
        <v>50</v>
      </c>
      <c r="L52" s="44">
        <f>IF(WCAG20results[[#This Row],[Importance by Agency]]='Validations List'!A113,'Validations List'!C113,IF(WCAG20results[[#This Row],[Importance by Agency]]='Validations List'!A114,'Validations List'!C114,IF(WCAG20results[[#This Row],[Importance by Agency]]='Validations List'!A115,'Validations List'!C115,"Not Ranked")))</f>
        <v>25</v>
      </c>
      <c r="M52" s="76">
        <f>IFERROR(IFERROR(VLOOKUP(A52,MasterTable[[#All],[WCAG guideline]:[Epilepsy]],6,FALSE)," ")*I52,0)</f>
        <v>0</v>
      </c>
      <c r="N52" s="76">
        <f>IFERROR(IFERROR(VLOOKUP(A52,MasterTable[[#All],[WCAG guideline]:[Epilepsy]],6,FALSE)," ")*J52,0)</f>
        <v>50</v>
      </c>
      <c r="O52" s="77">
        <f>IFERROR(IFERROR(VLOOKUP(A52,MasterTable[[#All],[WCAG guideline]:[Epilepsy]],7,FALSE)," ")*I52,0)</f>
        <v>0</v>
      </c>
      <c r="P52" s="77">
        <f>IFERROR(IFERROR(VLOOKUP(A52,MasterTable[[#All],[WCAG guideline]:[Epilepsy]],7,FALSE)," ")*J52,0)</f>
        <v>50</v>
      </c>
      <c r="Q52" s="77">
        <f>IFERROR(IFERROR(VLOOKUP(A52,MasterTable[[#All],[WCAG guideline]:[Epilepsy]],8,FALSE)," ")*I52,0)</f>
        <v>0</v>
      </c>
      <c r="R52" s="77">
        <f>IFERROR(IFERROR(VLOOKUP(A52,MasterTable[[#All],[WCAG guideline]:[Epilepsy]],8,FALSE)," ")*J52,0)</f>
        <v>50</v>
      </c>
      <c r="S52" s="77">
        <f>IFERROR(IFERROR(VLOOKUP(A52,MasterTable[[#All],[WCAG guideline]:[Epilepsy]],9,FALSE)," ")*I52,0)</f>
        <v>0</v>
      </c>
      <c r="T52" s="77">
        <f>IFERROR(IFERROR(VLOOKUP(A52,MasterTable[[#All],[WCAG guideline]:[Epilepsy]],9,FALSE)," ")*J52,0)</f>
        <v>0</v>
      </c>
      <c r="U52" s="77">
        <f>IFERROR(IFERROR(VLOOKUP(A52,MasterTable[[#All],[WCAG guideline]:[Epilepsy]],10,FALSE)," ")*I52,0)</f>
        <v>0</v>
      </c>
      <c r="V52" s="77">
        <f>IFERROR(IFERROR(VLOOKUP(A52,MasterTable[[#All],[WCAG guideline]:[Epilepsy]],10,FALSE)," ")*J52,0)</f>
        <v>50</v>
      </c>
      <c r="W52" s="77">
        <f>IFERROR(IFERROR(VLOOKUP(A52,MasterTable[[#All],[WCAG guideline]:[Epilepsy]],11,FALSE)," ")*I52,0)</f>
        <v>0</v>
      </c>
      <c r="X52" s="77">
        <f>IFERROR(IFERROR(VLOOKUP(A52,MasterTable[[#All],[WCAG guideline]:[Epilepsy]],11,FALSE)," ")*J52,0)</f>
        <v>50</v>
      </c>
      <c r="Y52" s="77">
        <f>IFERROR(IFERROR(VLOOKUP(A52,MasterTable[[#All],[WCAG guideline]:[Epilepsy]],12,FALSE)," ")*I52,0)</f>
        <v>0</v>
      </c>
      <c r="Z52" s="77">
        <f>IFERROR(IFERROR(VLOOKUP(A52,MasterTable[[#All],[WCAG guideline]:[Epilepsy]],12,FALSE)," ")*J52,0)</f>
        <v>0</v>
      </c>
    </row>
    <row r="53" spans="1:26" ht="45" customHeight="1" x14ac:dyDescent="0.4">
      <c r="A53" s="75" t="s">
        <v>287</v>
      </c>
      <c r="B53" s="44" t="str">
        <f>IFERROR(VLOOKUP(A53,MasterTable[[#All],[WCAG guideline]:[2.2 Level]],4,FALSE), "Not found")</f>
        <v>AA</v>
      </c>
      <c r="C53" s="44">
        <f>COUNTIFS('Custom Test Script'!B2:B200,"*"&amp;'Findings Breakdown'!A53&amp;"*",'Custom Test Script'!D2:D200,'Validations List'!A107)+COUNTIFS('Report Entry'!D26:D207,"*"&amp;'Findings Breakdown'!A53&amp;"*",'Report Entry'!B26:B207,'Validations List'!A107)</f>
        <v>0</v>
      </c>
      <c r="D53" s="44">
        <f>COUNTIFS('Custom Test Script'!B2:B200,"*"&amp;'Findings Breakdown'!A53&amp;"*",'Custom Test Script'!D2:D200,'Validations List'!A106)+COUNTIFS('Report Entry'!D26:D207,"*"&amp;'Findings Breakdown'!A53&amp;"*",'Report Entry'!B26:B207,'Validations List'!A106)</f>
        <v>0</v>
      </c>
      <c r="E53" s="44">
        <f>COUNTIFS('Custom Test Script'!B2:B200,"*"&amp;'Findings Breakdown'!A53&amp;"*",'Custom Test Script'!D2:D200,'Validations List'!A105)+COUNTIFS('Report Entry'!D26:D207,"*"&amp;'Findings Breakdown'!A53&amp;"*",'Report Entry'!B26:B207,'Validations List'!A105)</f>
        <v>0</v>
      </c>
      <c r="F53" s="44">
        <f>COUNTIFS('Custom Test Script'!B2:B200,"*"&amp;'Findings Breakdown'!A53&amp;"*",'Custom Test Script'!D2:D200,'Validations List'!A108)+COUNTIFS('Report Entry'!D26:D207,"*"&amp;'Findings Breakdown'!A53&amp;"*",'Report Entry'!B26:B207,'Validations List'!A108)</f>
        <v>0</v>
      </c>
      <c r="G53" s="44">
        <f>COUNTIFS('Custom Test Script'!B2:B200,"*"&amp;'Findings Breakdown'!A53&amp;"*",'Custom Test Script'!D2:D200,'Validations List'!A109)+COUNTIFS('Report Entry'!D26:D207,"*"&amp;'Findings Breakdown'!A53&amp;"*",'Report Entry'!B26:B207,'Validations List'!A109)</f>
        <v>0</v>
      </c>
      <c r="H53" s="93" t="str" cm="1">
        <f t="array" ref="H53">INDEX('Validations List'!A120:D120,SUMPRODUCT(MAX(('Validations List'!A120:D143='Findings Breakdown'!A53)*(COLUMN('Validations List'!A120:D143))))-COLUMN('Validations List'!A120)+1)</f>
        <v>Standard</v>
      </c>
      <c r="I53" s="76">
        <f>IFERROR(WCAG20results[[#This Row],['# Support w/ Exceptions]]*WCAG20results[[#This Row],[Excepts Value per]]+(WCAG20results[[#This Row],['# Supports]]+WCAG20results[[#This Row],['# Does Not Apply]])*WCAG20results[[#This Row],[Supports Value per]]," ")</f>
        <v>0</v>
      </c>
      <c r="J53" s="76">
        <f>IFERROR('Validations List'!I76*WCAG20results[[#This Row],[Supports Value per]]," ")</f>
        <v>100</v>
      </c>
      <c r="K53" s="44">
        <f>IF(WCAG20results[[#This Row],[Importance by Agency]]='Validations List'!A113,'Validations List'!D113,IF(WCAG20results[[#This Row],[Importance by Agency]]='Validations List'!A114,'Validations List'!D114,IF(WCAG20results[[#This Row],[Importance by Agency]]='Validations List'!A115,'Validations List'!D115,"Not Ranked")))</f>
        <v>50</v>
      </c>
      <c r="L53" s="44">
        <f>IF(WCAG20results[[#This Row],[Importance by Agency]]='Validations List'!A113,'Validations List'!C113,IF(WCAG20results[[#This Row],[Importance by Agency]]='Validations List'!A114,'Validations List'!C114,IF(WCAG20results[[#This Row],[Importance by Agency]]='Validations List'!A115,'Validations List'!C115,"Not Ranked")))</f>
        <v>25</v>
      </c>
      <c r="M53" s="76">
        <f>IFERROR(IFERROR(VLOOKUP(A53,MasterTable[[#All],[WCAG guideline]:[Epilepsy]],6,FALSE)," ")*I53,0)</f>
        <v>0</v>
      </c>
      <c r="N53" s="76">
        <f>IFERROR(IFERROR(VLOOKUP(A53,MasterTable[[#All],[WCAG guideline]:[Epilepsy]],6,FALSE)," ")*J53,0)</f>
        <v>100</v>
      </c>
      <c r="O53" s="77">
        <f>IFERROR(IFERROR(VLOOKUP(A53,MasterTable[[#All],[WCAG guideline]:[Epilepsy]],7,FALSE)," ")*I53,0)</f>
        <v>0</v>
      </c>
      <c r="P53" s="77">
        <f>IFERROR(IFERROR(VLOOKUP(A53,MasterTable[[#All],[WCAG guideline]:[Epilepsy]],7,FALSE)," ")*J53,0)</f>
        <v>100</v>
      </c>
      <c r="Q53" s="77">
        <f>IFERROR(IFERROR(VLOOKUP(A53,MasterTable[[#All],[WCAG guideline]:[Epilepsy]],8,FALSE)," ")*I53,0)</f>
        <v>0</v>
      </c>
      <c r="R53" s="77">
        <f>IFERROR(IFERROR(VLOOKUP(A53,MasterTable[[#All],[WCAG guideline]:[Epilepsy]],8,FALSE)," ")*J53,0)</f>
        <v>100</v>
      </c>
      <c r="S53" s="77">
        <f>IFERROR(IFERROR(VLOOKUP(A53,MasterTable[[#All],[WCAG guideline]:[Epilepsy]],9,FALSE)," ")*I53,0)</f>
        <v>0</v>
      </c>
      <c r="T53" s="77">
        <f>IFERROR(IFERROR(VLOOKUP(A53,MasterTable[[#All],[WCAG guideline]:[Epilepsy]],9,FALSE)," ")*J53,0)</f>
        <v>0</v>
      </c>
      <c r="U53" s="77">
        <f>IFERROR(IFERROR(VLOOKUP(A53,MasterTable[[#All],[WCAG guideline]:[Epilepsy]],10,FALSE)," ")*I53,0)</f>
        <v>0</v>
      </c>
      <c r="V53" s="77">
        <f>IFERROR(IFERROR(VLOOKUP(A53,MasterTable[[#All],[WCAG guideline]:[Epilepsy]],10,FALSE)," ")*J53,0)</f>
        <v>100</v>
      </c>
      <c r="W53" s="77">
        <f>IFERROR(IFERROR(VLOOKUP(A53,MasterTable[[#All],[WCAG guideline]:[Epilepsy]],11,FALSE)," ")*I53,0)</f>
        <v>0</v>
      </c>
      <c r="X53" s="77">
        <f>IFERROR(IFERROR(VLOOKUP(A53,MasterTable[[#All],[WCAG guideline]:[Epilepsy]],11,FALSE)," ")*J53,0)</f>
        <v>100</v>
      </c>
      <c r="Y53" s="77">
        <f>IFERROR(IFERROR(VLOOKUP(A53,MasterTable[[#All],[WCAG guideline]:[Epilepsy]],12,FALSE)," ")*I53,0)</f>
        <v>0</v>
      </c>
      <c r="Z53" s="77">
        <f>IFERROR(IFERROR(VLOOKUP(A53,MasterTable[[#All],[WCAG guideline]:[Epilepsy]],12,FALSE)," ")*J53,0)</f>
        <v>0</v>
      </c>
    </row>
    <row r="54" spans="1:26" ht="45" customHeight="1" x14ac:dyDescent="0.4">
      <c r="A54" s="75" t="s">
        <v>363</v>
      </c>
      <c r="B54" s="44" t="str">
        <f>IFERROR(VLOOKUP(A54,MasterTable[[#All],[WCAG guideline]:[2.2 Level]],4,FALSE), "Not found")</f>
        <v>AAA</v>
      </c>
      <c r="C54" s="44">
        <f>COUNTIFS('Custom Test Script'!B2:B200,"*"&amp;'Findings Breakdown'!A54&amp;"*",'Custom Test Script'!D2:D200,'Validations List'!A107)+COUNTIFS('Report Entry'!D26:D207,"*"&amp;'Findings Breakdown'!A54&amp;"*",'Report Entry'!B26:B207,'Validations List'!A107)</f>
        <v>0</v>
      </c>
      <c r="D54" s="44">
        <f>COUNTIFS('Custom Test Script'!B2:B200,"*"&amp;'Findings Breakdown'!A54&amp;"*",'Custom Test Script'!D2:D200,'Validations List'!A106)+COUNTIFS('Report Entry'!D26:D207,"*"&amp;'Findings Breakdown'!A54&amp;"*",'Report Entry'!B26:B207,'Validations List'!A106)</f>
        <v>0</v>
      </c>
      <c r="E54" s="44">
        <f>COUNTIFS('Custom Test Script'!B2:B200,"*"&amp;'Findings Breakdown'!A54&amp;"*",'Custom Test Script'!D2:D200,'Validations List'!A105)+COUNTIFS('Report Entry'!D26:D207,"*"&amp;'Findings Breakdown'!A54&amp;"*",'Report Entry'!B26:B207,'Validations List'!A105)</f>
        <v>0</v>
      </c>
      <c r="F54" s="44">
        <f>COUNTIFS('Custom Test Script'!B2:B200,"*"&amp;'Findings Breakdown'!A54&amp;"*",'Custom Test Script'!D2:D200,'Validations List'!A108)+COUNTIFS('Report Entry'!D26:D207,"*"&amp;'Findings Breakdown'!A54&amp;"*",'Report Entry'!B26:B207,'Validations List'!A108)</f>
        <v>0</v>
      </c>
      <c r="G54" s="44">
        <f>COUNTIFS('Custom Test Script'!B2:B200,"*"&amp;'Findings Breakdown'!A54&amp;"*",'Custom Test Script'!D2:D200,'Validations List'!A109)+COUNTIFS('Report Entry'!D26:D207,"*"&amp;'Findings Breakdown'!A54&amp;"*",'Report Entry'!B26:B207,'Validations List'!A109)</f>
        <v>0</v>
      </c>
      <c r="H54" s="93" t="str" cm="1">
        <f t="array" ref="H54">INDEX('Validations List'!A120:D120,SUMPRODUCT(MAX(('Validations List'!A120:D143='Findings Breakdown'!A54)*(COLUMN('Validations List'!A120:D143))))-COLUMN('Validations List'!A120)+1)</f>
        <v>Not Ranked</v>
      </c>
      <c r="I54" s="76" t="str">
        <f>IFERROR(WCAG20results[[#This Row],['# Support w/ Exceptions]]*WCAG20results[[#This Row],[Excepts Value per]]+(WCAG20results[[#This Row],['# Supports]]+WCAG20results[[#This Row],['# Does Not Apply]])*WCAG20results[[#This Row],[Supports Value per]]," ")</f>
        <v xml:space="preserve"> </v>
      </c>
      <c r="J54" s="76" t="str">
        <f>IFERROR('Validations List'!I77*WCAG20results[[#This Row],[Supports Value per]]," ")</f>
        <v xml:space="preserve"> </v>
      </c>
      <c r="K54" s="44" t="str">
        <f>IF(WCAG20results[[#This Row],[Importance by Agency]]='Validations List'!A113,'Validations List'!D113,IF(WCAG20results[[#This Row],[Importance by Agency]]='Validations List'!A114,'Validations List'!D114,IF(WCAG20results[[#This Row],[Importance by Agency]]='Validations List'!A115,'Validations List'!D115,"Not Ranked")))</f>
        <v>Not Ranked</v>
      </c>
      <c r="L54" s="44" t="str">
        <f>IF(WCAG20results[[#This Row],[Importance by Agency]]='Validations List'!A113,'Validations List'!C113,IF(WCAG20results[[#This Row],[Importance by Agency]]='Validations List'!A114,'Validations List'!C114,IF(WCAG20results[[#This Row],[Importance by Agency]]='Validations List'!A115,'Validations List'!C115,"Not Ranked")))</f>
        <v>Not Ranked</v>
      </c>
      <c r="M54" s="76">
        <f>IFERROR(IFERROR(VLOOKUP(A54,MasterTable[[#All],[WCAG guideline]:[Epilepsy]],6,FALSE)," ")*I54,0)</f>
        <v>0</v>
      </c>
      <c r="N54" s="76">
        <f>IFERROR(IFERROR(VLOOKUP(A54,MasterTable[[#All],[WCAG guideline]:[Epilepsy]],6,FALSE)," ")*J54,0)</f>
        <v>0</v>
      </c>
      <c r="O54" s="77">
        <f>IFERROR(IFERROR(VLOOKUP(A54,MasterTable[[#All],[WCAG guideline]:[Epilepsy]],7,FALSE)," ")*I54,0)</f>
        <v>0</v>
      </c>
      <c r="P54" s="77">
        <f>IFERROR(IFERROR(VLOOKUP(A54,MasterTable[[#All],[WCAG guideline]:[Epilepsy]],7,FALSE)," ")*J54,0)</f>
        <v>0</v>
      </c>
      <c r="Q54" s="77">
        <f>IFERROR(IFERROR(VLOOKUP(A54,MasterTable[[#All],[WCAG guideline]:[Epilepsy]],8,FALSE)," ")*I54,0)</f>
        <v>0</v>
      </c>
      <c r="R54" s="77">
        <f>IFERROR(IFERROR(VLOOKUP(A54,MasterTable[[#All],[WCAG guideline]:[Epilepsy]],8,FALSE)," ")*J54,0)</f>
        <v>0</v>
      </c>
      <c r="S54" s="77">
        <f>IFERROR(IFERROR(VLOOKUP(A54,MasterTable[[#All],[WCAG guideline]:[Epilepsy]],9,FALSE)," ")*I54,0)</f>
        <v>0</v>
      </c>
      <c r="T54" s="77">
        <f>IFERROR(IFERROR(VLOOKUP(A54,MasterTable[[#All],[WCAG guideline]:[Epilepsy]],9,FALSE)," ")*J54,0)</f>
        <v>0</v>
      </c>
      <c r="U54" s="77">
        <f>IFERROR(IFERROR(VLOOKUP(A54,MasterTable[[#All],[WCAG guideline]:[Epilepsy]],10,FALSE)," ")*I54,0)</f>
        <v>0</v>
      </c>
      <c r="V54" s="77">
        <f>IFERROR(IFERROR(VLOOKUP(A54,MasterTable[[#All],[WCAG guideline]:[Epilepsy]],10,FALSE)," ")*J54,0)</f>
        <v>0</v>
      </c>
      <c r="W54" s="77">
        <f>IFERROR(IFERROR(VLOOKUP(A54,MasterTable[[#All],[WCAG guideline]:[Epilepsy]],11,FALSE)," ")*I54,0)</f>
        <v>0</v>
      </c>
      <c r="X54" s="77">
        <f>IFERROR(IFERROR(VLOOKUP(A54,MasterTable[[#All],[WCAG guideline]:[Epilepsy]],11,FALSE)," ")*J54,0)</f>
        <v>0</v>
      </c>
      <c r="Y54" s="77">
        <f>IFERROR(IFERROR(VLOOKUP(A54,MasterTable[[#All],[WCAG guideline]:[Epilepsy]],12,FALSE)," ")*I54,0)</f>
        <v>0</v>
      </c>
      <c r="Z54" s="77">
        <f>IFERROR(IFERROR(VLOOKUP(A54,MasterTable[[#All],[WCAG guideline]:[Epilepsy]],12,FALSE)," ")*J54,0)</f>
        <v>0</v>
      </c>
    </row>
    <row r="55" spans="1:26" ht="45" customHeight="1" x14ac:dyDescent="0.4">
      <c r="A55" s="75" t="s">
        <v>364</v>
      </c>
      <c r="B55" s="44" t="str">
        <f>IFERROR(VLOOKUP(A55,MasterTable[[#All],[WCAG guideline]:[2.2 Level]],4,FALSE), "Not found")</f>
        <v>A</v>
      </c>
      <c r="C55" s="44">
        <f>COUNTIFS('Custom Test Script'!B2:B200,"*"&amp;'Findings Breakdown'!A55&amp;"*",'Custom Test Script'!D2:D200,'Validations List'!A107)+COUNTIFS('Report Entry'!D26:D207,"*"&amp;'Findings Breakdown'!A55&amp;"*",'Report Entry'!B26:B207,'Validations List'!A107)</f>
        <v>0</v>
      </c>
      <c r="D55" s="44">
        <f>COUNTIFS('Custom Test Script'!B2:B200,"*"&amp;'Findings Breakdown'!A55&amp;"*",'Custom Test Script'!D2:D200,'Validations List'!A106)+COUNTIFS('Report Entry'!D26:D207,"*"&amp;'Findings Breakdown'!A55&amp;"*",'Report Entry'!B26:B207,'Validations List'!A106)</f>
        <v>0</v>
      </c>
      <c r="E55" s="44">
        <f>COUNTIFS('Custom Test Script'!B2:B200,"*"&amp;'Findings Breakdown'!A55&amp;"*",'Custom Test Script'!D2:D200,'Validations List'!A105)+COUNTIFS('Report Entry'!D26:D207,"*"&amp;'Findings Breakdown'!A55&amp;"*",'Report Entry'!B26:B207,'Validations List'!A105)</f>
        <v>0</v>
      </c>
      <c r="F55" s="44">
        <f>COUNTIFS('Custom Test Script'!B2:B200,"*"&amp;'Findings Breakdown'!A55&amp;"*",'Custom Test Script'!D2:D200,'Validations List'!A108)+COUNTIFS('Report Entry'!D26:D207,"*"&amp;'Findings Breakdown'!A55&amp;"*",'Report Entry'!B26:B207,'Validations List'!A108)</f>
        <v>0</v>
      </c>
      <c r="G55" s="44">
        <f>COUNTIFS('Custom Test Script'!B2:B200,"*"&amp;'Findings Breakdown'!A55&amp;"*",'Custom Test Script'!D2:D200,'Validations List'!A109)+COUNTIFS('Report Entry'!D26:D207,"*"&amp;'Findings Breakdown'!A55&amp;"*",'Report Entry'!B26:B207,'Validations List'!A109)</f>
        <v>0</v>
      </c>
      <c r="H55" s="93" t="str" cm="1">
        <f t="array" ref="H55">INDEX('Validations List'!A120:D120,SUMPRODUCT(MAX(('Validations List'!A120:D143='Findings Breakdown'!A55)*(COLUMN('Validations List'!A120:D143))))-COLUMN('Validations List'!A120)+1)</f>
        <v>Important</v>
      </c>
      <c r="I55" s="76">
        <f>IFERROR(WCAG20results[[#This Row],['# Support w/ Exceptions]]*WCAG20results[[#This Row],[Excepts Value per]]+(WCAG20results[[#This Row],['# Supports]]+WCAG20results[[#This Row],['# Does Not Apply]])*WCAG20results[[#This Row],[Supports Value per]]," ")</f>
        <v>0</v>
      </c>
      <c r="J55" s="76">
        <f>IFERROR('Validations List'!I79*WCAG20results[[#This Row],[Supports Value per]]," ")</f>
        <v>300</v>
      </c>
      <c r="K55" s="44">
        <f>IF(WCAG20results[[#This Row],[Importance by Agency]]='Validations List'!A113,'Validations List'!D113,IF(WCAG20results[[#This Row],[Importance by Agency]]='Validations List'!A114,'Validations List'!D114,IF(WCAG20results[[#This Row],[Importance by Agency]]='Validations List'!A115,'Validations List'!D115,"Not Ranked")))</f>
        <v>100</v>
      </c>
      <c r="L55" s="44">
        <f>IF(WCAG20results[[#This Row],[Importance by Agency]]='Validations List'!A113,'Validations List'!C113,IF(WCAG20results[[#This Row],[Importance by Agency]]='Validations List'!A114,'Validations List'!C114,IF(WCAG20results[[#This Row],[Importance by Agency]]='Validations List'!A115,'Validations List'!C115,"Not Ranked")))</f>
        <v>50</v>
      </c>
      <c r="M55" s="76">
        <f>IFERROR(IFERROR(VLOOKUP(A55,MasterTable[[#All],[WCAG guideline]:[Epilepsy]],6,FALSE)," ")*I55,0)</f>
        <v>0</v>
      </c>
      <c r="N55" s="76">
        <f>IFERROR(IFERROR(VLOOKUP(A55,MasterTable[[#All],[WCAG guideline]:[Epilepsy]],6,FALSE)," ")*J55,0)</f>
        <v>300</v>
      </c>
      <c r="O55" s="77">
        <f>IFERROR(IFERROR(VLOOKUP(A55,MasterTable[[#All],[WCAG guideline]:[Epilepsy]],7,FALSE)," ")*I55,0)</f>
        <v>0</v>
      </c>
      <c r="P55" s="77">
        <f>IFERROR(IFERROR(VLOOKUP(A55,MasterTable[[#All],[WCAG guideline]:[Epilepsy]],7,FALSE)," ")*J55,0)</f>
        <v>300</v>
      </c>
      <c r="Q55" s="77">
        <f>IFERROR(IFERROR(VLOOKUP(A55,MasterTable[[#All],[WCAG guideline]:[Epilepsy]],8,FALSE)," ")*I55,0)</f>
        <v>0</v>
      </c>
      <c r="R55" s="77">
        <f>IFERROR(IFERROR(VLOOKUP(A55,MasterTable[[#All],[WCAG guideline]:[Epilepsy]],8,FALSE)," ")*J55,0)</f>
        <v>300</v>
      </c>
      <c r="S55" s="77">
        <f>IFERROR(IFERROR(VLOOKUP(A55,MasterTable[[#All],[WCAG guideline]:[Epilepsy]],9,FALSE)," ")*I55,0)</f>
        <v>0</v>
      </c>
      <c r="T55" s="77">
        <f>IFERROR(IFERROR(VLOOKUP(A55,MasterTable[[#All],[WCAG guideline]:[Epilepsy]],9,FALSE)," ")*J55,0)</f>
        <v>0</v>
      </c>
      <c r="U55" s="77">
        <f>IFERROR(IFERROR(VLOOKUP(A55,MasterTable[[#All],[WCAG guideline]:[Epilepsy]],10,FALSE)," ")*I55,0)</f>
        <v>0</v>
      </c>
      <c r="V55" s="77">
        <f>IFERROR(IFERROR(VLOOKUP(A55,MasterTable[[#All],[WCAG guideline]:[Epilepsy]],10,FALSE)," ")*J55,0)</f>
        <v>300</v>
      </c>
      <c r="W55" s="77">
        <f>IFERROR(IFERROR(VLOOKUP(A55,MasterTable[[#All],[WCAG guideline]:[Epilepsy]],11,FALSE)," ")*I55,0)</f>
        <v>0</v>
      </c>
      <c r="X55" s="77">
        <f>IFERROR(IFERROR(VLOOKUP(A55,MasterTable[[#All],[WCAG guideline]:[Epilepsy]],11,FALSE)," ")*J55,0)</f>
        <v>300</v>
      </c>
      <c r="Y55" s="77">
        <f>IFERROR(IFERROR(VLOOKUP(A55,MasterTable[[#All],[WCAG guideline]:[Epilepsy]],12,FALSE)," ")*I55,0)</f>
        <v>0</v>
      </c>
      <c r="Z55" s="77">
        <f>IFERROR(IFERROR(VLOOKUP(A55,MasterTable[[#All],[WCAG guideline]:[Epilepsy]],12,FALSE)," ")*J55,0)</f>
        <v>0</v>
      </c>
    </row>
    <row r="56" spans="1:26" ht="45" customHeight="1" x14ac:dyDescent="0.4">
      <c r="A56" s="75" t="s">
        <v>365</v>
      </c>
      <c r="B56" s="44" t="str">
        <f>IFERROR(VLOOKUP(A56,MasterTable[[#All],[WCAG guideline]:[2.2 Level]],4,FALSE), "Not found")</f>
        <v>A</v>
      </c>
      <c r="C56" s="44">
        <f>COUNTIFS('Custom Test Script'!B2:B200,"*"&amp;'Findings Breakdown'!A56&amp;"*",'Custom Test Script'!D2:D200,'Validations List'!A107)+COUNTIFS('Report Entry'!D26:D207,"*"&amp;'Findings Breakdown'!A56&amp;"*",'Report Entry'!B26:B207,'Validations List'!A107)</f>
        <v>0</v>
      </c>
      <c r="D56" s="44">
        <f>COUNTIFS('Custom Test Script'!B2:B200,"*"&amp;'Findings Breakdown'!A56&amp;"*",'Custom Test Script'!D2:D200,'Validations List'!A106)+COUNTIFS('Report Entry'!D26:D207,"*"&amp;'Findings Breakdown'!A56&amp;"*",'Report Entry'!B26:B207,'Validations List'!A106)</f>
        <v>0</v>
      </c>
      <c r="E56" s="44">
        <f>COUNTIFS('Custom Test Script'!B2:B200,"*"&amp;'Findings Breakdown'!A56&amp;"*",'Custom Test Script'!D2:D200,'Validations List'!A105)+COUNTIFS('Report Entry'!D26:D207,"*"&amp;'Findings Breakdown'!A56&amp;"*",'Report Entry'!B26:B207,'Validations List'!A105)</f>
        <v>0</v>
      </c>
      <c r="F56" s="44">
        <f>COUNTIFS('Custom Test Script'!B2:B200,"*"&amp;'Findings Breakdown'!A56&amp;"*",'Custom Test Script'!D2:D200,'Validations List'!A108)+COUNTIFS('Report Entry'!D26:D207,"*"&amp;'Findings Breakdown'!A56&amp;"*",'Report Entry'!B26:B207,'Validations List'!A108)</f>
        <v>0</v>
      </c>
      <c r="G56" s="44">
        <f>COUNTIFS('Custom Test Script'!B2:B200,"*"&amp;'Findings Breakdown'!A56&amp;"*",'Custom Test Script'!D2:D200,'Validations List'!A109)+COUNTIFS('Report Entry'!D26:D207,"*"&amp;'Findings Breakdown'!A56&amp;"*",'Report Entry'!B26:B207,'Validations List'!A109)</f>
        <v>0</v>
      </c>
      <c r="H56" s="93" t="str" cm="1">
        <f t="array" ref="H56">INDEX('Validations List'!A120:D120,SUMPRODUCT(MAX(('Validations List'!A120:D143='Findings Breakdown'!A56)*(COLUMN('Validations List'!A120:D143))))-COLUMN('Validations List'!A120)+1)</f>
        <v>Important</v>
      </c>
      <c r="I56" s="76">
        <f>IFERROR(WCAG20results[[#This Row],['# Support w/ Exceptions]]*WCAG20results[[#This Row],[Excepts Value per]]+(WCAG20results[[#This Row],['# Supports]]+WCAG20results[[#This Row],['# Does Not Apply]])*WCAG20results[[#This Row],[Supports Value per]]," ")</f>
        <v>0</v>
      </c>
      <c r="J56" s="76">
        <f>IFERROR('Validations List'!I80*WCAG20results[[#This Row],[Supports Value per]]," ")</f>
        <v>300</v>
      </c>
      <c r="K56" s="44">
        <f>IF(WCAG20results[[#This Row],[Importance by Agency]]='Validations List'!A113,'Validations List'!D113,IF(WCAG20results[[#This Row],[Importance by Agency]]='Validations List'!A114,'Validations List'!D114,IF(WCAG20results[[#This Row],[Importance by Agency]]='Validations List'!A115,'Validations List'!D115,"Not Ranked")))</f>
        <v>100</v>
      </c>
      <c r="L56" s="44">
        <f>IF(WCAG20results[[#This Row],[Importance by Agency]]='Validations List'!A113,'Validations List'!C113,IF(WCAG20results[[#This Row],[Importance by Agency]]='Validations List'!A114,'Validations List'!C114,IF(WCAG20results[[#This Row],[Importance by Agency]]='Validations List'!A115,'Validations List'!C115,"Not Ranked")))</f>
        <v>50</v>
      </c>
      <c r="M56" s="76">
        <f>IFERROR(IFERROR(VLOOKUP(A56,MasterTable[[#All],[WCAG guideline]:[Epilepsy]],6,FALSE)," ")*I56,0)</f>
        <v>0</v>
      </c>
      <c r="N56" s="76">
        <f>IFERROR(IFERROR(VLOOKUP(A56,MasterTable[[#All],[WCAG guideline]:[Epilepsy]],6,FALSE)," ")*J56,0)</f>
        <v>300</v>
      </c>
      <c r="O56" s="77">
        <f>IFERROR(IFERROR(VLOOKUP(A56,MasterTable[[#All],[WCAG guideline]:[Epilepsy]],7,FALSE)," ")*I56,0)</f>
        <v>0</v>
      </c>
      <c r="P56" s="77">
        <f>IFERROR(IFERROR(VLOOKUP(A56,MasterTable[[#All],[WCAG guideline]:[Epilepsy]],7,FALSE)," ")*J56,0)</f>
        <v>300</v>
      </c>
      <c r="Q56" s="77">
        <f>IFERROR(IFERROR(VLOOKUP(A56,MasterTable[[#All],[WCAG guideline]:[Epilepsy]],8,FALSE)," ")*I56,0)</f>
        <v>0</v>
      </c>
      <c r="R56" s="77">
        <f>IFERROR(IFERROR(VLOOKUP(A56,MasterTable[[#All],[WCAG guideline]:[Epilepsy]],8,FALSE)," ")*J56,0)</f>
        <v>300</v>
      </c>
      <c r="S56" s="77">
        <f>IFERROR(IFERROR(VLOOKUP(A56,MasterTable[[#All],[WCAG guideline]:[Epilepsy]],9,FALSE)," ")*I56,0)</f>
        <v>0</v>
      </c>
      <c r="T56" s="77">
        <f>IFERROR(IFERROR(VLOOKUP(A56,MasterTable[[#All],[WCAG guideline]:[Epilepsy]],9,FALSE)," ")*J56,0)</f>
        <v>0</v>
      </c>
      <c r="U56" s="77">
        <f>IFERROR(IFERROR(VLOOKUP(A56,MasterTable[[#All],[WCAG guideline]:[Epilepsy]],10,FALSE)," ")*I56,0)</f>
        <v>0</v>
      </c>
      <c r="V56" s="77">
        <f>IFERROR(IFERROR(VLOOKUP(A56,MasterTable[[#All],[WCAG guideline]:[Epilepsy]],10,FALSE)," ")*J56,0)</f>
        <v>300</v>
      </c>
      <c r="W56" s="77">
        <f>IFERROR(IFERROR(VLOOKUP(A56,MasterTable[[#All],[WCAG guideline]:[Epilepsy]],11,FALSE)," ")*I56,0)</f>
        <v>0</v>
      </c>
      <c r="X56" s="77">
        <f>IFERROR(IFERROR(VLOOKUP(A56,MasterTable[[#All],[WCAG guideline]:[Epilepsy]],11,FALSE)," ")*J56,0)</f>
        <v>300</v>
      </c>
      <c r="Y56" s="77">
        <f>IFERROR(IFERROR(VLOOKUP(A56,MasterTable[[#All],[WCAG guideline]:[Epilepsy]],12,FALSE)," ")*I56,0)</f>
        <v>0</v>
      </c>
      <c r="Z56" s="77">
        <f>IFERROR(IFERROR(VLOOKUP(A56,MasterTable[[#All],[WCAG guideline]:[Epilepsy]],12,FALSE)," ")*J56,0)</f>
        <v>0</v>
      </c>
    </row>
    <row r="57" spans="1:26" ht="45" customHeight="1" x14ac:dyDescent="0.4">
      <c r="A57" s="75" t="s">
        <v>366</v>
      </c>
      <c r="B57" s="44" t="str">
        <f>IFERROR(VLOOKUP(A57,MasterTable[[#All],[WCAG guideline]:[2.2 Level]],4,FALSE), "Not found")</f>
        <v>AA</v>
      </c>
      <c r="C57" s="44">
        <f>COUNTIFS('Custom Test Script'!B2:B200,"*"&amp;'Findings Breakdown'!A57&amp;"*",'Custom Test Script'!D2:D200,'Validations List'!A107)+COUNTIFS('Report Entry'!D26:D207,"*"&amp;'Findings Breakdown'!A57&amp;"*",'Report Entry'!B26:B207,'Validations List'!A107)</f>
        <v>0</v>
      </c>
      <c r="D57" s="44">
        <f>COUNTIFS('Custom Test Script'!B2:B200,"*"&amp;'Findings Breakdown'!A57&amp;"*",'Custom Test Script'!D2:D200,'Validations List'!A106)+COUNTIFS('Report Entry'!D26:D207,"*"&amp;'Findings Breakdown'!A57&amp;"*",'Report Entry'!B26:B207,'Validations List'!A106)</f>
        <v>0</v>
      </c>
      <c r="E57" s="44">
        <f>COUNTIFS('Custom Test Script'!B2:B200,"*"&amp;'Findings Breakdown'!A57&amp;"*",'Custom Test Script'!D2:D200,'Validations List'!A105)+COUNTIFS('Report Entry'!D26:D207,"*"&amp;'Findings Breakdown'!A57&amp;"*",'Report Entry'!B26:B207,'Validations List'!A105)</f>
        <v>0</v>
      </c>
      <c r="F57" s="44">
        <f>COUNTIFS('Custom Test Script'!B2:B200,"*"&amp;'Findings Breakdown'!A57&amp;"*",'Custom Test Script'!D2:D200,'Validations List'!A108)+COUNTIFS('Report Entry'!D26:D207,"*"&amp;'Findings Breakdown'!A57&amp;"*",'Report Entry'!B26:B207,'Validations List'!A108)</f>
        <v>0</v>
      </c>
      <c r="G57" s="44">
        <f>COUNTIFS('Custom Test Script'!B2:B200,"*"&amp;'Findings Breakdown'!A57&amp;"*",'Custom Test Script'!D2:D200,'Validations List'!A109)+COUNTIFS('Report Entry'!D26:D207,"*"&amp;'Findings Breakdown'!A57&amp;"*",'Report Entry'!B26:B207,'Validations List'!A109)</f>
        <v>0</v>
      </c>
      <c r="H57" s="93" t="str" cm="1">
        <f t="array" ref="H57">INDEX('Validations List'!A120:D120,SUMPRODUCT(MAX(('Validations List'!A120:D143='Findings Breakdown'!A57)*(COLUMN('Validations List'!A120:D143))))-COLUMN('Validations List'!A120)+1)</f>
        <v>Standard</v>
      </c>
      <c r="I57" s="76">
        <f>IFERROR(WCAG20results[[#This Row],['# Support w/ Exceptions]]*WCAG20results[[#This Row],[Excepts Value per]]+(WCAG20results[[#This Row],['# Supports]]+WCAG20results[[#This Row],['# Does Not Apply]])*WCAG20results[[#This Row],[Supports Value per]]," ")</f>
        <v>0</v>
      </c>
      <c r="J57" s="76">
        <f>IFERROR('Validations List'!I81*WCAG20results[[#This Row],[Supports Value per]]," ")</f>
        <v>100</v>
      </c>
      <c r="K57" s="44">
        <f>IF(WCAG20results[[#This Row],[Importance by Agency]]='Validations List'!A113,'Validations List'!D113,IF(WCAG20results[[#This Row],[Importance by Agency]]='Validations List'!A114,'Validations List'!D114,IF(WCAG20results[[#This Row],[Importance by Agency]]='Validations List'!A115,'Validations List'!D115,"Not Ranked")))</f>
        <v>50</v>
      </c>
      <c r="L57" s="44">
        <f>IF(WCAG20results[[#This Row],[Importance by Agency]]='Validations List'!A113,'Validations List'!C113,IF(WCAG20results[[#This Row],[Importance by Agency]]='Validations List'!A114,'Validations List'!C114,IF(WCAG20results[[#This Row],[Importance by Agency]]='Validations List'!A115,'Validations List'!C115,"Not Ranked")))</f>
        <v>25</v>
      </c>
      <c r="M57" s="76">
        <f>IFERROR(IFERROR(VLOOKUP(A57,MasterTable[[#All],[WCAG guideline]:[Epilepsy]],6,FALSE)," ")*I57,0)</f>
        <v>0</v>
      </c>
      <c r="N57" s="76">
        <f>IFERROR(IFERROR(VLOOKUP(A57,MasterTable[[#All],[WCAG guideline]:[Epilepsy]],6,FALSE)," ")*J57,0)</f>
        <v>100</v>
      </c>
      <c r="O57" s="77">
        <f>IFERROR(IFERROR(VLOOKUP(A57,MasterTable[[#All],[WCAG guideline]:[Epilepsy]],7,FALSE)," ")*I57,0)</f>
        <v>0</v>
      </c>
      <c r="P57" s="77">
        <f>IFERROR(IFERROR(VLOOKUP(A57,MasterTable[[#All],[WCAG guideline]:[Epilepsy]],7,FALSE)," ")*J57,0)</f>
        <v>100</v>
      </c>
      <c r="Q57" s="77">
        <f>IFERROR(IFERROR(VLOOKUP(A57,MasterTable[[#All],[WCAG guideline]:[Epilepsy]],8,FALSE)," ")*I57,0)</f>
        <v>0</v>
      </c>
      <c r="R57" s="77">
        <f>IFERROR(IFERROR(VLOOKUP(A57,MasterTable[[#All],[WCAG guideline]:[Epilepsy]],8,FALSE)," ")*J57,0)</f>
        <v>100</v>
      </c>
      <c r="S57" s="77">
        <f>IFERROR(IFERROR(VLOOKUP(A57,MasterTable[[#All],[WCAG guideline]:[Epilepsy]],9,FALSE)," ")*I57,0)</f>
        <v>0</v>
      </c>
      <c r="T57" s="77">
        <f>IFERROR(IFERROR(VLOOKUP(A57,MasterTable[[#All],[WCAG guideline]:[Epilepsy]],9,FALSE)," ")*J57,0)</f>
        <v>0</v>
      </c>
      <c r="U57" s="77">
        <f>IFERROR(IFERROR(VLOOKUP(A57,MasterTable[[#All],[WCAG guideline]:[Epilepsy]],10,FALSE)," ")*I57,0)</f>
        <v>0</v>
      </c>
      <c r="V57" s="77">
        <f>IFERROR(IFERROR(VLOOKUP(A57,MasterTable[[#All],[WCAG guideline]:[Epilepsy]],10,FALSE)," ")*J57,0)</f>
        <v>100</v>
      </c>
      <c r="W57" s="77">
        <f>IFERROR(IFERROR(VLOOKUP(A57,MasterTable[[#All],[WCAG guideline]:[Epilepsy]],11,FALSE)," ")*I57,0)</f>
        <v>0</v>
      </c>
      <c r="X57" s="77">
        <f>IFERROR(IFERROR(VLOOKUP(A57,MasterTable[[#All],[WCAG guideline]:[Epilepsy]],11,FALSE)," ")*J57,0)</f>
        <v>100</v>
      </c>
      <c r="Y57" s="77">
        <f>IFERROR(IFERROR(VLOOKUP(A57,MasterTable[[#All],[WCAG guideline]:[Epilepsy]],12,FALSE)," ")*I57,0)</f>
        <v>0</v>
      </c>
      <c r="Z57" s="77">
        <f>IFERROR(IFERROR(VLOOKUP(A57,MasterTable[[#All],[WCAG guideline]:[Epilepsy]],12,FALSE)," ")*J57,0)</f>
        <v>0</v>
      </c>
    </row>
    <row r="58" spans="1:26" ht="45" customHeight="1" x14ac:dyDescent="0.4">
      <c r="A58" s="75" t="s">
        <v>367</v>
      </c>
      <c r="B58" s="44" t="str">
        <f>IFERROR(VLOOKUP(A58,MasterTable[[#All],[WCAG guideline]:[2.2 Level]],4,FALSE), "Not found")</f>
        <v>AA</v>
      </c>
      <c r="C58" s="44">
        <f>COUNTIFS('Custom Test Script'!B2:B200,"*"&amp;'Findings Breakdown'!A58&amp;"*",'Custom Test Script'!D2:D200,'Validations List'!A107)+COUNTIFS('Report Entry'!D26:D207,"*"&amp;'Findings Breakdown'!A58&amp;"*",'Report Entry'!B26:B207,'Validations List'!A107)</f>
        <v>0</v>
      </c>
      <c r="D58" s="44">
        <f>COUNTIFS('Custom Test Script'!B2:B200,"*"&amp;'Findings Breakdown'!A58&amp;"*",'Custom Test Script'!D2:D200,'Validations List'!A106)+COUNTIFS('Report Entry'!D26:D207,"*"&amp;'Findings Breakdown'!A58&amp;"*",'Report Entry'!B26:B207,'Validations List'!A106)</f>
        <v>0</v>
      </c>
      <c r="E58" s="44">
        <f>COUNTIFS('Custom Test Script'!B2:B200,"*"&amp;'Findings Breakdown'!A58&amp;"*",'Custom Test Script'!D2:D200,'Validations List'!A105)+COUNTIFS('Report Entry'!D26:D207,"*"&amp;'Findings Breakdown'!A58&amp;"*",'Report Entry'!B26:B207,'Validations List'!A105)</f>
        <v>0</v>
      </c>
      <c r="F58" s="44">
        <f>COUNTIFS('Custom Test Script'!B2:B200,"*"&amp;'Findings Breakdown'!A58&amp;"*",'Custom Test Script'!D2:D200,'Validations List'!A108)+COUNTIFS('Report Entry'!D26:D207,"*"&amp;'Findings Breakdown'!A58&amp;"*",'Report Entry'!B26:B207,'Validations List'!A108)</f>
        <v>0</v>
      </c>
      <c r="G58" s="44">
        <f>COUNTIFS('Custom Test Script'!B2:B200,"*"&amp;'Findings Breakdown'!A58&amp;"*",'Custom Test Script'!D2:D200,'Validations List'!A109)+COUNTIFS('Report Entry'!D26:D207,"*"&amp;'Findings Breakdown'!A58&amp;"*",'Report Entry'!B26:B207,'Validations List'!A109)</f>
        <v>0</v>
      </c>
      <c r="H58" s="93" t="str" cm="1">
        <f t="array" ref="H58">INDEX('Validations List'!A120:D120,SUMPRODUCT(MAX(('Validations List'!A120:D143='Findings Breakdown'!A58)*(COLUMN('Validations List'!A120:D143))))-COLUMN('Validations List'!A120)+1)</f>
        <v>Standard</v>
      </c>
      <c r="I58" s="76">
        <f>IFERROR(WCAG20results[[#This Row],['# Support w/ Exceptions]]*WCAG20results[[#This Row],[Excepts Value per]]+(WCAG20results[[#This Row],['# Supports]]+WCAG20results[[#This Row],['# Does Not Apply]])*WCAG20results[[#This Row],[Supports Value per]]," ")</f>
        <v>0</v>
      </c>
      <c r="J58" s="76">
        <f>IFERROR('Validations List'!I82*WCAG20results[[#This Row],[Supports Value per]]," ")</f>
        <v>50</v>
      </c>
      <c r="K58" s="44">
        <f>IF(WCAG20results[[#This Row],[Importance by Agency]]='Validations List'!A113,'Validations List'!D113,IF(WCAG20results[[#This Row],[Importance by Agency]]='Validations List'!A114,'Validations List'!D114,IF(WCAG20results[[#This Row],[Importance by Agency]]='Validations List'!A115,'Validations List'!D115,"Not Ranked")))</f>
        <v>50</v>
      </c>
      <c r="L58" s="44">
        <f>IF(WCAG20results[[#This Row],[Importance by Agency]]='Validations List'!A113,'Validations List'!C113,IF(WCAG20results[[#This Row],[Importance by Agency]]='Validations List'!A114,'Validations List'!C114,IF(WCAG20results[[#This Row],[Importance by Agency]]='Validations List'!A115,'Validations List'!C115,"Not Ranked")))</f>
        <v>25</v>
      </c>
      <c r="M58" s="76">
        <f>IFERROR(IFERROR(VLOOKUP(A58,MasterTable[[#All],[WCAG guideline]:[Epilepsy]],6,FALSE)," ")*I58,0)</f>
        <v>0</v>
      </c>
      <c r="N58" s="76">
        <f>IFERROR(IFERROR(VLOOKUP(A58,MasterTable[[#All],[WCAG guideline]:[Epilepsy]],6,FALSE)," ")*J58,0)</f>
        <v>50</v>
      </c>
      <c r="O58" s="77">
        <f>IFERROR(IFERROR(VLOOKUP(A58,MasterTable[[#All],[WCAG guideline]:[Epilepsy]],7,FALSE)," ")*I58,0)</f>
        <v>0</v>
      </c>
      <c r="P58" s="77">
        <f>IFERROR(IFERROR(VLOOKUP(A58,MasterTable[[#All],[WCAG guideline]:[Epilepsy]],7,FALSE)," ")*J58,0)</f>
        <v>50</v>
      </c>
      <c r="Q58" s="77">
        <f>IFERROR(IFERROR(VLOOKUP(A58,MasterTable[[#All],[WCAG guideline]:[Epilepsy]],8,FALSE)," ")*I58,0)</f>
        <v>0</v>
      </c>
      <c r="R58" s="77">
        <f>IFERROR(IFERROR(VLOOKUP(A58,MasterTable[[#All],[WCAG guideline]:[Epilepsy]],8,FALSE)," ")*J58,0)</f>
        <v>50</v>
      </c>
      <c r="S58" s="77">
        <f>IFERROR(IFERROR(VLOOKUP(A58,MasterTable[[#All],[WCAG guideline]:[Epilepsy]],9,FALSE)," ")*I58,0)</f>
        <v>0</v>
      </c>
      <c r="T58" s="77">
        <f>IFERROR(IFERROR(VLOOKUP(A58,MasterTable[[#All],[WCAG guideline]:[Epilepsy]],9,FALSE)," ")*J58,0)</f>
        <v>0</v>
      </c>
      <c r="U58" s="77">
        <f>IFERROR(IFERROR(VLOOKUP(A58,MasterTable[[#All],[WCAG guideline]:[Epilepsy]],10,FALSE)," ")*I58,0)</f>
        <v>0</v>
      </c>
      <c r="V58" s="77">
        <f>IFERROR(IFERROR(VLOOKUP(A58,MasterTable[[#All],[WCAG guideline]:[Epilepsy]],10,FALSE)," ")*J58,0)</f>
        <v>50</v>
      </c>
      <c r="W58" s="77">
        <f>IFERROR(IFERROR(VLOOKUP(A58,MasterTable[[#All],[WCAG guideline]:[Epilepsy]],11,FALSE)," ")*I58,0)</f>
        <v>0</v>
      </c>
      <c r="X58" s="77">
        <f>IFERROR(IFERROR(VLOOKUP(A58,MasterTable[[#All],[WCAG guideline]:[Epilepsy]],11,FALSE)," ")*J58,0)</f>
        <v>50</v>
      </c>
      <c r="Y58" s="77">
        <f>IFERROR(IFERROR(VLOOKUP(A58,MasterTable[[#All],[WCAG guideline]:[Epilepsy]],12,FALSE)," ")*I58,0)</f>
        <v>0</v>
      </c>
      <c r="Z58" s="77">
        <f>IFERROR(IFERROR(VLOOKUP(A58,MasterTable[[#All],[WCAG guideline]:[Epilepsy]],12,FALSE)," ")*J58,0)</f>
        <v>0</v>
      </c>
    </row>
    <row r="59" spans="1:26" ht="43.5" customHeight="1" x14ac:dyDescent="0.4">
      <c r="A59" s="75" t="s">
        <v>368</v>
      </c>
      <c r="B59" s="44" t="str">
        <f>IFERROR(VLOOKUP(A59,MasterTable[[#All],[WCAG guideline]:[2.2 Level]],4,FALSE), "Not found")</f>
        <v>AAA</v>
      </c>
      <c r="C59" s="44">
        <f>COUNTIFS('Custom Test Script'!B2:B200,"*"&amp;'Findings Breakdown'!A59&amp;"*",'Custom Test Script'!D2:D200,'Validations List'!A107)+COUNTIFS('Report Entry'!D26:D207,"*"&amp;'Findings Breakdown'!A59&amp;"*",'Report Entry'!B26:B207,'Validations List'!A107)</f>
        <v>0</v>
      </c>
      <c r="D59" s="44">
        <f>COUNTIFS('Custom Test Script'!B2:B200,"*"&amp;'Findings Breakdown'!A59&amp;"*",'Custom Test Script'!D2:D200,'Validations List'!A106)+COUNTIFS('Report Entry'!D26:D207,"*"&amp;'Findings Breakdown'!A59&amp;"*",'Report Entry'!B26:B207,'Validations List'!A106)</f>
        <v>0</v>
      </c>
      <c r="E59" s="44">
        <f>COUNTIFS('Custom Test Script'!B2:B200,"*"&amp;'Findings Breakdown'!A59&amp;"*",'Custom Test Script'!D2:D200,'Validations List'!A105)+COUNTIFS('Report Entry'!D26:D207,"*"&amp;'Findings Breakdown'!A59&amp;"*",'Report Entry'!B26:B207,'Validations List'!A105)</f>
        <v>0</v>
      </c>
      <c r="F59" s="44">
        <f>COUNTIFS('Custom Test Script'!B2:B200,"*"&amp;'Findings Breakdown'!A59&amp;"*",'Custom Test Script'!D2:D200,'Validations List'!A108)+COUNTIFS('Report Entry'!D26:D207,"*"&amp;'Findings Breakdown'!A59&amp;"*",'Report Entry'!B26:B207,'Validations List'!A108)</f>
        <v>0</v>
      </c>
      <c r="G59" s="44">
        <f>COUNTIFS('Custom Test Script'!B2:B200,"*"&amp;'Findings Breakdown'!A59&amp;"*",'Custom Test Script'!D2:D200,'Validations List'!A109)+COUNTIFS('Report Entry'!D26:D207,"*"&amp;'Findings Breakdown'!A59&amp;"*",'Report Entry'!B26:B207,'Validations List'!A109)</f>
        <v>0</v>
      </c>
      <c r="H59" s="93" t="str" cm="1">
        <f t="array" ref="H59">INDEX('Validations List'!A120:D120,SUMPRODUCT(MAX(('Validations List'!A120:D143='Findings Breakdown'!A59)*(COLUMN('Validations List'!A120:D143))))-COLUMN('Validations List'!A120)+1)</f>
        <v>Not Ranked</v>
      </c>
      <c r="I59" s="76" t="str">
        <f>IFERROR(WCAG20results[[#This Row],['# Support w/ Exceptions]]*WCAG20results[[#This Row],[Excepts Value per]]+(WCAG20results[[#This Row],['# Supports]]+WCAG20results[[#This Row],['# Does Not Apply]])*WCAG20results[[#This Row],[Supports Value per]]," ")</f>
        <v xml:space="preserve"> </v>
      </c>
      <c r="J59" s="76" t="str">
        <f>IFERROR('Validations List'!I83*WCAG20results[[#This Row],[Supports Value per]]," ")</f>
        <v xml:space="preserve"> </v>
      </c>
      <c r="K59" s="44" t="str">
        <f>IF(WCAG20results[[#This Row],[Importance by Agency]]='Validations List'!A113,'Validations List'!D113,IF(WCAG20results[[#This Row],[Importance by Agency]]='Validations List'!A114,'Validations List'!D114,IF(WCAG20results[[#This Row],[Importance by Agency]]='Validations List'!A115,'Validations List'!D115,"Not Ranked")))</f>
        <v>Not Ranked</v>
      </c>
      <c r="L59" s="44" t="str">
        <f>IF(WCAG20results[[#This Row],[Importance by Agency]]='Validations List'!A113,'Validations List'!C113,IF(WCAG20results[[#This Row],[Importance by Agency]]='Validations List'!A114,'Validations List'!C114,IF(WCAG20results[[#This Row],[Importance by Agency]]='Validations List'!A115,'Validations List'!C115,"Not Ranked")))</f>
        <v>Not Ranked</v>
      </c>
      <c r="M59" s="76">
        <f>IFERROR(IFERROR(VLOOKUP(A59,MasterTable[[#All],[WCAG guideline]:[Epilepsy]],6,FALSE)," ")*I59,0)</f>
        <v>0</v>
      </c>
      <c r="N59" s="76">
        <f>IFERROR(IFERROR(VLOOKUP(A59,MasterTable[[#All],[WCAG guideline]:[Epilepsy]],6,FALSE)," ")*J59,0)</f>
        <v>0</v>
      </c>
      <c r="O59" s="77">
        <f>IFERROR(IFERROR(VLOOKUP(A59,MasterTable[[#All],[WCAG guideline]:[Epilepsy]],7,FALSE)," ")*I59,0)</f>
        <v>0</v>
      </c>
      <c r="P59" s="77">
        <f>IFERROR(IFERROR(VLOOKUP(A59,MasterTable[[#All],[WCAG guideline]:[Epilepsy]],7,FALSE)," ")*J59,0)</f>
        <v>0</v>
      </c>
      <c r="Q59" s="77">
        <f>IFERROR(IFERROR(VLOOKUP(A59,MasterTable[[#All],[WCAG guideline]:[Epilepsy]],8,FALSE)," ")*I59,0)</f>
        <v>0</v>
      </c>
      <c r="R59" s="77">
        <f>IFERROR(IFERROR(VLOOKUP(A59,MasterTable[[#All],[WCAG guideline]:[Epilepsy]],8,FALSE)," ")*J59,0)</f>
        <v>0</v>
      </c>
      <c r="S59" s="77">
        <f>IFERROR(IFERROR(VLOOKUP(A59,MasterTable[[#All],[WCAG guideline]:[Epilepsy]],9,FALSE)," ")*I59,0)</f>
        <v>0</v>
      </c>
      <c r="T59" s="77">
        <f>IFERROR(IFERROR(VLOOKUP(A59,MasterTable[[#All],[WCAG guideline]:[Epilepsy]],9,FALSE)," ")*J59,0)</f>
        <v>0</v>
      </c>
      <c r="U59" s="77">
        <f>IFERROR(IFERROR(VLOOKUP(A59,MasterTable[[#All],[WCAG guideline]:[Epilepsy]],10,FALSE)," ")*I59,0)</f>
        <v>0</v>
      </c>
      <c r="V59" s="77">
        <f>IFERROR(IFERROR(VLOOKUP(A59,MasterTable[[#All],[WCAG guideline]:[Epilepsy]],10,FALSE)," ")*J59,0)</f>
        <v>0</v>
      </c>
      <c r="W59" s="77">
        <f>IFERROR(IFERROR(VLOOKUP(A59,MasterTable[[#All],[WCAG guideline]:[Epilepsy]],11,FALSE)," ")*I59,0)</f>
        <v>0</v>
      </c>
      <c r="X59" s="77">
        <f>IFERROR(IFERROR(VLOOKUP(A59,MasterTable[[#All],[WCAG guideline]:[Epilepsy]],11,FALSE)," ")*J59,0)</f>
        <v>0</v>
      </c>
      <c r="Y59" s="77">
        <f>IFERROR(IFERROR(VLOOKUP(A59,MasterTable[[#All],[WCAG guideline]:[Epilepsy]],12,FALSE)," ")*I59,0)</f>
        <v>0</v>
      </c>
      <c r="Z59" s="77">
        <f>IFERROR(IFERROR(VLOOKUP(A59,MasterTable[[#All],[WCAG guideline]:[Epilepsy]],12,FALSE)," ")*J59,0)</f>
        <v>0</v>
      </c>
    </row>
    <row r="60" spans="1:26" ht="45" customHeight="1" x14ac:dyDescent="0.4">
      <c r="A60" s="75" t="s">
        <v>369</v>
      </c>
      <c r="B60" s="44" t="str">
        <f>IFERROR(VLOOKUP(A60,MasterTable[[#All],[WCAG guideline]:[2.2 Level]],4,FALSE), "Not found")</f>
        <v>AAA</v>
      </c>
      <c r="C60" s="44">
        <f>COUNTIFS('Custom Test Script'!B2:B200,"*"&amp;'Findings Breakdown'!A60&amp;"*",'Custom Test Script'!D2:D200,'Validations List'!A107)+COUNTIFS('Report Entry'!D26:D207,"*"&amp;'Findings Breakdown'!A60&amp;"*",'Report Entry'!B26:B207,'Validations List'!A107)</f>
        <v>0</v>
      </c>
      <c r="D60" s="44">
        <f>COUNTIFS('Custom Test Script'!B2:B200,"*"&amp;'Findings Breakdown'!A60&amp;"*",'Custom Test Script'!D2:D200,'Validations List'!A106)+COUNTIFS('Report Entry'!D26:D207,"*"&amp;'Findings Breakdown'!A60&amp;"*",'Report Entry'!B26:B207,'Validations List'!A106)</f>
        <v>0</v>
      </c>
      <c r="E60" s="44">
        <f>COUNTIFS('Custom Test Script'!B2:B200,"*"&amp;'Findings Breakdown'!A60&amp;"*",'Custom Test Script'!D2:D200,'Validations List'!A105)+COUNTIFS('Report Entry'!D26:D207,"*"&amp;'Findings Breakdown'!A60&amp;"*",'Report Entry'!B26:B207,'Validations List'!A105)</f>
        <v>0</v>
      </c>
      <c r="F60" s="44">
        <f>COUNTIFS('Custom Test Script'!B2:B200,"*"&amp;'Findings Breakdown'!A60&amp;"*",'Custom Test Script'!D2:D200,'Validations List'!A108)+COUNTIFS('Report Entry'!D26:D207,"*"&amp;'Findings Breakdown'!A60&amp;"*",'Report Entry'!B26:B207,'Validations List'!A108)</f>
        <v>0</v>
      </c>
      <c r="G60" s="44">
        <f>COUNTIFS('Custom Test Script'!B2:B200,"*"&amp;'Findings Breakdown'!A60&amp;"*",'Custom Test Script'!D2:D200,'Validations List'!A109)+COUNTIFS('Report Entry'!D26:D207,"*"&amp;'Findings Breakdown'!A60&amp;"*",'Report Entry'!B26:B207,'Validations List'!A109)</f>
        <v>0</v>
      </c>
      <c r="H60" s="93" t="str" cm="1">
        <f t="array" ref="H60">INDEX('Validations List'!A120:D120,SUMPRODUCT(MAX(('Validations List'!A120:D143='Findings Breakdown'!A60)*(COLUMN('Validations List'!A120:D143))))-COLUMN('Validations List'!A120)+1)</f>
        <v>Not Ranked</v>
      </c>
      <c r="I60" s="76" t="str">
        <f>IFERROR(WCAG20results[[#This Row],['# Support w/ Exceptions]]*WCAG20results[[#This Row],[Excepts Value per]]+(WCAG20results[[#This Row],['# Supports]]+WCAG20results[[#This Row],['# Does Not Apply]])*WCAG20results[[#This Row],[Supports Value per]]," ")</f>
        <v xml:space="preserve"> </v>
      </c>
      <c r="J60" s="76" t="str">
        <f>IFERROR('Validations List'!I84*WCAG20results[[#This Row],[Supports Value per]]," ")</f>
        <v xml:space="preserve"> </v>
      </c>
      <c r="K60" s="44" t="str">
        <f>IF(WCAG20results[[#This Row],[Importance by Agency]]='Validations List'!A113,'Validations List'!D113,IF(WCAG20results[[#This Row],[Importance by Agency]]='Validations List'!A114,'Validations List'!D114,IF(WCAG20results[[#This Row],[Importance by Agency]]='Validations List'!A115,'Validations List'!D115,"Not Ranked")))</f>
        <v>Not Ranked</v>
      </c>
      <c r="L60" s="44" t="str">
        <f>IF(WCAG20results[[#This Row],[Importance by Agency]]='Validations List'!A113,'Validations List'!C113,IF(WCAG20results[[#This Row],[Importance by Agency]]='Validations List'!A114,'Validations List'!C114,IF(WCAG20results[[#This Row],[Importance by Agency]]='Validations List'!A115,'Validations List'!C115,"Not Ranked")))</f>
        <v>Not Ranked</v>
      </c>
      <c r="M60" s="76">
        <f>IFERROR(IFERROR(VLOOKUP(A60,MasterTable[[#All],[WCAG guideline]:[Epilepsy]],6,FALSE)," ")*I60,0)</f>
        <v>0</v>
      </c>
      <c r="N60" s="76">
        <f>IFERROR(IFERROR(VLOOKUP(A60,MasterTable[[#All],[WCAG guideline]:[Epilepsy]],6,FALSE)," ")*J60,0)</f>
        <v>0</v>
      </c>
      <c r="O60" s="77">
        <f>IFERROR(IFERROR(VLOOKUP(A60,MasterTable[[#All],[WCAG guideline]:[Epilepsy]],7,FALSE)," ")*I60,0)</f>
        <v>0</v>
      </c>
      <c r="P60" s="77">
        <f>IFERROR(IFERROR(VLOOKUP(A60,MasterTable[[#All],[WCAG guideline]:[Epilepsy]],7,FALSE)," ")*J60,0)</f>
        <v>0</v>
      </c>
      <c r="Q60" s="77">
        <f>IFERROR(IFERROR(VLOOKUP(A60,MasterTable[[#All],[WCAG guideline]:[Epilepsy]],8,FALSE)," ")*I60,0)</f>
        <v>0</v>
      </c>
      <c r="R60" s="77">
        <f>IFERROR(IFERROR(VLOOKUP(A60,MasterTable[[#All],[WCAG guideline]:[Epilepsy]],8,FALSE)," ")*J60,0)</f>
        <v>0</v>
      </c>
      <c r="S60" s="77">
        <f>IFERROR(IFERROR(VLOOKUP(A60,MasterTable[[#All],[WCAG guideline]:[Epilepsy]],9,FALSE)," ")*I60,0)</f>
        <v>0</v>
      </c>
      <c r="T60" s="77">
        <f>IFERROR(IFERROR(VLOOKUP(A60,MasterTable[[#All],[WCAG guideline]:[Epilepsy]],9,FALSE)," ")*J60,0)</f>
        <v>0</v>
      </c>
      <c r="U60" s="77">
        <f>IFERROR(IFERROR(VLOOKUP(A60,MasterTable[[#All],[WCAG guideline]:[Epilepsy]],10,FALSE)," ")*I60,0)</f>
        <v>0</v>
      </c>
      <c r="V60" s="77">
        <f>IFERROR(IFERROR(VLOOKUP(A60,MasterTable[[#All],[WCAG guideline]:[Epilepsy]],10,FALSE)," ")*J60,0)</f>
        <v>0</v>
      </c>
      <c r="W60" s="77">
        <f>IFERROR(IFERROR(VLOOKUP(A60,MasterTable[[#All],[WCAG guideline]:[Epilepsy]],11,FALSE)," ")*I60,0)</f>
        <v>0</v>
      </c>
      <c r="X60" s="77">
        <f>IFERROR(IFERROR(VLOOKUP(A60,MasterTable[[#All],[WCAG guideline]:[Epilepsy]],11,FALSE)," ")*J60,0)</f>
        <v>0</v>
      </c>
      <c r="Y60" s="77">
        <f>IFERROR(IFERROR(VLOOKUP(A60,MasterTable[[#All],[WCAG guideline]:[Epilepsy]],12,FALSE)," ")*I60,0)</f>
        <v>0</v>
      </c>
      <c r="Z60" s="77">
        <f>IFERROR(IFERROR(VLOOKUP(A60,MasterTable[[#All],[WCAG guideline]:[Epilepsy]],12,FALSE)," ")*J60,0)</f>
        <v>0</v>
      </c>
    </row>
    <row r="61" spans="1:26" ht="45" customHeight="1" x14ac:dyDescent="0.4">
      <c r="A61" s="75" t="s">
        <v>370</v>
      </c>
      <c r="B61" s="44" t="str">
        <f>IFERROR(VLOOKUP(A61,MasterTable[[#All],[WCAG guideline]:[2.2 Level]],4,FALSE), "Not found")</f>
        <v>A</v>
      </c>
      <c r="C61" s="44">
        <f>COUNTIFS('Custom Test Script'!B2:B200,"*"&amp;'Findings Breakdown'!A61&amp;"*",'Custom Test Script'!D2:D200,'Validations List'!A107)+COUNTIFS('Report Entry'!D26:D207,"*"&amp;'Findings Breakdown'!A61&amp;"*",'Report Entry'!B26:B207,'Validations List'!A107)</f>
        <v>0</v>
      </c>
      <c r="D61" s="44">
        <f>COUNTIFS('Custom Test Script'!B2:B200,"*"&amp;'Findings Breakdown'!A61&amp;"*",'Custom Test Script'!D2:D200,'Validations List'!A106)+COUNTIFS('Report Entry'!D26:D207,"*"&amp;'Findings Breakdown'!A61&amp;"*",'Report Entry'!B26:B207,'Validations List'!A106)</f>
        <v>0</v>
      </c>
      <c r="E61" s="44">
        <f>COUNTIFS('Custom Test Script'!B2:B200,"*"&amp;'Findings Breakdown'!A61&amp;"*",'Custom Test Script'!D2:D200,'Validations List'!A105)+COUNTIFS('Report Entry'!D26:D207,"*"&amp;'Findings Breakdown'!A61&amp;"*",'Report Entry'!B26:B207,'Validations List'!A105)</f>
        <v>0</v>
      </c>
      <c r="F61" s="44">
        <f>COUNTIFS('Custom Test Script'!B2:B200,"*"&amp;'Findings Breakdown'!A61&amp;"*",'Custom Test Script'!D2:D200,'Validations List'!A108)+COUNTIFS('Report Entry'!D26:D207,"*"&amp;'Findings Breakdown'!A61&amp;"*",'Report Entry'!B26:B207,'Validations List'!A108)</f>
        <v>0</v>
      </c>
      <c r="G61" s="44">
        <f>COUNTIFS('Custom Test Script'!B2:B200,"*"&amp;'Findings Breakdown'!A61&amp;"*",'Custom Test Script'!D2:D200,'Validations List'!A109)+COUNTIFS('Report Entry'!D26:D207,"*"&amp;'Findings Breakdown'!A61&amp;"*",'Report Entry'!B26:B207,'Validations List'!A109)</f>
        <v>0</v>
      </c>
      <c r="H61" s="93" t="str" cm="1">
        <f t="array" ref="H61">INDEX('Validations List'!A120:D120,SUMPRODUCT(MAX(('Validations List'!A120:D143='Findings Breakdown'!A61)*(COLUMN('Validations List'!A120:D143))))-COLUMN('Validations List'!A120)+1)</f>
        <v>Standard</v>
      </c>
      <c r="I61" s="76">
        <f>IFERROR(WCAG20results[[#This Row],['# Support w/ Exceptions]]*WCAG20results[[#This Row],[Excepts Value per]]+(WCAG20results[[#This Row],['# Supports]]+WCAG20results[[#This Row],['# Does Not Apply]])*WCAG20results[[#This Row],[Supports Value per]]," ")</f>
        <v>0</v>
      </c>
      <c r="J61" s="76">
        <f>IFERROR('Validations List'!I88*WCAG20results[[#This Row],[Supports Value per]]," ")</f>
        <v>150</v>
      </c>
      <c r="K61" s="44">
        <f>IF(WCAG20results[[#This Row],[Importance by Agency]]='Validations List'!A113,'Validations List'!D113,IF(WCAG20results[[#This Row],[Importance by Agency]]='Validations List'!A114,'Validations List'!D114,IF(WCAG20results[[#This Row],[Importance by Agency]]='Validations List'!A115,'Validations List'!D115,"Not Ranked")))</f>
        <v>50</v>
      </c>
      <c r="L61" s="44">
        <f>IF(WCAG20results[[#This Row],[Importance by Agency]]='Validations List'!A113,'Validations List'!C113,IF(WCAG20results[[#This Row],[Importance by Agency]]='Validations List'!A114,'Validations List'!C114,IF(WCAG20results[[#This Row],[Importance by Agency]]='Validations List'!A115,'Validations List'!C115,"Not Ranked")))</f>
        <v>25</v>
      </c>
      <c r="M61" s="76">
        <f>IFERROR(IFERROR(VLOOKUP(A61,MasterTable[[#All],[WCAG guideline]:[Epilepsy]],6,FALSE)," ")*I61,0)</f>
        <v>0</v>
      </c>
      <c r="N61" s="76">
        <f>IFERROR(IFERROR(VLOOKUP(A61,MasterTable[[#All],[WCAG guideline]:[Epilepsy]],6,FALSE)," ")*J61,0)</f>
        <v>150</v>
      </c>
      <c r="O61" s="77">
        <f>IFERROR(IFERROR(VLOOKUP(A61,MasterTable[[#All],[WCAG guideline]:[Epilepsy]],7,FALSE)," ")*I61,0)</f>
        <v>0</v>
      </c>
      <c r="P61" s="77">
        <f>IFERROR(IFERROR(VLOOKUP(A61,MasterTable[[#All],[WCAG guideline]:[Epilepsy]],7,FALSE)," ")*J61,0)</f>
        <v>150</v>
      </c>
      <c r="Q61" s="77">
        <f>IFERROR(IFERROR(VLOOKUP(A61,MasterTable[[#All],[WCAG guideline]:[Epilepsy]],8,FALSE)," ")*I61,0)</f>
        <v>0</v>
      </c>
      <c r="R61" s="77">
        <f>IFERROR(IFERROR(VLOOKUP(A61,MasterTable[[#All],[WCAG guideline]:[Epilepsy]],8,FALSE)," ")*J61,0)</f>
        <v>150</v>
      </c>
      <c r="S61" s="77">
        <f>IFERROR(IFERROR(VLOOKUP(A61,MasterTable[[#All],[WCAG guideline]:[Epilepsy]],9,FALSE)," ")*I61,0)</f>
        <v>0</v>
      </c>
      <c r="T61" s="77">
        <f>IFERROR(IFERROR(VLOOKUP(A61,MasterTable[[#All],[WCAG guideline]:[Epilepsy]],9,FALSE)," ")*J61,0)</f>
        <v>150</v>
      </c>
      <c r="U61" s="77">
        <f>IFERROR(IFERROR(VLOOKUP(A61,MasterTable[[#All],[WCAG guideline]:[Epilepsy]],10,FALSE)," ")*I61,0)</f>
        <v>0</v>
      </c>
      <c r="V61" s="77">
        <f>IFERROR(IFERROR(VLOOKUP(A61,MasterTable[[#All],[WCAG guideline]:[Epilepsy]],10,FALSE)," ")*J61,0)</f>
        <v>150</v>
      </c>
      <c r="W61" s="77">
        <f>IFERROR(IFERROR(VLOOKUP(A61,MasterTable[[#All],[WCAG guideline]:[Epilepsy]],11,FALSE)," ")*I61,0)</f>
        <v>0</v>
      </c>
      <c r="X61" s="77">
        <f>IFERROR(IFERROR(VLOOKUP(A61,MasterTable[[#All],[WCAG guideline]:[Epilepsy]],11,FALSE)," ")*J61,0)</f>
        <v>150</v>
      </c>
      <c r="Y61" s="77">
        <f>IFERROR(IFERROR(VLOOKUP(A61,MasterTable[[#All],[WCAG guideline]:[Epilepsy]],12,FALSE)," ")*I61,0)</f>
        <v>0</v>
      </c>
      <c r="Z61" s="77">
        <f>IFERROR(IFERROR(VLOOKUP(A61,MasterTable[[#All],[WCAG guideline]:[Epilepsy]],12,FALSE)," ")*J61,0)</f>
        <v>0</v>
      </c>
    </row>
    <row r="62" spans="1:26" ht="45" customHeight="1" x14ac:dyDescent="0.4">
      <c r="A62" s="78" t="s">
        <v>371</v>
      </c>
      <c r="B62" s="79" t="str">
        <f>IFERROR(VLOOKUP(A62,MasterTable[[#All],[WCAG guideline]:[2.2 Level]],4,FALSE), "Not found")</f>
        <v>A</v>
      </c>
      <c r="C62" s="79">
        <f>COUNTIFS('Custom Test Script'!B2:B200,"*"&amp;'Findings Breakdown'!A62&amp;"*",'Custom Test Script'!D2:D200,'Validations List'!A107)+COUNTIFS('Report Entry'!D26:D207,"*"&amp;'Findings Breakdown'!A62&amp;"*",'Report Entry'!B26:B207,'Validations List'!A107)</f>
        <v>0</v>
      </c>
      <c r="D62" s="79">
        <f>COUNTIFS('Custom Test Script'!B2:B200,"*"&amp;'Findings Breakdown'!A62&amp;"*",'Custom Test Script'!D2:D200,'Validations List'!A106)+COUNTIFS('Report Entry'!D26:D207,"*"&amp;'Findings Breakdown'!A62&amp;"*",'Report Entry'!B26:B207,'Validations List'!A106)</f>
        <v>0</v>
      </c>
      <c r="E62" s="79">
        <f>COUNTIFS('Custom Test Script'!B2:B200,"*"&amp;'Findings Breakdown'!A62&amp;"*",'Custom Test Script'!D2:D200,'Validations List'!A105)+COUNTIFS('Report Entry'!D26:D207,"*"&amp;'Findings Breakdown'!A62&amp;"*",'Report Entry'!B26:B207,'Validations List'!A105)</f>
        <v>0</v>
      </c>
      <c r="F62" s="79">
        <f>COUNTIFS('Custom Test Script'!B2:B200,"*"&amp;'Findings Breakdown'!A62&amp;"*",'Custom Test Script'!D2:D200,'Validations List'!A108)+COUNTIFS('Report Entry'!D26:D207,"*"&amp;'Findings Breakdown'!A62&amp;"*",'Report Entry'!B26:B207,'Validations List'!A108)</f>
        <v>0</v>
      </c>
      <c r="G62" s="79">
        <f>COUNTIFS('Custom Test Script'!B2:B200,"*"&amp;'Findings Breakdown'!A62&amp;"*",'Custom Test Script'!D2:D200,'Validations List'!A109)+COUNTIFS('Report Entry'!D26:D207,"*"&amp;'Findings Breakdown'!A62&amp;"*",'Report Entry'!B26:B207,'Validations List'!A109)</f>
        <v>0</v>
      </c>
      <c r="H62" s="94" t="str" cm="1">
        <f t="array" ref="H62">INDEX('Validations List'!A120:D120,SUMPRODUCT(MAX(('Validations List'!A120:D143='Findings Breakdown'!A62)*(COLUMN('Validations List'!A120:D143))))-COLUMN('Validations List'!A120)+1)</f>
        <v>Standard</v>
      </c>
      <c r="I62" s="76">
        <f>IFERROR(WCAG20results[[#This Row],['# Support w/ Exceptions]]*WCAG20results[[#This Row],[Excepts Value per]]+(WCAG20results[[#This Row],['# Supports]]+WCAG20results[[#This Row],['# Does Not Apply]])*WCAG20results[[#This Row],[Supports Value per]]," ")</f>
        <v>0</v>
      </c>
      <c r="J62" s="76">
        <f>IFERROR('Validations List'!I89*WCAG20results[[#This Row],[Supports Value per]]," ")</f>
        <v>150</v>
      </c>
      <c r="K62" s="79">
        <f>IF(WCAG20results[[#This Row],[Importance by Agency]]='Validations List'!A113,'Validations List'!D113,IF(WCAG20results[[#This Row],[Importance by Agency]]='Validations List'!A114,'Validations List'!D114,IF(WCAG20results[[#This Row],[Importance by Agency]]='Validations List'!A115,'Validations List'!D115,"Not Ranked")))</f>
        <v>50</v>
      </c>
      <c r="L62" s="79">
        <f>IF(WCAG20results[[#This Row],[Importance by Agency]]='Validations List'!A113,'Validations List'!C113,IF(WCAG20results[[#This Row],[Importance by Agency]]='Validations List'!A114,'Validations List'!C114,IF(WCAG20results[[#This Row],[Importance by Agency]]='Validations List'!A115,'Validations List'!C115,"Not Ranked")))</f>
        <v>25</v>
      </c>
      <c r="M62" s="76">
        <f>IFERROR(IFERROR(VLOOKUP(A62,MasterTable[[#All],[WCAG guideline]:[Epilepsy]],6,FALSE)," ")*I62,0)</f>
        <v>0</v>
      </c>
      <c r="N62" s="76">
        <f>IFERROR(IFERROR(VLOOKUP(A62,MasterTable[[#All],[WCAG guideline]:[Epilepsy]],6,FALSE)," ")*J62,0)</f>
        <v>150</v>
      </c>
      <c r="O62" s="77">
        <f>IFERROR(IFERROR(VLOOKUP(A62,MasterTable[[#All],[WCAG guideline]:[Epilepsy]],7,FALSE)," ")*I62,0)</f>
        <v>0</v>
      </c>
      <c r="P62" s="77">
        <f>IFERROR(IFERROR(VLOOKUP(A62,MasterTable[[#All],[WCAG guideline]:[Epilepsy]],7,FALSE)," ")*J62,0)</f>
        <v>150</v>
      </c>
      <c r="Q62" s="77">
        <f>IFERROR(IFERROR(VLOOKUP(A62,MasterTable[[#All],[WCAG guideline]:[Epilepsy]],8,FALSE)," ")*I62,0)</f>
        <v>0</v>
      </c>
      <c r="R62" s="77">
        <f>IFERROR(IFERROR(VLOOKUP(A62,MasterTable[[#All],[WCAG guideline]:[Epilepsy]],8,FALSE)," ")*J62,0)</f>
        <v>0</v>
      </c>
      <c r="S62" s="77">
        <f>IFERROR(IFERROR(VLOOKUP(A62,MasterTable[[#All],[WCAG guideline]:[Epilepsy]],9,FALSE)," ")*I62,0)</f>
        <v>0</v>
      </c>
      <c r="T62" s="77">
        <f>IFERROR(IFERROR(VLOOKUP(A62,MasterTable[[#All],[WCAG guideline]:[Epilepsy]],9,FALSE)," ")*J62,0)</f>
        <v>0</v>
      </c>
      <c r="U62" s="77">
        <f>IFERROR(IFERROR(VLOOKUP(A62,MasterTable[[#All],[WCAG guideline]:[Epilepsy]],10,FALSE)," ")*I62,0)</f>
        <v>0</v>
      </c>
      <c r="V62" s="77">
        <f>IFERROR(IFERROR(VLOOKUP(A62,MasterTable[[#All],[WCAG guideline]:[Epilepsy]],10,FALSE)," ")*J62,0)</f>
        <v>150</v>
      </c>
      <c r="W62" s="77">
        <f>IFERROR(IFERROR(VLOOKUP(A62,MasterTable[[#All],[WCAG guideline]:[Epilepsy]],11,FALSE)," ")*I62,0)</f>
        <v>0</v>
      </c>
      <c r="X62" s="77">
        <f>IFERROR(IFERROR(VLOOKUP(A62,MasterTable[[#All],[WCAG guideline]:[Epilepsy]],11,FALSE)," ")*J62,0)</f>
        <v>150</v>
      </c>
      <c r="Y62" s="77">
        <f>IFERROR(IFERROR(VLOOKUP(A62,MasterTable[[#All],[WCAG guideline]:[Epilepsy]],12,FALSE)," ")*I62,0)</f>
        <v>0</v>
      </c>
      <c r="Z62" s="77">
        <f>IFERROR(IFERROR(VLOOKUP(A62,MasterTable[[#All],[WCAG guideline]:[Epilepsy]],12,FALSE)," ")*J62,0)</f>
        <v>0</v>
      </c>
    </row>
    <row r="63" spans="1:26" ht="13.95" customHeight="1" x14ac:dyDescent="0.45">
      <c r="A63" s="80"/>
      <c r="B63" s="81"/>
      <c r="C63" s="82"/>
      <c r="D63" s="82"/>
      <c r="E63" s="82"/>
      <c r="F63" s="82"/>
    </row>
    <row r="65" spans="1:26" ht="45.6" x14ac:dyDescent="0.4">
      <c r="A65" s="95" t="s">
        <v>372</v>
      </c>
      <c r="B65" s="90" t="s">
        <v>137</v>
      </c>
      <c r="C65" s="90" t="s">
        <v>297</v>
      </c>
      <c r="D65" s="91" t="s">
        <v>298</v>
      </c>
      <c r="E65" s="91" t="s">
        <v>299</v>
      </c>
      <c r="F65" s="91" t="s">
        <v>300</v>
      </c>
      <c r="G65" s="91" t="s">
        <v>301</v>
      </c>
      <c r="H65" s="92" t="s">
        <v>302</v>
      </c>
      <c r="I65" s="91" t="s">
        <v>303</v>
      </c>
      <c r="J65" s="91" t="s">
        <v>373</v>
      </c>
      <c r="K65" s="91" t="s">
        <v>305</v>
      </c>
      <c r="L65" s="91" t="s">
        <v>374</v>
      </c>
      <c r="M65" s="91" t="s">
        <v>49</v>
      </c>
      <c r="N65" s="91" t="s">
        <v>307</v>
      </c>
      <c r="O65" s="91" t="s">
        <v>46</v>
      </c>
      <c r="P65" s="91" t="s">
        <v>308</v>
      </c>
      <c r="Q65" s="91" t="s">
        <v>48</v>
      </c>
      <c r="R65" s="91" t="s">
        <v>309</v>
      </c>
      <c r="S65" s="91" t="s">
        <v>47</v>
      </c>
      <c r="T65" s="91" t="s">
        <v>310</v>
      </c>
      <c r="U65" s="91" t="s">
        <v>45</v>
      </c>
      <c r="V65" s="91" t="s">
        <v>311</v>
      </c>
      <c r="W65" s="91" t="s">
        <v>44</v>
      </c>
      <c r="X65" s="91" t="s">
        <v>312</v>
      </c>
      <c r="Y65" s="91" t="s">
        <v>50</v>
      </c>
      <c r="Z65" s="91" t="s">
        <v>313</v>
      </c>
    </row>
    <row r="66" spans="1:26" ht="22.8" x14ac:dyDescent="0.4">
      <c r="A66" s="75" t="s">
        <v>375</v>
      </c>
      <c r="B66" s="44" t="str">
        <f>IFERROR(VLOOKUP(A66,MasterTable[[#All],[WCAG guideline]:[2.2 Level]],4,FALSE), "Not found")</f>
        <v>AA</v>
      </c>
      <c r="C66" s="44">
        <f>COUNTIFS('Custom Test Script'!B2:B200,"*"&amp;'Findings Breakdown'!A66&amp;"*",'Custom Test Script'!D2:D200,'Validations List'!A107)+COUNTIFS('Report Entry'!D26:D207,"*"&amp;'Findings Breakdown'!A66&amp;"*",'Report Entry'!B26:B207,'Validations List'!A107)</f>
        <v>0</v>
      </c>
      <c r="D66" s="44">
        <f>COUNTIFS('Custom Test Script'!B2:B200,"*"&amp;'Findings Breakdown'!A66&amp;"*",'Custom Test Script'!D2:D200,'Validations List'!A106)+COUNTIFS('Report Entry'!D26:D207,"*"&amp;'Findings Breakdown'!A66&amp;"*",'Report Entry'!B26:B207,'Validations List'!A106)</f>
        <v>0</v>
      </c>
      <c r="E66" s="44">
        <f>COUNTIFS('Custom Test Script'!B2:B200,"*"&amp;'Findings Breakdown'!A66&amp;"*",'Custom Test Script'!D2:D200,'Validations List'!A105)+COUNTIFS('Report Entry'!D26:D207,"*"&amp;'Findings Breakdown'!A66&amp;"*",'Report Entry'!B26:B207,'Validations List'!A105)</f>
        <v>0</v>
      </c>
      <c r="F66" s="44">
        <f>COUNTIFS('Custom Test Script'!B2:B200,"*"&amp;'Findings Breakdown'!A66&amp;"*",'Custom Test Script'!D2:D200,'Validations List'!A108)+COUNTIFS('Report Entry'!D26:D207,"*"&amp;'Findings Breakdown'!A66&amp;"*",'Report Entry'!B26:B207,'Validations List'!A108)</f>
        <v>0</v>
      </c>
      <c r="G66" s="44">
        <f>COUNTIFS('Custom Test Script'!B2:B200,"*"&amp;'Findings Breakdown'!A66&amp;"*",'Custom Test Script'!D2:D200,'Validations List'!A109)+COUNTIFS('Report Entry'!D26:D207,"*"&amp;'Findings Breakdown'!A66&amp;"*",'Report Entry'!B26:B207,'Validations List'!A109)</f>
        <v>0</v>
      </c>
      <c r="H66" s="93" t="str" cm="1">
        <f t="array" ref="H66">INDEX('Validations List'!A152:D152,SUMPRODUCT(MAX(('Validations List'!A152:D181=A66)*(COLUMN('Validations List'!A152:D181))))-COLUMN('Validations List'!A152)+1)</f>
        <v>Standard</v>
      </c>
      <c r="I66" s="77">
        <f>IFERROR(WCAG21results[[#This Row],['# Support w/ Exceptions]]*WCAG21results[[#This Row],[Exceptions Value per2]]+(WCAG21results[[#This Row],['# Supports]]+WCAG21results[[#This Row],['# Does Not Apply]])*WCAG21results[[#This Row],[Supports Value per]]," ")</f>
        <v>0</v>
      </c>
      <c r="J66" s="77">
        <f>IFERROR('Validations List'!I17*WCAG21results[[#This Row],[Supports Value per]]," ")</f>
        <v>50</v>
      </c>
      <c r="K66" s="77">
        <f>IF(WCAG21results[[#This Row],[Importance by Agency]]='Validations List'!A113,'Validations List'!D113,IF(WCAG21results[[#This Row],[Importance by Agency]]='Validations List'!A114,'Validations List'!D114,IF(WCAG21results[[#This Row],[Importance by Agency]]='Validations List'!A115,'Validations List'!D115,"Not Ranked")))</f>
        <v>50</v>
      </c>
      <c r="L66" s="77">
        <f>IF(WCAG21results[[#This Row],[Importance by Agency]]='Validations List'!A113,'Validations List'!C113,IF(WCAG21results[[#This Row],[Importance by Agency]]='Validations List'!A114,'Validations List'!C114,IF(WCAG21results[[#This Row],[Importance by Agency]]='Validations List'!A115,'Validations List'!C115,"Not Ranked")))</f>
        <v>25</v>
      </c>
      <c r="M66" s="76">
        <f>IFERROR(IFERROR(VLOOKUP(A66,MasterTable[[#All],[WCAG guideline]:[Epilepsy]],6,FALSE)," ")*I66,0)</f>
        <v>0</v>
      </c>
      <c r="N66" s="76">
        <f>IFERROR(IFERROR(VLOOKUP(A66,MasterTable[[#All],[WCAG guideline]:[Epilepsy]],6,FALSE)," ")*J66,0)</f>
        <v>0</v>
      </c>
      <c r="O66" s="77">
        <f>IFERROR(IFERROR(VLOOKUP(A66,MasterTable[[#All],[WCAG guideline]:[Epilepsy]],7,FALSE)," ")*I66,0)</f>
        <v>0</v>
      </c>
      <c r="P66" s="77">
        <f>IFERROR(IFERROR(VLOOKUP(A66,MasterTable[[#All],[WCAG guideline]:[Epilepsy]],7,FALSE)," ")*J66,0)</f>
        <v>0</v>
      </c>
      <c r="Q66" s="77">
        <f>IFERROR(IFERROR(VLOOKUP(A66,MasterTable[[#All],[WCAG guideline]:[Epilepsy]],8,FALSE)," ")*I66,0)</f>
        <v>0</v>
      </c>
      <c r="R66" s="77">
        <f>IFERROR(IFERROR(VLOOKUP(A66,MasterTable[[#All],[WCAG guideline]:[Epilepsy]],8,FALSE)," ")*J66,0)</f>
        <v>0</v>
      </c>
      <c r="S66" s="77">
        <f>IFERROR(IFERROR(VLOOKUP(A66,MasterTable[[#All],[WCAG guideline]:[Epilepsy]],9,FALSE)," ")*I66,0)</f>
        <v>0</v>
      </c>
      <c r="T66" s="77">
        <f>IFERROR(IFERROR(VLOOKUP(A66,MasterTable[[#All],[WCAG guideline]:[Epilepsy]],9,FALSE)," ")*J66,0)</f>
        <v>0</v>
      </c>
      <c r="U66" s="77">
        <f>IFERROR(IFERROR(VLOOKUP(A66,MasterTable[[#All],[WCAG guideline]:[Epilepsy]],10,FALSE)," ")*I66,0)</f>
        <v>0</v>
      </c>
      <c r="V66" s="77">
        <f>IFERROR(IFERROR(VLOOKUP(A66,MasterTable[[#All],[WCAG guideline]:[Epilepsy]],10,FALSE)," ")*J66,0)</f>
        <v>0</v>
      </c>
      <c r="W66" s="77">
        <f>IFERROR(IFERROR(VLOOKUP(A66,MasterTable[[#All],[WCAG guideline]:[Epilepsy]],11,FALSE)," ")*I66,0)</f>
        <v>0</v>
      </c>
      <c r="X66" s="77">
        <f>IFERROR(IFERROR(VLOOKUP(A66,MasterTable[[#All],[WCAG guideline]:[Epilepsy]],11,FALSE)," ")*J66,0)</f>
        <v>0</v>
      </c>
      <c r="Y66" s="77">
        <f>IFERROR(IFERROR(VLOOKUP(A66,MasterTable[[#All],[WCAG guideline]:[Epilepsy]],12,FALSE)," ")*I66,0)</f>
        <v>0</v>
      </c>
      <c r="Z66" s="77">
        <f>IFERROR(IFERROR(VLOOKUP(A66,MasterTable[[#All],[WCAG guideline]:[Epilepsy]],12,FALSE)," ")*J66,0)</f>
        <v>0</v>
      </c>
    </row>
    <row r="67" spans="1:26" ht="22.8" x14ac:dyDescent="0.4">
      <c r="A67" s="75" t="s">
        <v>376</v>
      </c>
      <c r="B67" s="44" t="str">
        <f>IFERROR(VLOOKUP(A67,MasterTable[[#All],[WCAG guideline]:[2.2 Level]],4,FALSE), "Not found")</f>
        <v>AA</v>
      </c>
      <c r="C67" s="44">
        <f>COUNTIFS('Custom Test Script'!B2:B200,"*"&amp;'Findings Breakdown'!A67&amp;"*",'Custom Test Script'!D2:D200,'Validations List'!A107)+COUNTIFS('Report Entry'!D26:D207,"*"&amp;'Findings Breakdown'!A67&amp;"*",'Report Entry'!B26:B207,'Validations List'!A107)</f>
        <v>0</v>
      </c>
      <c r="D67" s="44">
        <f>COUNTIFS('Custom Test Script'!B2:B200,"*"&amp;'Findings Breakdown'!A67&amp;"*",'Custom Test Script'!D2:D200,'Validations List'!A106)+COUNTIFS('Report Entry'!D26:D207,"*"&amp;'Findings Breakdown'!A67&amp;"*",'Report Entry'!B26:B207,'Validations List'!A106)</f>
        <v>0</v>
      </c>
      <c r="E67" s="44">
        <f>COUNTIFS('Custom Test Script'!B2:B200,"*"&amp;'Findings Breakdown'!A67&amp;"*",'Custom Test Script'!D2:D200,'Validations List'!A105)+COUNTIFS('Report Entry'!D26:D207,"*"&amp;'Findings Breakdown'!A67&amp;"*",'Report Entry'!B26:B207,'Validations List'!A105)</f>
        <v>0</v>
      </c>
      <c r="F67" s="44">
        <f>COUNTIFS('Custom Test Script'!B2:B200,"*"&amp;'Findings Breakdown'!A67&amp;"*",'Custom Test Script'!D2:D200,'Validations List'!A108)+COUNTIFS('Report Entry'!D26:D207,"*"&amp;'Findings Breakdown'!A67&amp;"*",'Report Entry'!B26:B207,'Validations List'!A108)</f>
        <v>0</v>
      </c>
      <c r="G67" s="44">
        <f>COUNTIFS('Custom Test Script'!B2:B200,"*"&amp;'Findings Breakdown'!A67&amp;"*",'Custom Test Script'!D2:D200,'Validations List'!A109)+COUNTIFS('Report Entry'!D26:D207,"*"&amp;'Findings Breakdown'!A67&amp;"*",'Report Entry'!B26:B207,'Validations List'!A109)</f>
        <v>0</v>
      </c>
      <c r="H67" s="93" t="str" cm="1">
        <f t="array" ref="H67">INDEX('Validations List'!A152:D152,SUMPRODUCT(MAX(('Validations List'!A152:D181=A67)*(COLUMN('Validations List'!A152:D181))))-COLUMN('Validations List'!A152)+1)</f>
        <v>Important</v>
      </c>
      <c r="I67" s="77">
        <f>IFERROR(WCAG21results[[#This Row],['# Support w/ Exceptions]]*WCAG21results[[#This Row],[Exceptions Value per2]]+(WCAG21results[[#This Row],['# Supports]]+WCAG21results[[#This Row],['# Does Not Apply]])*WCAG21results[[#This Row],[Supports Value per]]," ")</f>
        <v>0</v>
      </c>
      <c r="J67" s="77">
        <f>IFERROR('Validations List'!I18*WCAG21results[[#This Row],[Supports Value per]]," ")</f>
        <v>100</v>
      </c>
      <c r="K67" s="44">
        <f>IF(WCAG21results[[#This Row],[Importance by Agency]]='Validations List'!A113,'Validations List'!D113,IF(WCAG21results[[#This Row],[Importance by Agency]]='Validations List'!A114,'Validations List'!D114,IF(WCAG21results[[#This Row],[Importance by Agency]]='Validations List'!A115,'Validations List'!D115,"Not Ranked")))</f>
        <v>100</v>
      </c>
      <c r="L67" s="44">
        <f>IF(WCAG21results[[#This Row],[Importance by Agency]]='Validations List'!A113,'Validations List'!C113,IF(WCAG21results[[#This Row],[Importance by Agency]]='Validations List'!A114,'Validations List'!C114,IF(WCAG21results[[#This Row],[Importance by Agency]]='Validations List'!A115,'Validations List'!C115,"Not Ranked")))</f>
        <v>50</v>
      </c>
      <c r="M67" s="83">
        <f>IFERROR(IFERROR(VLOOKUP(A67,MasterTable[[#All],[WCAG guideline]:[Epilepsy]],6,FALSE)," ")*I67,0)</f>
        <v>0</v>
      </c>
      <c r="N67" s="83">
        <f>IFERROR(IFERROR(VLOOKUP(A67,MasterTable[[#All],[WCAG guideline]:[Epilepsy]],6,FALSE)," ")*J67,0)</f>
        <v>0</v>
      </c>
      <c r="O67" s="44">
        <f>IFERROR(IFERROR(VLOOKUP(A67,MasterTable[[#All],[WCAG guideline]:[Epilepsy]],7,FALSE)," ")*I67,0)</f>
        <v>0</v>
      </c>
      <c r="P67" s="44">
        <f>IFERROR(IFERROR(VLOOKUP(A67,MasterTable[[#All],[WCAG guideline]:[Epilepsy]],7,FALSE)," ")*J67,0)</f>
        <v>0</v>
      </c>
      <c r="Q67" s="44">
        <f>IFERROR(IFERROR(VLOOKUP(A67,MasterTable[[#All],[WCAG guideline]:[Epilepsy]],8,FALSE)," ")*I67,0)</f>
        <v>0</v>
      </c>
      <c r="R67" s="44">
        <f>IFERROR(IFERROR(VLOOKUP(A67,MasterTable[[#All],[WCAG guideline]:[Epilepsy]],8,FALSE)," ")*J67,0)</f>
        <v>0</v>
      </c>
      <c r="S67" s="44">
        <f>IFERROR(IFERROR(VLOOKUP(A67,MasterTable[[#All],[WCAG guideline]:[Epilepsy]],9,FALSE)," ")*I67,0)</f>
        <v>0</v>
      </c>
      <c r="T67" s="44">
        <f>IFERROR(IFERROR(VLOOKUP(A67,MasterTable[[#All],[WCAG guideline]:[Epilepsy]],9,FALSE)," ")*J67,0)</f>
        <v>0</v>
      </c>
      <c r="U67" s="44">
        <f>IFERROR(IFERROR(VLOOKUP(A67,MasterTable[[#All],[WCAG guideline]:[Epilepsy]],10,FALSE)," ")*I67,0)</f>
        <v>0</v>
      </c>
      <c r="V67" s="44">
        <f>IFERROR(IFERROR(VLOOKUP(A67,MasterTable[[#All],[WCAG guideline]:[Epilepsy]],10,FALSE)," ")*J67,0)</f>
        <v>0</v>
      </c>
      <c r="W67" s="44">
        <f>IFERROR(IFERROR(VLOOKUP(A67,MasterTable[[#All],[WCAG guideline]:[Epilepsy]],11,FALSE)," ")*I67,0)</f>
        <v>0</v>
      </c>
      <c r="X67" s="44">
        <f>IFERROR(IFERROR(VLOOKUP(A67,MasterTable[[#All],[WCAG guideline]:[Epilepsy]],11,FALSE)," ")*J67,0)</f>
        <v>0</v>
      </c>
      <c r="Y67" s="44">
        <f>IFERROR(IFERROR(VLOOKUP(A67,MasterTable[[#All],[WCAG guideline]:[Epilepsy]],12,FALSE)," ")*I67,0)</f>
        <v>0</v>
      </c>
      <c r="Z67" s="44">
        <f>IFERROR(IFERROR(VLOOKUP(A67,MasterTable[[#All],[WCAG guideline]:[Epilepsy]],12,FALSE)," ")*J67,0)</f>
        <v>0</v>
      </c>
    </row>
    <row r="68" spans="1:26" ht="22.8" x14ac:dyDescent="0.4">
      <c r="A68" s="75" t="s">
        <v>377</v>
      </c>
      <c r="B68" s="44" t="str">
        <f>IFERROR(VLOOKUP(A68,MasterTable[[#All],[WCAG guideline]:[2.2 Level]],4,FALSE), "Not found")</f>
        <v>AAA</v>
      </c>
      <c r="C68" s="44">
        <f>COUNTIFS('Custom Test Script'!B2:B200,"*"&amp;'Findings Breakdown'!A68&amp;"*",'Custom Test Script'!D2:D200,'Validations List'!A107)+COUNTIFS('Report Entry'!D26:D207,"*"&amp;'Findings Breakdown'!A68&amp;"*",'Report Entry'!B26:B207,'Validations List'!A107)</f>
        <v>0</v>
      </c>
      <c r="D68" s="44">
        <f>COUNTIFS('Custom Test Script'!B2:B200,"*"&amp;'Findings Breakdown'!A68&amp;"*",'Custom Test Script'!D2:D200,'Validations List'!A106)+COUNTIFS('Report Entry'!D26:D207,"*"&amp;'Findings Breakdown'!A68&amp;"*",'Report Entry'!B26:B207,'Validations List'!A106)</f>
        <v>0</v>
      </c>
      <c r="E68" s="44">
        <f>COUNTIFS('Custom Test Script'!B2:B200,"*"&amp;'Findings Breakdown'!A68&amp;"*",'Custom Test Script'!D2:D200,'Validations List'!A105)+COUNTIFS('Report Entry'!D26:D207,"*"&amp;'Findings Breakdown'!A68&amp;"*",'Report Entry'!B26:B207,'Validations List'!A105)</f>
        <v>0</v>
      </c>
      <c r="F68" s="44">
        <f>COUNTIFS('Custom Test Script'!B2:B200,"*"&amp;'Findings Breakdown'!A68&amp;"*",'Custom Test Script'!D2:D200,'Validations List'!A108)+COUNTIFS('Report Entry'!D26:D207,"*"&amp;'Findings Breakdown'!A68&amp;"*",'Report Entry'!B26:B207,'Validations List'!A108)</f>
        <v>0</v>
      </c>
      <c r="G68" s="44">
        <f>COUNTIFS('Custom Test Script'!B2:B200,"*"&amp;'Findings Breakdown'!A68&amp;"*",'Custom Test Script'!D2:D200,'Validations List'!A109)+COUNTIFS('Report Entry'!D26:D207,"*"&amp;'Findings Breakdown'!A68&amp;"*",'Report Entry'!B26:B207,'Validations List'!A109)</f>
        <v>0</v>
      </c>
      <c r="H68" s="93" t="str" cm="1">
        <f t="array" ref="H68">INDEX('Validations List'!A152:D152,SUMPRODUCT(MAX(('Validations List'!A152:D181=A68)*(COLUMN('Validations List'!A152:D181))))-COLUMN('Validations List'!A152)+1)</f>
        <v>Not ranked</v>
      </c>
      <c r="I68" s="77" t="str">
        <f>IFERROR(WCAG21results[[#This Row],['# Support w/ Exceptions]]*WCAG21results[[#This Row],[Exceptions Value per2]]+(WCAG21results[[#This Row],['# Supports]]+WCAG21results[[#This Row],['# Does Not Apply]])*WCAG21results[[#This Row],[Supports Value per]]," ")</f>
        <v xml:space="preserve"> </v>
      </c>
      <c r="J68" s="77" t="str">
        <f>IFERROR('Validations List'!I19*WCAG21results[[#This Row],[Supports Value per]]," ")</f>
        <v xml:space="preserve"> </v>
      </c>
      <c r="K68" s="44" t="str">
        <f>IF(WCAG21results[[#This Row],[Importance by Agency]]='Validations List'!A113,'Validations List'!D113,IF(WCAG21results[[#This Row],[Importance by Agency]]='Validations List'!A114,'Validations List'!D114,IF(WCAG21results[[#This Row],[Importance by Agency]]='Validations List'!A115,'Validations List'!D115,"Not Ranked")))</f>
        <v>Not Ranked</v>
      </c>
      <c r="L68" s="44" t="str">
        <f>IF(WCAG21results[[#This Row],[Importance by Agency]]='Validations List'!A113,'Validations List'!C113,IF(WCAG21results[[#This Row],[Importance by Agency]]='Validations List'!A114,'Validations List'!C114,IF(WCAG21results[[#This Row],[Importance by Agency]]='Validations List'!A115,'Validations List'!C115,"Not Ranked")))</f>
        <v>Not Ranked</v>
      </c>
      <c r="M68" s="83">
        <f>IFERROR(IFERROR(VLOOKUP(A68,MasterTable[[#All],[WCAG guideline]:[Epilepsy]],6,FALSE)," ")*I68,0)</f>
        <v>0</v>
      </c>
      <c r="N68" s="83">
        <f>IFERROR(IFERROR(VLOOKUP(A68,MasterTable[[#All],[WCAG guideline]:[Epilepsy]],6,FALSE)," ")*J68,0)</f>
        <v>0</v>
      </c>
      <c r="O68" s="44">
        <f>IFERROR(IFERROR(VLOOKUP(A68,MasterTable[[#All],[WCAG guideline]:[Epilepsy]],7,FALSE)," ")*I68,0)</f>
        <v>0</v>
      </c>
      <c r="P68" s="44">
        <f>IFERROR(IFERROR(VLOOKUP(A68,MasterTable[[#All],[WCAG guideline]:[Epilepsy]],7,FALSE)," ")*J68,0)</f>
        <v>0</v>
      </c>
      <c r="Q68" s="44">
        <f>IFERROR(IFERROR(VLOOKUP(A68,MasterTable[[#All],[WCAG guideline]:[Epilepsy]],8,FALSE)," ")*I68,0)</f>
        <v>0</v>
      </c>
      <c r="R68" s="44">
        <f>IFERROR(IFERROR(VLOOKUP(A68,MasterTable[[#All],[WCAG guideline]:[Epilepsy]],8,FALSE)," ")*J68,0)</f>
        <v>0</v>
      </c>
      <c r="S68" s="44">
        <f>IFERROR(IFERROR(VLOOKUP(A68,MasterTable[[#All],[WCAG guideline]:[Epilepsy]],9,FALSE)," ")*I68,0)</f>
        <v>0</v>
      </c>
      <c r="T68" s="44">
        <f>IFERROR(IFERROR(VLOOKUP(A68,MasterTable[[#All],[WCAG guideline]:[Epilepsy]],9,FALSE)," ")*J68,0)</f>
        <v>0</v>
      </c>
      <c r="U68" s="44">
        <f>IFERROR(IFERROR(VLOOKUP(A68,MasterTable[[#All],[WCAG guideline]:[Epilepsy]],10,FALSE)," ")*I68,0)</f>
        <v>0</v>
      </c>
      <c r="V68" s="44">
        <f>IFERROR(IFERROR(VLOOKUP(A68,MasterTable[[#All],[WCAG guideline]:[Epilepsy]],10,FALSE)," ")*J68,0)</f>
        <v>0</v>
      </c>
      <c r="W68" s="44">
        <f>IFERROR(IFERROR(VLOOKUP(A68,MasterTable[[#All],[WCAG guideline]:[Epilepsy]],11,FALSE)," ")*I68,0)</f>
        <v>0</v>
      </c>
      <c r="X68" s="44">
        <f>IFERROR(IFERROR(VLOOKUP(A68,MasterTable[[#All],[WCAG guideline]:[Epilepsy]],11,FALSE)," ")*J68,0)</f>
        <v>0</v>
      </c>
      <c r="Y68" s="44">
        <f>IFERROR(IFERROR(VLOOKUP(A68,MasterTable[[#All],[WCAG guideline]:[Epilepsy]],12,FALSE)," ")*I68,0)</f>
        <v>0</v>
      </c>
      <c r="Z68" s="44">
        <f>IFERROR(IFERROR(VLOOKUP(A68,MasterTable[[#All],[WCAG guideline]:[Epilepsy]],12,FALSE)," ")*J68,0)</f>
        <v>0</v>
      </c>
    </row>
    <row r="69" spans="1:26" ht="22.8" x14ac:dyDescent="0.4">
      <c r="A69" s="75" t="s">
        <v>284</v>
      </c>
      <c r="B69" s="44" t="str">
        <f>IFERROR(VLOOKUP(A69,MasterTable[[#All],[WCAG guideline]:[2.2 Level]],4,FALSE), "Not found")</f>
        <v>AA</v>
      </c>
      <c r="C69" s="44">
        <f>COUNTIFS('Custom Test Script'!B2:B200,"*"&amp;'Findings Breakdown'!A69&amp;"*",'Custom Test Script'!D2:D200,'Validations List'!A107)+COUNTIFS('Report Entry'!D26:D207,"*"&amp;'Findings Breakdown'!A69&amp;"*",'Report Entry'!B26:B207,'Validations List'!A107)</f>
        <v>0</v>
      </c>
      <c r="D69" s="44">
        <f>COUNTIFS('Custom Test Script'!B2:B200,"*"&amp;'Findings Breakdown'!A69&amp;"*",'Custom Test Script'!D2:D200,'Validations List'!A106)+COUNTIFS('Report Entry'!D26:D207,"*"&amp;'Findings Breakdown'!A69&amp;"*",'Report Entry'!B26:B207,'Validations List'!A106)</f>
        <v>0</v>
      </c>
      <c r="E69" s="44">
        <f>COUNTIFS('Custom Test Script'!B2:B200,"*"&amp;'Findings Breakdown'!A69&amp;"*",'Custom Test Script'!D2:D200,'Validations List'!A105)+COUNTIFS('Report Entry'!D26:D207,"*"&amp;'Findings Breakdown'!A69&amp;"*",'Report Entry'!B26:B207,'Validations List'!A105)</f>
        <v>0</v>
      </c>
      <c r="F69" s="44">
        <f>COUNTIFS('Custom Test Script'!B2:B200,"*"&amp;'Findings Breakdown'!A69&amp;"*",'Custom Test Script'!D2:D200,'Validations List'!A108)+COUNTIFS('Report Entry'!D26:D207,"*"&amp;'Findings Breakdown'!A69&amp;"*",'Report Entry'!B26:B207,'Validations List'!A108)</f>
        <v>0</v>
      </c>
      <c r="G69" s="44">
        <f>COUNTIFS('Custom Test Script'!B2:B200,"*"&amp;'Findings Breakdown'!A69&amp;"*",'Custom Test Script'!D2:D200,'Validations List'!A109)+COUNTIFS('Report Entry'!D26:D207,"*"&amp;'Findings Breakdown'!A69&amp;"*",'Report Entry'!B26:B207,'Validations List'!A109)</f>
        <v>0</v>
      </c>
      <c r="H69" s="93" t="str" cm="1">
        <f t="array" ref="H69">INDEX('Validations List'!A152:D152,SUMPRODUCT(MAX(('Validations List'!A152:D181=A69)*(COLUMN('Validations List'!A152:D181))))-COLUMN('Validations List'!A152)+1)</f>
        <v>Important</v>
      </c>
      <c r="I69" s="77">
        <f>IFERROR(WCAG21results[[#This Row],['# Support w/ Exceptions]]*WCAG21results[[#This Row],[Exceptions Value per2]]+(WCAG21results[[#This Row],['# Supports]]+WCAG21results[[#This Row],['# Does Not Apply]])*WCAG21results[[#This Row],[Supports Value per]]," ")</f>
        <v>0</v>
      </c>
      <c r="J69" s="77">
        <f>IFERROR('Validations List'!I29*WCAG21results[[#This Row],[Supports Value per]]," ")</f>
        <v>100</v>
      </c>
      <c r="K69" s="44">
        <f>IF(WCAG21results[[#This Row],[Importance by Agency]]='Validations List'!A113,'Validations List'!D113,IF(WCAG21results[[#This Row],[Importance by Agency]]='Validations List'!A114,'Validations List'!D114,IF(WCAG21results[[#This Row],[Importance by Agency]]='Validations List'!A115,'Validations List'!D115,"Not Ranked")))</f>
        <v>100</v>
      </c>
      <c r="L69" s="44">
        <f>IF(WCAG21results[[#This Row],[Importance by Agency]]='Validations List'!A113,'Validations List'!C113,IF(WCAG21results[[#This Row],[Importance by Agency]]='Validations List'!A114,'Validations List'!C114,IF(WCAG21results[[#This Row],[Importance by Agency]]='Validations List'!A115,'Validations List'!C115,"Not Ranked")))</f>
        <v>50</v>
      </c>
      <c r="M69" s="83">
        <f>IFERROR(IFERROR(VLOOKUP(A69,MasterTable[[#All],[WCAG guideline]:[Epilepsy]],6,FALSE)," ")*I69,0)</f>
        <v>0</v>
      </c>
      <c r="N69" s="83">
        <f>IFERROR(IFERROR(VLOOKUP(A69,MasterTable[[#All],[WCAG guideline]:[Epilepsy]],6,FALSE)," ")*J69,0)</f>
        <v>0</v>
      </c>
      <c r="O69" s="44">
        <f>IFERROR(IFERROR(VLOOKUP(A69,MasterTable[[#All],[WCAG guideline]:[Epilepsy]],7,FALSE)," ")*I69,0)</f>
        <v>0</v>
      </c>
      <c r="P69" s="44">
        <f>IFERROR(IFERROR(VLOOKUP(A69,MasterTable[[#All],[WCAG guideline]:[Epilepsy]],7,FALSE)," ")*J69,0)</f>
        <v>100</v>
      </c>
      <c r="Q69" s="44">
        <f>IFERROR(IFERROR(VLOOKUP(A69,MasterTable[[#All],[WCAG guideline]:[Epilepsy]],8,FALSE)," ")*I69,0)</f>
        <v>0</v>
      </c>
      <c r="R69" s="44">
        <f>IFERROR(IFERROR(VLOOKUP(A69,MasterTable[[#All],[WCAG guideline]:[Epilepsy]],8,FALSE)," ")*J69,0)</f>
        <v>0</v>
      </c>
      <c r="S69" s="44">
        <f>IFERROR(IFERROR(VLOOKUP(A69,MasterTable[[#All],[WCAG guideline]:[Epilepsy]],9,FALSE)," ")*I69,0)</f>
        <v>0</v>
      </c>
      <c r="T69" s="44">
        <f>IFERROR(IFERROR(VLOOKUP(A69,MasterTable[[#All],[WCAG guideline]:[Epilepsy]],9,FALSE)," ")*J69,0)</f>
        <v>0</v>
      </c>
      <c r="U69" s="44">
        <f>IFERROR(IFERROR(VLOOKUP(A69,MasterTable[[#All],[WCAG guideline]:[Epilepsy]],10,FALSE)," ")*I69,0)</f>
        <v>0</v>
      </c>
      <c r="V69" s="44">
        <f>IFERROR(IFERROR(VLOOKUP(A69,MasterTable[[#All],[WCAG guideline]:[Epilepsy]],10,FALSE)," ")*J69,0)</f>
        <v>0</v>
      </c>
      <c r="W69" s="44">
        <f>IFERROR(IFERROR(VLOOKUP(A69,MasterTable[[#All],[WCAG guideline]:[Epilepsy]],11,FALSE)," ")*I69,0)</f>
        <v>0</v>
      </c>
      <c r="X69" s="44">
        <f>IFERROR(IFERROR(VLOOKUP(A69,MasterTable[[#All],[WCAG guideline]:[Epilepsy]],11,FALSE)," ")*J69,0)</f>
        <v>0</v>
      </c>
      <c r="Y69" s="44">
        <f>IFERROR(IFERROR(VLOOKUP(A69,MasterTable[[#All],[WCAG guideline]:[Epilepsy]],12,FALSE)," ")*I69,0)</f>
        <v>0</v>
      </c>
      <c r="Z69" s="44">
        <f>IFERROR(IFERROR(VLOOKUP(A69,MasterTable[[#All],[WCAG guideline]:[Epilepsy]],12,FALSE)," ")*J69,0)</f>
        <v>0</v>
      </c>
    </row>
    <row r="70" spans="1:26" ht="22.8" x14ac:dyDescent="0.4">
      <c r="A70" s="84" t="s">
        <v>378</v>
      </c>
      <c r="B70" s="44" t="str">
        <f>IFERROR(VLOOKUP(A70,MasterTable[[#All],[WCAG guideline]:[2.2 Level]],4,FALSE), "Not found")</f>
        <v>AA</v>
      </c>
      <c r="C70" s="44">
        <f>COUNTIFS('Custom Test Script'!B2:B200,"*"&amp;'Findings Breakdown'!A70&amp;"*",'Custom Test Script'!D2:D200,'Validations List'!A107)+COUNTIFS('Report Entry'!D26:D207,"*"&amp;'Findings Breakdown'!A70&amp;"*",'Report Entry'!B26:B207,'Validations List'!A107)</f>
        <v>0</v>
      </c>
      <c r="D70" s="44">
        <f>COUNTIFS('Custom Test Script'!B2:B200,"*"&amp;'Findings Breakdown'!A70&amp;"*",'Custom Test Script'!D2:D200,'Validations List'!A106)+COUNTIFS('Report Entry'!D26:D207,"*"&amp;'Findings Breakdown'!A70&amp;"*",'Report Entry'!B26:B207,'Validations List'!A106)</f>
        <v>0</v>
      </c>
      <c r="E70" s="44">
        <f>COUNTIFS('Custom Test Script'!B2:B200,"*"&amp;'Findings Breakdown'!A70&amp;"*",'Custom Test Script'!D2:D200,'Validations List'!A105)+COUNTIFS('Report Entry'!D26:D207,"*"&amp;'Findings Breakdown'!A70&amp;"*",'Report Entry'!B26:B207,'Validations List'!A105)</f>
        <v>0</v>
      </c>
      <c r="F70" s="44">
        <f>COUNTIFS('Custom Test Script'!B2:B200,"*"&amp;'Findings Breakdown'!A70&amp;"*",'Custom Test Script'!D2:D200,'Validations List'!A108)+COUNTIFS('Report Entry'!D26:D207,"*"&amp;'Findings Breakdown'!A70&amp;"*",'Report Entry'!B26:B207,'Validations List'!A108)</f>
        <v>0</v>
      </c>
      <c r="G70" s="44">
        <f>COUNTIFS('Custom Test Script'!B2:B200,"*"&amp;'Findings Breakdown'!A70&amp;"*",'Custom Test Script'!D2:D200,'Validations List'!A109)+COUNTIFS('Report Entry'!D26:D207,"*"&amp;'Findings Breakdown'!A70&amp;"*",'Report Entry'!B26:B207,'Validations List'!A109)</f>
        <v>0</v>
      </c>
      <c r="H70" s="93" t="str" cm="1">
        <f t="array" ref="H70">INDEX('Validations List'!A152:D152,SUMPRODUCT(MAX(('Validations List'!A152:D181=A70)*(COLUMN('Validations List'!A152:D181))))-COLUMN('Validations List'!A152)+1)</f>
        <v>Standard</v>
      </c>
      <c r="I70" s="77">
        <f>IFERROR(WCAG21results[[#This Row],['# Support w/ Exceptions]]*WCAG21results[[#This Row],[Exceptions Value per2]]+(WCAG21results[[#This Row],['# Supports]]+WCAG21results[[#This Row],['# Does Not Apply]])*WCAG21results[[#This Row],[Supports Value per]]," ")</f>
        <v>0</v>
      </c>
      <c r="J70" s="77">
        <f>IFERROR('Validations List'!I30*WCAG21results[[#This Row],[Supports Value per]]," ")</f>
        <v>100</v>
      </c>
      <c r="K70" s="44">
        <f>IF(WCAG21results[[#This Row],[Importance by Agency]]='Validations List'!A113,'Validations List'!D113,IF(WCAG21results[[#This Row],[Importance by Agency]]='Validations List'!A114,'Validations List'!D114,IF(WCAG21results[[#This Row],[Importance by Agency]]='Validations List'!A115,'Validations List'!D115,"Not Ranked")))</f>
        <v>50</v>
      </c>
      <c r="L70" s="44">
        <f>IF(WCAG21results[[#This Row],[Importance by Agency]]='Validations List'!A113,'Validations List'!C113,IF(WCAG21results[[#This Row],[Importance by Agency]]='Validations List'!A114,'Validations List'!C114,IF(WCAG21results[[#This Row],[Importance by Agency]]='Validations List'!A115,'Validations List'!C115,"Not Ranked")))</f>
        <v>25</v>
      </c>
      <c r="M70" s="83">
        <f>IFERROR(IFERROR(VLOOKUP(A70,MasterTable[[#All],[WCAG guideline]:[Epilepsy]],6,FALSE)," ")*I70,0)</f>
        <v>0</v>
      </c>
      <c r="N70" s="83">
        <f>IFERROR(IFERROR(VLOOKUP(A70,MasterTable[[#All],[WCAG guideline]:[Epilepsy]],6,FALSE)," ")*J70,0)</f>
        <v>0</v>
      </c>
      <c r="O70" s="44">
        <f>IFERROR(IFERROR(VLOOKUP(A70,MasterTable[[#All],[WCAG guideline]:[Epilepsy]],7,FALSE)," ")*I70,0)</f>
        <v>0</v>
      </c>
      <c r="P70" s="44">
        <f>IFERROR(IFERROR(VLOOKUP(A70,MasterTable[[#All],[WCAG guideline]:[Epilepsy]],7,FALSE)," ")*J70,0)</f>
        <v>100</v>
      </c>
      <c r="Q70" s="44">
        <f>IFERROR(IFERROR(VLOOKUP(A70,MasterTable[[#All],[WCAG guideline]:[Epilepsy]],8,FALSE)," ")*I70,0)</f>
        <v>0</v>
      </c>
      <c r="R70" s="44">
        <f>IFERROR(IFERROR(VLOOKUP(A70,MasterTable[[#All],[WCAG guideline]:[Epilepsy]],8,FALSE)," ")*J70,0)</f>
        <v>100</v>
      </c>
      <c r="S70" s="44">
        <f>IFERROR(IFERROR(VLOOKUP(A70,MasterTable[[#All],[WCAG guideline]:[Epilepsy]],9,FALSE)," ")*I70,0)</f>
        <v>0</v>
      </c>
      <c r="T70" s="44">
        <f>IFERROR(IFERROR(VLOOKUP(A70,MasterTable[[#All],[WCAG guideline]:[Epilepsy]],9,FALSE)," ")*J70,0)</f>
        <v>0</v>
      </c>
      <c r="U70" s="44">
        <f>IFERROR(IFERROR(VLOOKUP(A70,MasterTable[[#All],[WCAG guideline]:[Epilepsy]],10,FALSE)," ")*I70,0)</f>
        <v>0</v>
      </c>
      <c r="V70" s="44">
        <f>IFERROR(IFERROR(VLOOKUP(A70,MasterTable[[#All],[WCAG guideline]:[Epilepsy]],10,FALSE)," ")*J70,0)</f>
        <v>0</v>
      </c>
      <c r="W70" s="44">
        <f>IFERROR(IFERROR(VLOOKUP(A70,MasterTable[[#All],[WCAG guideline]:[Epilepsy]],11,FALSE)," ")*I70,0)</f>
        <v>0</v>
      </c>
      <c r="X70" s="44">
        <f>IFERROR(IFERROR(VLOOKUP(A70,MasterTable[[#All],[WCAG guideline]:[Epilepsy]],11,FALSE)," ")*J70,0)</f>
        <v>0</v>
      </c>
      <c r="Y70" s="44">
        <f>IFERROR(IFERROR(VLOOKUP(A70,MasterTable[[#All],[WCAG guideline]:[Epilepsy]],12,FALSE)," ")*I70,0)</f>
        <v>0</v>
      </c>
      <c r="Z70" s="44">
        <f>IFERROR(IFERROR(VLOOKUP(A70,MasterTable[[#All],[WCAG guideline]:[Epilepsy]],12,FALSE)," ")*J70,0)</f>
        <v>0</v>
      </c>
    </row>
    <row r="71" spans="1:26" ht="22.8" x14ac:dyDescent="0.4">
      <c r="A71" s="75" t="s">
        <v>379</v>
      </c>
      <c r="B71" s="44" t="str">
        <f>IFERROR(VLOOKUP(A71,MasterTable[[#All],[WCAG guideline]:[2.2 Level]],4,FALSE), "Not found")</f>
        <v>AA</v>
      </c>
      <c r="C71" s="44">
        <f>COUNTIFS('Custom Test Script'!B2:B200,"*"&amp;'Findings Breakdown'!A71&amp;"*",'Custom Test Script'!D2:D200,'Validations List'!A107)+COUNTIFS('Report Entry'!D26:D207,"*"&amp;'Findings Breakdown'!A71&amp;"*",'Report Entry'!B26:B207,'Validations List'!A107)</f>
        <v>0</v>
      </c>
      <c r="D71" s="44">
        <f>COUNTIFS('Custom Test Script'!B2:B200,"*"&amp;'Findings Breakdown'!A71&amp;"*",'Custom Test Script'!D2:D200,'Validations List'!A106)+COUNTIFS('Report Entry'!D26:D207,"*"&amp;'Findings Breakdown'!A71&amp;"*",'Report Entry'!B26:B207,'Validations List'!A106)</f>
        <v>0</v>
      </c>
      <c r="E71" s="44">
        <f>COUNTIFS('Custom Test Script'!B2:B200,"*"&amp;'Findings Breakdown'!A71&amp;"*",'Custom Test Script'!D2:D200,'Validations List'!A105)+COUNTIFS('Report Entry'!D26:D207,"*"&amp;'Findings Breakdown'!A71&amp;"*",'Report Entry'!B26:B207,'Validations List'!A105)</f>
        <v>0</v>
      </c>
      <c r="F71" s="44">
        <f>COUNTIFS('Custom Test Script'!B2:B200,"*"&amp;'Findings Breakdown'!A71&amp;"*",'Custom Test Script'!D2:D200,'Validations List'!A108)+COUNTIFS('Report Entry'!D26:D207,"*"&amp;'Findings Breakdown'!A71&amp;"*",'Report Entry'!B26:B207,'Validations List'!A108)</f>
        <v>0</v>
      </c>
      <c r="G71" s="44">
        <f>COUNTIFS('Custom Test Script'!B2:B200,"*"&amp;'Findings Breakdown'!A71&amp;"*",'Custom Test Script'!D2:D200,'Validations List'!A109)+COUNTIFS('Report Entry'!D26:D207,"*"&amp;'Findings Breakdown'!A71&amp;"*",'Report Entry'!B26:B207,'Validations List'!A109)</f>
        <v>0</v>
      </c>
      <c r="H71" s="93" t="str" cm="1">
        <f t="array" ref="H71">INDEX('Validations List'!A152:D152,SUMPRODUCT(MAX(('Validations List'!A152:D181=A71)*(COLUMN('Validations List'!A152:D181))))-COLUMN('Validations List'!A152)+1)</f>
        <v>Standard</v>
      </c>
      <c r="I71" s="77">
        <f>IFERROR(WCAG21results[[#This Row],['# Support w/ Exceptions]]*WCAG21results[[#This Row],[Exceptions Value per2]]+(WCAG21results[[#This Row],['# Supports]]+WCAG21results[[#This Row],['# Does Not Apply]])*WCAG21results[[#This Row],[Supports Value per]]," ")</f>
        <v>0</v>
      </c>
      <c r="J71" s="77">
        <f>IFERROR('Validations List'!I31*WCAG21results[[#This Row],[Supports Value per]]," ")</f>
        <v>50</v>
      </c>
      <c r="K71" s="44">
        <f>IF(WCAG21results[[#This Row],[Importance by Agency]]='Validations List'!A113,'Validations List'!D113,IF(WCAG21results[[#This Row],[Importance by Agency]]='Validations List'!A114,'Validations List'!D114,IF(WCAG21results[[#This Row],[Importance by Agency]]='Validations List'!A115,'Validations List'!D115,"Not Ranked")))</f>
        <v>50</v>
      </c>
      <c r="L71" s="44">
        <f>IF(WCAG21results[[#This Row],[Importance by Agency]]='Validations List'!A113,'Validations List'!C113,IF(WCAG21results[[#This Row],[Importance by Agency]]='Validations List'!A114,'Validations List'!C114,IF(WCAG21results[[#This Row],[Importance by Agency]]='Validations List'!A115,'Validations List'!C115,"Not Ranked")))</f>
        <v>25</v>
      </c>
      <c r="M71" s="83">
        <f>IFERROR(IFERROR(VLOOKUP(A71,MasterTable[[#All],[WCAG guideline]:[Epilepsy]],6,FALSE)," ")*I71,0)</f>
        <v>0</v>
      </c>
      <c r="N71" s="83">
        <f>IFERROR(IFERROR(VLOOKUP(A71,MasterTable[[#All],[WCAG guideline]:[Epilepsy]],6,FALSE)," ")*J71,0)</f>
        <v>0</v>
      </c>
      <c r="O71" s="44">
        <f>IFERROR(IFERROR(VLOOKUP(A71,MasterTable[[#All],[WCAG guideline]:[Epilepsy]],7,FALSE)," ")*I71,0)</f>
        <v>0</v>
      </c>
      <c r="P71" s="44">
        <f>IFERROR(IFERROR(VLOOKUP(A71,MasterTable[[#All],[WCAG guideline]:[Epilepsy]],7,FALSE)," ")*J71,0)</f>
        <v>50</v>
      </c>
      <c r="Q71" s="44">
        <f>IFERROR(IFERROR(VLOOKUP(A71,MasterTable[[#All],[WCAG guideline]:[Epilepsy]],8,FALSE)," ")*I71,0)</f>
        <v>0</v>
      </c>
      <c r="R71" s="44">
        <f>IFERROR(IFERROR(VLOOKUP(A71,MasterTable[[#All],[WCAG guideline]:[Epilepsy]],8,FALSE)," ")*J71,0)</f>
        <v>0</v>
      </c>
      <c r="S71" s="44">
        <f>IFERROR(IFERROR(VLOOKUP(A71,MasterTable[[#All],[WCAG guideline]:[Epilepsy]],9,FALSE)," ")*I71,0)</f>
        <v>0</v>
      </c>
      <c r="T71" s="44">
        <f>IFERROR(IFERROR(VLOOKUP(A71,MasterTable[[#All],[WCAG guideline]:[Epilepsy]],9,FALSE)," ")*J71,0)</f>
        <v>0</v>
      </c>
      <c r="U71" s="44">
        <f>IFERROR(IFERROR(VLOOKUP(A71,MasterTable[[#All],[WCAG guideline]:[Epilepsy]],10,FALSE)," ")*I71,0)</f>
        <v>0</v>
      </c>
      <c r="V71" s="44">
        <f>IFERROR(IFERROR(VLOOKUP(A71,MasterTable[[#All],[WCAG guideline]:[Epilepsy]],10,FALSE)," ")*J71,0)</f>
        <v>0</v>
      </c>
      <c r="W71" s="44">
        <f>IFERROR(IFERROR(VLOOKUP(A71,MasterTable[[#All],[WCAG guideline]:[Epilepsy]],11,FALSE)," ")*I71,0)</f>
        <v>0</v>
      </c>
      <c r="X71" s="44">
        <f>IFERROR(IFERROR(VLOOKUP(A71,MasterTable[[#All],[WCAG guideline]:[Epilepsy]],11,FALSE)," ")*J71,0)</f>
        <v>0</v>
      </c>
      <c r="Y71" s="44">
        <f>IFERROR(IFERROR(VLOOKUP(A71,MasterTable[[#All],[WCAG guideline]:[Epilepsy]],12,FALSE)," ")*I71,0)</f>
        <v>0</v>
      </c>
      <c r="Z71" s="44">
        <f>IFERROR(IFERROR(VLOOKUP(A71,MasterTable[[#All],[WCAG guideline]:[Epilepsy]],12,FALSE)," ")*J71,0)</f>
        <v>0</v>
      </c>
    </row>
    <row r="72" spans="1:26" ht="22.8" x14ac:dyDescent="0.4">
      <c r="A72" s="75" t="s">
        <v>285</v>
      </c>
      <c r="B72" s="44" t="str">
        <f>IFERROR(VLOOKUP(A72,MasterTable[[#All],[WCAG guideline]:[2.2 Level]],4,FALSE), "Not found")</f>
        <v>AA</v>
      </c>
      <c r="C72" s="44">
        <f>COUNTIFS('Custom Test Script'!B2:B200,"*"&amp;'Findings Breakdown'!A72&amp;"*",'Custom Test Script'!D2:D200,'Validations List'!A107)+COUNTIFS('Report Entry'!D26:D207,"*"&amp;'Findings Breakdown'!A72&amp;"*",'Report Entry'!B26:B207,'Validations List'!A107)</f>
        <v>0</v>
      </c>
      <c r="D72" s="44">
        <f>COUNTIFS('Custom Test Script'!B2:B200,"*"&amp;'Findings Breakdown'!A72&amp;"*",'Custom Test Script'!D2:D200,'Validations List'!A106)+COUNTIFS('Report Entry'!D26:D207,"*"&amp;'Findings Breakdown'!A72&amp;"*",'Report Entry'!B26:B207,'Validations List'!A106)</f>
        <v>0</v>
      </c>
      <c r="E72" s="44">
        <f>COUNTIFS('Custom Test Script'!B2:B200,"*"&amp;'Findings Breakdown'!A72&amp;"*",'Custom Test Script'!D2:D200,'Validations List'!A105)+COUNTIFS('Report Entry'!D26:D207,"*"&amp;'Findings Breakdown'!A72&amp;"*",'Report Entry'!B26:B207,'Validations List'!A105)</f>
        <v>0</v>
      </c>
      <c r="F72" s="44">
        <f>COUNTIFS('Custom Test Script'!B2:B200,"*"&amp;'Findings Breakdown'!A72&amp;"*",'Custom Test Script'!D2:D200,'Validations List'!A108)+COUNTIFS('Report Entry'!D26:D207,"*"&amp;'Findings Breakdown'!A72&amp;"*",'Report Entry'!B26:B207,'Validations List'!A108)</f>
        <v>0</v>
      </c>
      <c r="G72" s="44">
        <f>COUNTIFS('Custom Test Script'!B2:B200,"*"&amp;'Findings Breakdown'!A72&amp;"*",'Custom Test Script'!D2:D200,'Validations List'!A109)+COUNTIFS('Report Entry'!D26:D207,"*"&amp;'Findings Breakdown'!A72&amp;"*",'Report Entry'!B26:B207,'Validations List'!A109)</f>
        <v>0</v>
      </c>
      <c r="H72" s="93" t="str" cm="1">
        <f t="array" ref="H72">INDEX('Validations List'!A152:D152,SUMPRODUCT(MAX(('Validations List'!A152:D181=A72)*(COLUMN('Validations List'!A152:D181))))-COLUMN('Validations List'!A152)+1)</f>
        <v>Important</v>
      </c>
      <c r="I72" s="77">
        <f>IFERROR(WCAG21results[[#This Row],['# Support w/ Exceptions]]*WCAG21results[[#This Row],[Exceptions Value per2]]+(WCAG21results[[#This Row],['# Supports]]+WCAG21results[[#This Row],['# Does Not Apply]])*WCAG21results[[#This Row],[Supports Value per]]," ")</f>
        <v>0</v>
      </c>
      <c r="J72" s="77">
        <f>IFERROR('Validations List'!I32*WCAG21results[[#This Row],[Supports Value per]]," ")</f>
        <v>300</v>
      </c>
      <c r="K72" s="44">
        <f>IF(WCAG21results[[#This Row],[Importance by Agency]]='Validations List'!A113,'Validations List'!D113,IF(WCAG21results[[#This Row],[Importance by Agency]]='Validations List'!A114,'Validations List'!D114,IF(WCAG21results[[#This Row],[Importance by Agency]]='Validations List'!A115,'Validations List'!D115,"Not Ranked")))</f>
        <v>100</v>
      </c>
      <c r="L72" s="44">
        <f>IF(WCAG21results[[#This Row],[Importance by Agency]]='Validations List'!A113,'Validations List'!C113,IF(WCAG21results[[#This Row],[Importance by Agency]]='Validations List'!A114,'Validations List'!C114,IF(WCAG21results[[#This Row],[Importance by Agency]]='Validations List'!A115,'Validations List'!C115,"Not Ranked")))</f>
        <v>50</v>
      </c>
      <c r="M72" s="83">
        <f>IFERROR(IFERROR(VLOOKUP(A72,MasterTable[[#All],[WCAG guideline]:[Epilepsy]],6,FALSE)," ")*I72,0)</f>
        <v>0</v>
      </c>
      <c r="N72" s="83">
        <f>IFERROR(IFERROR(VLOOKUP(A72,MasterTable[[#All],[WCAG guideline]:[Epilepsy]],6,FALSE)," ")*J72,0)</f>
        <v>0</v>
      </c>
      <c r="O72" s="44">
        <f>IFERROR(IFERROR(VLOOKUP(A72,MasterTable[[#All],[WCAG guideline]:[Epilepsy]],7,FALSE)," ")*I72,0)</f>
        <v>0</v>
      </c>
      <c r="P72" s="44">
        <f>IFERROR(IFERROR(VLOOKUP(A72,MasterTable[[#All],[WCAG guideline]:[Epilepsy]],7,FALSE)," ")*J72,0)</f>
        <v>0</v>
      </c>
      <c r="Q72" s="44">
        <f>IFERROR(IFERROR(VLOOKUP(A72,MasterTable[[#All],[WCAG guideline]:[Epilepsy]],8,FALSE)," ")*I72,0)</f>
        <v>0</v>
      </c>
      <c r="R72" s="44">
        <f>IFERROR(IFERROR(VLOOKUP(A72,MasterTable[[#All],[WCAG guideline]:[Epilepsy]],8,FALSE)," ")*J72,0)</f>
        <v>0</v>
      </c>
      <c r="S72" s="44">
        <f>IFERROR(IFERROR(VLOOKUP(A72,MasterTable[[#All],[WCAG guideline]:[Epilepsy]],9,FALSE)," ")*I72,0)</f>
        <v>0</v>
      </c>
      <c r="T72" s="44">
        <f>IFERROR(IFERROR(VLOOKUP(A72,MasterTable[[#All],[WCAG guideline]:[Epilepsy]],9,FALSE)," ")*J72,0)</f>
        <v>0</v>
      </c>
      <c r="U72" s="44">
        <f>IFERROR(IFERROR(VLOOKUP(A72,MasterTable[[#All],[WCAG guideline]:[Epilepsy]],10,FALSE)," ")*I72,0)</f>
        <v>0</v>
      </c>
      <c r="V72" s="44">
        <f>IFERROR(IFERROR(VLOOKUP(A72,MasterTable[[#All],[WCAG guideline]:[Epilepsy]],10,FALSE)," ")*J72,0)</f>
        <v>300</v>
      </c>
      <c r="W72" s="44">
        <f>IFERROR(IFERROR(VLOOKUP(A72,MasterTable[[#All],[WCAG guideline]:[Epilepsy]],11,FALSE)," ")*I72,0)</f>
        <v>0</v>
      </c>
      <c r="X72" s="44">
        <f>IFERROR(IFERROR(VLOOKUP(A72,MasterTable[[#All],[WCAG guideline]:[Epilepsy]],11,FALSE)," ")*J72,0)</f>
        <v>0</v>
      </c>
      <c r="Y72" s="44">
        <f>IFERROR(IFERROR(VLOOKUP(A72,MasterTable[[#All],[WCAG guideline]:[Epilepsy]],12,FALSE)," ")*I72,0)</f>
        <v>0</v>
      </c>
      <c r="Z72" s="44">
        <f>IFERROR(IFERROR(VLOOKUP(A72,MasterTable[[#All],[WCAG guideline]:[Epilepsy]],12,FALSE)," ")*J72,0)</f>
        <v>0</v>
      </c>
    </row>
    <row r="73" spans="1:26" ht="22.8" x14ac:dyDescent="0.4">
      <c r="A73" s="75" t="s">
        <v>380</v>
      </c>
      <c r="B73" s="44" t="str">
        <f>IFERROR(VLOOKUP(A73,MasterTable[[#All],[WCAG guideline]:[2.2 Level]],4,FALSE), "Not found")</f>
        <v>A</v>
      </c>
      <c r="C73" s="44">
        <f>COUNTIFS('Custom Test Script'!B2:B200,"*"&amp;'Findings Breakdown'!A73&amp;"*",'Custom Test Script'!D2:D200,'Validations List'!A107)+COUNTIFS('Report Entry'!D26:D207,"*"&amp;'Findings Breakdown'!A73&amp;"*",'Report Entry'!B26:B207,'Validations List'!A107)</f>
        <v>0</v>
      </c>
      <c r="D73" s="44">
        <f>COUNTIFS('Custom Test Script'!B2:B200,"*"&amp;'Findings Breakdown'!A73&amp;"*",'Custom Test Script'!D2:D200,'Validations List'!A106)+COUNTIFS('Report Entry'!D26:D207,"*"&amp;'Findings Breakdown'!A73&amp;"*",'Report Entry'!B26:B207,'Validations List'!A106)</f>
        <v>0</v>
      </c>
      <c r="E73" s="44">
        <f>COUNTIFS('Custom Test Script'!B2:B200,"*"&amp;'Findings Breakdown'!A73&amp;"*",'Custom Test Script'!D2:D200,'Validations List'!A105)+COUNTIFS('Report Entry'!D26:D207,"*"&amp;'Findings Breakdown'!A73&amp;"*",'Report Entry'!B26:B207,'Validations List'!A105)</f>
        <v>0</v>
      </c>
      <c r="F73" s="44">
        <f>COUNTIFS('Custom Test Script'!B2:B200,"*"&amp;'Findings Breakdown'!A73&amp;"*",'Custom Test Script'!D2:D200,'Validations List'!A108)+COUNTIFS('Report Entry'!D26:D207,"*"&amp;'Findings Breakdown'!A73&amp;"*",'Report Entry'!B26:B207,'Validations List'!A108)</f>
        <v>0</v>
      </c>
      <c r="G73" s="44">
        <f>COUNTIFS('Custom Test Script'!B2:B200,"*"&amp;'Findings Breakdown'!A73&amp;"*",'Custom Test Script'!D2:D200,'Validations List'!A109)+COUNTIFS('Report Entry'!D26:D207,"*"&amp;'Findings Breakdown'!A73&amp;"*",'Report Entry'!B26:B207,'Validations List'!A109)</f>
        <v>0</v>
      </c>
      <c r="H73" s="93" t="str" cm="1">
        <f t="array" ref="H73">INDEX('Validations List'!A152:D152,SUMPRODUCT(MAX(('Validations List'!A152:D181=A73)*(COLUMN('Validations List'!A152:D181))))-COLUMN('Validations List'!A152)+1)</f>
        <v>Standard</v>
      </c>
      <c r="I73" s="77">
        <f>IFERROR(WCAG21results[[#This Row],['# Support w/ Exceptions]]*WCAG21results[[#This Row],[Exceptions Value per2]]+(WCAG21results[[#This Row],['# Supports]]+WCAG21results[[#This Row],['# Does Not Apply]])*WCAG21results[[#This Row],[Supports Value per]]," ")</f>
        <v>0</v>
      </c>
      <c r="J73" s="77">
        <f>IFERROR('Validations List'!I36*WCAG21results[[#This Row],[Supports Value per]]," ")</f>
        <v>50</v>
      </c>
      <c r="K73" s="44">
        <f>IF(WCAG21results[[#This Row],[Importance by Agency]]='Validations List'!A113,'Validations List'!D113,IF(WCAG21results[[#This Row],[Importance by Agency]]='Validations List'!A114,'Validations List'!D114,IF(WCAG21results[[#This Row],[Importance by Agency]]='Validations List'!A115,'Validations List'!D115,"Not Ranked")))</f>
        <v>50</v>
      </c>
      <c r="L73" s="44">
        <f>IF(WCAG21results[[#This Row],[Importance by Agency]]='Validations List'!A113,'Validations List'!C113,IF(WCAG21results[[#This Row],[Importance by Agency]]='Validations List'!A114,'Validations List'!C114,IF(WCAG21results[[#This Row],[Importance by Agency]]='Validations List'!A115,'Validations List'!C115,"Not Ranked")))</f>
        <v>25</v>
      </c>
      <c r="M73" s="83">
        <f>IFERROR(IFERROR(VLOOKUP(A73,MasterTable[[#All],[WCAG guideline]:[Epilepsy]],6,FALSE)," ")*I73,0)</f>
        <v>0</v>
      </c>
      <c r="N73" s="83">
        <f>IFERROR(IFERROR(VLOOKUP(A73,MasterTable[[#All],[WCAG guideline]:[Epilepsy]],6,FALSE)," ")*J73,0)</f>
        <v>0</v>
      </c>
      <c r="O73" s="44">
        <f>IFERROR(IFERROR(VLOOKUP(A73,MasterTable[[#All],[WCAG guideline]:[Epilepsy]],7,FALSE)," ")*I73,0)</f>
        <v>0</v>
      </c>
      <c r="P73" s="44">
        <f>IFERROR(IFERROR(VLOOKUP(A73,MasterTable[[#All],[WCAG guideline]:[Epilepsy]],7,FALSE)," ")*J73,0)</f>
        <v>0</v>
      </c>
      <c r="Q73" s="44">
        <f>IFERROR(IFERROR(VLOOKUP(A73,MasterTable[[#All],[WCAG guideline]:[Epilepsy]],8,FALSE)," ")*I73,0)</f>
        <v>0</v>
      </c>
      <c r="R73" s="44">
        <f>IFERROR(IFERROR(VLOOKUP(A73,MasterTable[[#All],[WCAG guideline]:[Epilepsy]],8,FALSE)," ")*J73,0)</f>
        <v>0</v>
      </c>
      <c r="S73" s="44">
        <f>IFERROR(IFERROR(VLOOKUP(A73,MasterTable[[#All],[WCAG guideline]:[Epilepsy]],9,FALSE)," ")*I73,0)</f>
        <v>0</v>
      </c>
      <c r="T73" s="44">
        <f>IFERROR(IFERROR(VLOOKUP(A73,MasterTable[[#All],[WCAG guideline]:[Epilepsy]],9,FALSE)," ")*J73,0)</f>
        <v>0</v>
      </c>
      <c r="U73" s="44">
        <f>IFERROR(IFERROR(VLOOKUP(A73,MasterTable[[#All],[WCAG guideline]:[Epilepsy]],10,FALSE)," ")*I73,0)</f>
        <v>0</v>
      </c>
      <c r="V73" s="44">
        <f>IFERROR(IFERROR(VLOOKUP(A73,MasterTable[[#All],[WCAG guideline]:[Epilepsy]],10,FALSE)," ")*J73,0)</f>
        <v>0</v>
      </c>
      <c r="W73" s="44">
        <f>IFERROR(IFERROR(VLOOKUP(A73,MasterTable[[#All],[WCAG guideline]:[Epilepsy]],11,FALSE)," ")*I73,0)</f>
        <v>0</v>
      </c>
      <c r="X73" s="44">
        <f>IFERROR(IFERROR(VLOOKUP(A73,MasterTable[[#All],[WCAG guideline]:[Epilepsy]],11,FALSE)," ")*J73,0)</f>
        <v>50</v>
      </c>
      <c r="Y73" s="44">
        <f>IFERROR(IFERROR(VLOOKUP(A73,MasterTable[[#All],[WCAG guideline]:[Epilepsy]],12,FALSE)," ")*I73,0)</f>
        <v>0</v>
      </c>
      <c r="Z73" s="44">
        <f>IFERROR(IFERROR(VLOOKUP(A73,MasterTable[[#All],[WCAG guideline]:[Epilepsy]],12,FALSE)," ")*J73,0)</f>
        <v>0</v>
      </c>
    </row>
    <row r="74" spans="1:26" ht="22.8" x14ac:dyDescent="0.4">
      <c r="A74" s="75" t="s">
        <v>381</v>
      </c>
      <c r="B74" s="44" t="str">
        <f>IFERROR(VLOOKUP(A74,MasterTable[[#All],[WCAG guideline]:[2.2 Level]],4,FALSE), "Not found")</f>
        <v>AAA</v>
      </c>
      <c r="C74" s="44">
        <f>COUNTIFS('Custom Test Script'!B2:B200,"*"&amp;'Findings Breakdown'!A74&amp;"*",'Custom Test Script'!D2:D200,'Validations List'!A107)+COUNTIFS('Report Entry'!D26:D207,"*"&amp;'Findings Breakdown'!A74&amp;"*",'Report Entry'!B26:B207,'Validations List'!A107)</f>
        <v>0</v>
      </c>
      <c r="D74" s="44">
        <f>COUNTIFS('Custom Test Script'!B2:B200,"*"&amp;'Findings Breakdown'!A74&amp;"*",'Custom Test Script'!D2:D200,'Validations List'!A106)+COUNTIFS('Report Entry'!D26:D207,"*"&amp;'Findings Breakdown'!A74&amp;"*",'Report Entry'!B26:B207,'Validations List'!A106)</f>
        <v>0</v>
      </c>
      <c r="E74" s="44">
        <f>COUNTIFS('Custom Test Script'!B2:B200,"*"&amp;'Findings Breakdown'!A74&amp;"*",'Custom Test Script'!D2:D200,'Validations List'!A105)+COUNTIFS('Report Entry'!D26:D207,"*"&amp;'Findings Breakdown'!A74&amp;"*",'Report Entry'!B26:B207,'Validations List'!A105)</f>
        <v>0</v>
      </c>
      <c r="F74" s="44">
        <f>COUNTIFS('Custom Test Script'!B2:B200,"*"&amp;'Findings Breakdown'!A74&amp;"*",'Custom Test Script'!D2:D200,'Validations List'!A108)+COUNTIFS('Report Entry'!D26:D207,"*"&amp;'Findings Breakdown'!A74&amp;"*",'Report Entry'!B26:B207,'Validations List'!A108)</f>
        <v>0</v>
      </c>
      <c r="G74" s="44">
        <f>COUNTIFS('Custom Test Script'!B2:B200,"*"&amp;'Findings Breakdown'!A74&amp;"*",'Custom Test Script'!D2:D200,'Validations List'!A109)+COUNTIFS('Report Entry'!D26:D207,"*"&amp;'Findings Breakdown'!A74&amp;"*",'Report Entry'!B26:B207,'Validations List'!A109)</f>
        <v>0</v>
      </c>
      <c r="H74" s="93" t="str" cm="1">
        <f t="array" ref="H74">INDEX('Validations List'!A152:D152,SUMPRODUCT(MAX(('Validations List'!A152:D181=A74)*(COLUMN('Validations List'!A152:D181))))-COLUMN('Validations List'!A152)+1)</f>
        <v>Not ranked</v>
      </c>
      <c r="I74" s="77" t="str">
        <f>IFERROR(WCAG21results[[#This Row],['# Support w/ Exceptions]]*WCAG21results[[#This Row],[Exceptions Value per2]]+(WCAG21results[[#This Row],['# Supports]]+WCAG21results[[#This Row],['# Does Not Apply]])*WCAG21results[[#This Row],[Supports Value per]]," ")</f>
        <v xml:space="preserve"> </v>
      </c>
      <c r="J74" s="77" t="str">
        <f>IFERROR('Validations List'!I42*WCAG21results[[#This Row],[Supports Value per]]," ")</f>
        <v xml:space="preserve"> </v>
      </c>
      <c r="K74" s="44" t="str">
        <f>IF(WCAG21results[[#This Row],[Importance by Agency]]='Validations List'!A113,'Validations List'!D113,IF(WCAG21results[[#This Row],[Importance by Agency]]='Validations List'!A114,'Validations List'!D114,IF(WCAG21results[[#This Row],[Importance by Agency]]='Validations List'!A115,'Validations List'!D115,"Not Ranked")))</f>
        <v>Not Ranked</v>
      </c>
      <c r="L74" s="44" t="str">
        <f>IF(WCAG21results[[#This Row],[Importance by Agency]]='Validations List'!A113,'Validations List'!C113,IF(WCAG21results[[#This Row],[Importance by Agency]]='Validations List'!A114,'Validations List'!C114,IF(WCAG21results[[#This Row],[Importance by Agency]]='Validations List'!A115,'Validations List'!C115,"Not Ranked")))</f>
        <v>Not Ranked</v>
      </c>
      <c r="M74" s="83">
        <f>IFERROR(IFERROR(VLOOKUP(A74,MasterTable[[#All],[WCAG guideline]:[Epilepsy]],6,FALSE)," ")*I74,0)</f>
        <v>0</v>
      </c>
      <c r="N74" s="83">
        <f>IFERROR(IFERROR(VLOOKUP(A74,MasterTable[[#All],[WCAG guideline]:[Epilepsy]],6,FALSE)," ")*J74,0)</f>
        <v>0</v>
      </c>
      <c r="O74" s="44">
        <f>IFERROR(IFERROR(VLOOKUP(A74,MasterTable[[#All],[WCAG guideline]:[Epilepsy]],7,FALSE)," ")*I74,0)</f>
        <v>0</v>
      </c>
      <c r="P74" s="44">
        <f>IFERROR(IFERROR(VLOOKUP(A74,MasterTable[[#All],[WCAG guideline]:[Epilepsy]],7,FALSE)," ")*J74,0)</f>
        <v>0</v>
      </c>
      <c r="Q74" s="44">
        <f>IFERROR(IFERROR(VLOOKUP(A74,MasterTable[[#All],[WCAG guideline]:[Epilepsy]],8,FALSE)," ")*I74,0)</f>
        <v>0</v>
      </c>
      <c r="R74" s="44">
        <f>IFERROR(IFERROR(VLOOKUP(A74,MasterTable[[#All],[WCAG guideline]:[Epilepsy]],8,FALSE)," ")*J74,0)</f>
        <v>0</v>
      </c>
      <c r="S74" s="44">
        <f>IFERROR(IFERROR(VLOOKUP(A74,MasterTable[[#All],[WCAG guideline]:[Epilepsy]],9,FALSE)," ")*I74,0)</f>
        <v>0</v>
      </c>
      <c r="T74" s="44">
        <f>IFERROR(IFERROR(VLOOKUP(A74,MasterTable[[#All],[WCAG guideline]:[Epilepsy]],9,FALSE)," ")*J74,0)</f>
        <v>0</v>
      </c>
      <c r="U74" s="44">
        <f>IFERROR(IFERROR(VLOOKUP(A74,MasterTable[[#All],[WCAG guideline]:[Epilepsy]],10,FALSE)," ")*I74,0)</f>
        <v>0</v>
      </c>
      <c r="V74" s="44">
        <f>IFERROR(IFERROR(VLOOKUP(A74,MasterTable[[#All],[WCAG guideline]:[Epilepsy]],10,FALSE)," ")*J74,0)</f>
        <v>0</v>
      </c>
      <c r="W74" s="44">
        <f>IFERROR(IFERROR(VLOOKUP(A74,MasterTable[[#All],[WCAG guideline]:[Epilepsy]],11,FALSE)," ")*I74,0)</f>
        <v>0</v>
      </c>
      <c r="X74" s="44">
        <f>IFERROR(IFERROR(VLOOKUP(A74,MasterTable[[#All],[WCAG guideline]:[Epilepsy]],11,FALSE)," ")*J74,0)</f>
        <v>0</v>
      </c>
      <c r="Y74" s="44">
        <f>IFERROR(IFERROR(VLOOKUP(A74,MasterTable[[#All],[WCAG guideline]:[Epilepsy]],12,FALSE)," ")*I74,0)</f>
        <v>0</v>
      </c>
      <c r="Z74" s="44">
        <f>IFERROR(IFERROR(VLOOKUP(A74,MasterTable[[#All],[WCAG guideline]:[Epilepsy]],12,FALSE)," ")*J74,0)</f>
        <v>0</v>
      </c>
    </row>
    <row r="75" spans="1:26" ht="22.8" x14ac:dyDescent="0.4">
      <c r="A75" s="75" t="s">
        <v>382</v>
      </c>
      <c r="B75" s="44" t="str">
        <f>IFERROR(VLOOKUP(A75,MasterTable[[#All],[WCAG guideline]:[2.2 Level]],4,FALSE), "Not found")</f>
        <v>AAA</v>
      </c>
      <c r="C75" s="44">
        <f>COUNTIFS('Custom Test Script'!B2:B200,"*"&amp;'Findings Breakdown'!A75&amp;"*",'Custom Test Script'!D2:D200,'Validations List'!A107)+COUNTIFS('Report Entry'!D26:D207,"*"&amp;'Findings Breakdown'!A75&amp;"*",'Report Entry'!B26:B207,'Validations List'!A107)</f>
        <v>0</v>
      </c>
      <c r="D75" s="44">
        <f>COUNTIFS('Custom Test Script'!B2:B200,"*"&amp;'Findings Breakdown'!A75&amp;"*",'Custom Test Script'!D2:D200,'Validations List'!A106)+COUNTIFS('Report Entry'!D26:D207,"*"&amp;'Findings Breakdown'!A75&amp;"*",'Report Entry'!B26:B207,'Validations List'!A106)</f>
        <v>0</v>
      </c>
      <c r="E75" s="44">
        <f>COUNTIFS('Custom Test Script'!B2:B200,"*"&amp;'Findings Breakdown'!A75&amp;"*",'Custom Test Script'!D2:D200,'Validations List'!A105)+COUNTIFS('Report Entry'!D26:D207,"*"&amp;'Findings Breakdown'!A75&amp;"*",'Report Entry'!B26:B207,'Validations List'!A105)</f>
        <v>0</v>
      </c>
      <c r="F75" s="44">
        <f>COUNTIFS('Custom Test Script'!B2:B200,"*"&amp;'Findings Breakdown'!A75&amp;"*",'Custom Test Script'!D2:D200,'Validations List'!A108)+COUNTIFS('Report Entry'!D26:D207,"*"&amp;'Findings Breakdown'!A75&amp;"*",'Report Entry'!B26:B207,'Validations List'!A108)</f>
        <v>0</v>
      </c>
      <c r="G75" s="44">
        <f>COUNTIFS('Custom Test Script'!B2:B200,"*"&amp;'Findings Breakdown'!A75&amp;"*",'Custom Test Script'!D2:D200,'Validations List'!A109)+COUNTIFS('Report Entry'!D26:D207,"*"&amp;'Findings Breakdown'!A75&amp;"*",'Report Entry'!B26:B207,'Validations List'!A109)</f>
        <v>0</v>
      </c>
      <c r="H75" s="93" t="str" cm="1">
        <f t="array" ref="H75">INDEX('Validations List'!A152:D152,SUMPRODUCT(MAX(('Validations List'!A152:D181=A75)*(COLUMN('Validations List'!A152:D181))))-COLUMN('Validations List'!A152)+1)</f>
        <v>Not ranked</v>
      </c>
      <c r="I75" s="77" t="str">
        <f>IFERROR(WCAG21results[[#This Row],['# Support w/ Exceptions]]*WCAG21results[[#This Row],[Exceptions Value per2]]+(WCAG21results[[#This Row],['# Supports]]+WCAG21results[[#This Row],['# Does Not Apply]])*WCAG21results[[#This Row],[Supports Value per]]," ")</f>
        <v xml:space="preserve"> </v>
      </c>
      <c r="J75" s="77" t="str">
        <f>IFERROR('Validations List'!I45*WCAG21results[[#This Row],[Supports Value per]]," ")</f>
        <v xml:space="preserve"> </v>
      </c>
      <c r="K75" s="44" t="str">
        <f>IF(WCAG21results[[#This Row],[Importance by Agency]]='Validations List'!A113,'Validations List'!D113,IF(WCAG21results[[#This Row],[Importance by Agency]]='Validations List'!A114,'Validations List'!D114,IF(WCAG21results[[#This Row],[Importance by Agency]]='Validations List'!A115,'Validations List'!D115,"Not Ranked")))</f>
        <v>Not Ranked</v>
      </c>
      <c r="L75" s="44" t="str">
        <f>IF(WCAG21results[[#This Row],[Importance by Agency]]='Validations List'!A113,'Validations List'!C113,IF(WCAG21results[[#This Row],[Importance by Agency]]='Validations List'!A114,'Validations List'!C114,IF(WCAG21results[[#This Row],[Importance by Agency]]='Validations List'!A115,'Validations List'!C115,"Not Ranked")))</f>
        <v>Not Ranked</v>
      </c>
      <c r="M75" s="83">
        <f>IFERROR(IFERROR(VLOOKUP(A75,MasterTable[[#All],[WCAG guideline]:[Epilepsy]],6,FALSE)," ")*I75,0)</f>
        <v>0</v>
      </c>
      <c r="N75" s="83">
        <f>IFERROR(IFERROR(VLOOKUP(A75,MasterTable[[#All],[WCAG guideline]:[Epilepsy]],6,FALSE)," ")*J75,0)</f>
        <v>0</v>
      </c>
      <c r="O75" s="44">
        <f>IFERROR(IFERROR(VLOOKUP(A75,MasterTable[[#All],[WCAG guideline]:[Epilepsy]],7,FALSE)," ")*I75,0)</f>
        <v>0</v>
      </c>
      <c r="P75" s="44">
        <f>IFERROR(IFERROR(VLOOKUP(A75,MasterTable[[#All],[WCAG guideline]:[Epilepsy]],7,FALSE)," ")*J75,0)</f>
        <v>0</v>
      </c>
      <c r="Q75" s="44">
        <f>IFERROR(IFERROR(VLOOKUP(A75,MasterTable[[#All],[WCAG guideline]:[Epilepsy]],8,FALSE)," ")*I75,0)</f>
        <v>0</v>
      </c>
      <c r="R75" s="44">
        <f>IFERROR(IFERROR(VLOOKUP(A75,MasterTable[[#All],[WCAG guideline]:[Epilepsy]],8,FALSE)," ")*J75,0)</f>
        <v>0</v>
      </c>
      <c r="S75" s="44">
        <f>IFERROR(IFERROR(VLOOKUP(A75,MasterTable[[#All],[WCAG guideline]:[Epilepsy]],9,FALSE)," ")*I75,0)</f>
        <v>0</v>
      </c>
      <c r="T75" s="44">
        <f>IFERROR(IFERROR(VLOOKUP(A75,MasterTable[[#All],[WCAG guideline]:[Epilepsy]],9,FALSE)," ")*J75,0)</f>
        <v>0</v>
      </c>
      <c r="U75" s="44">
        <f>IFERROR(IFERROR(VLOOKUP(A75,MasterTable[[#All],[WCAG guideline]:[Epilepsy]],10,FALSE)," ")*I75,0)</f>
        <v>0</v>
      </c>
      <c r="V75" s="44">
        <f>IFERROR(IFERROR(VLOOKUP(A75,MasterTable[[#All],[WCAG guideline]:[Epilepsy]],10,FALSE)," ")*J75,0)</f>
        <v>0</v>
      </c>
      <c r="W75" s="44">
        <f>IFERROR(IFERROR(VLOOKUP(A75,MasterTable[[#All],[WCAG guideline]:[Epilepsy]],11,FALSE)," ")*I75,0)</f>
        <v>0</v>
      </c>
      <c r="X75" s="44">
        <f>IFERROR(IFERROR(VLOOKUP(A75,MasterTable[[#All],[WCAG guideline]:[Epilepsy]],11,FALSE)," ")*J75,0)</f>
        <v>0</v>
      </c>
      <c r="Y75" s="44">
        <f>IFERROR(IFERROR(VLOOKUP(A75,MasterTable[[#All],[WCAG guideline]:[Epilepsy]],12,FALSE)," ")*I75,0)</f>
        <v>0</v>
      </c>
      <c r="Z75" s="44">
        <f>IFERROR(IFERROR(VLOOKUP(A75,MasterTable[[#All],[WCAG guideline]:[Epilepsy]],12,FALSE)," ")*J75,0)</f>
        <v>0</v>
      </c>
    </row>
    <row r="76" spans="1:26" ht="22.8" x14ac:dyDescent="0.4">
      <c r="A76" s="75" t="s">
        <v>383</v>
      </c>
      <c r="B76" s="44" t="str">
        <f>IFERROR(VLOOKUP(A76,MasterTable[[#All],[WCAG guideline]:[2.2 Level]],4,FALSE), "Not found")</f>
        <v>A</v>
      </c>
      <c r="C76" s="44">
        <f>COUNTIFS('Custom Test Script'!B2:B200,"*"&amp;'Findings Breakdown'!A76&amp;"*",'Custom Test Script'!D2:D200,'Validations List'!A107)+COUNTIFS('Report Entry'!D26:D207,"*"&amp;'Findings Breakdown'!A76&amp;"*",'Report Entry'!B26:B207,'Validations List'!A107)</f>
        <v>0</v>
      </c>
      <c r="D76" s="44">
        <f>COUNTIFS('Custom Test Script'!B2:B200,"*"&amp;'Findings Breakdown'!A76&amp;"*",'Custom Test Script'!D2:D200,'Validations List'!A106)+COUNTIFS('Report Entry'!D26:D207,"*"&amp;'Findings Breakdown'!A76&amp;"*",'Report Entry'!B26:B207,'Validations List'!A106)</f>
        <v>0</v>
      </c>
      <c r="E76" s="44">
        <f>COUNTIFS('Custom Test Script'!B2:B200,"*"&amp;'Findings Breakdown'!A76&amp;"*",'Custom Test Script'!D2:D200,'Validations List'!A105)+COUNTIFS('Report Entry'!D26:D207,"*"&amp;'Findings Breakdown'!A76&amp;"*",'Report Entry'!B26:B207,'Validations List'!A105)</f>
        <v>0</v>
      </c>
      <c r="F76" s="44">
        <f>COUNTIFS('Custom Test Script'!B2:B200,"*"&amp;'Findings Breakdown'!A76&amp;"*",'Custom Test Script'!D2:D200,'Validations List'!A108)+COUNTIFS('Report Entry'!D26:D207,"*"&amp;'Findings Breakdown'!A76&amp;"*",'Report Entry'!B26:B207,'Validations List'!A108)</f>
        <v>0</v>
      </c>
      <c r="G76" s="44">
        <f>COUNTIFS('Custom Test Script'!B2:B200,"*"&amp;'Findings Breakdown'!A76&amp;"*",'Custom Test Script'!D2:D200,'Validations List'!A109)+COUNTIFS('Report Entry'!D26:D207,"*"&amp;'Findings Breakdown'!A76&amp;"*",'Report Entry'!B26:B207,'Validations List'!A109)</f>
        <v>0</v>
      </c>
      <c r="H76" s="93" t="str" cm="1">
        <f t="array" ref="H76">INDEX('Validations List'!A152:D152,SUMPRODUCT(MAX(('Validations List'!A152:D181=A76)*(COLUMN('Validations List'!A152:D181))))-COLUMN('Validations List'!A152)+1)</f>
        <v>Important</v>
      </c>
      <c r="I76" s="77">
        <f>IFERROR(WCAG21results[[#This Row],['# Support w/ Exceptions]]*WCAG21results[[#This Row],[Exceptions Value per2]]+(WCAG21results[[#This Row],['# Supports]]+WCAG21results[[#This Row],['# Does Not Apply]])*WCAG21results[[#This Row],[Supports Value per]]," ")</f>
        <v>0</v>
      </c>
      <c r="J76" s="77">
        <f>IFERROR('Validations List'!I59*WCAG21results[[#This Row],[Supports Value per]]," ")</f>
        <v>100</v>
      </c>
      <c r="K76" s="44">
        <f>IF(WCAG21results[[#This Row],[Importance by Agency]]='Validations List'!A113,'Validations List'!D113,IF(WCAG21results[[#This Row],[Importance by Agency]]='Validations List'!A114,'Validations List'!D114,IF(WCAG21results[[#This Row],[Importance by Agency]]='Validations List'!A115,'Validations List'!D115,"Not Ranked")))</f>
        <v>100</v>
      </c>
      <c r="L76" s="44">
        <f>IF(WCAG21results[[#This Row],[Importance by Agency]]='Validations List'!A113,'Validations List'!C113,IF(WCAG21results[[#This Row],[Importance by Agency]]='Validations List'!A114,'Validations List'!C114,IF(WCAG21results[[#This Row],[Importance by Agency]]='Validations List'!A115,'Validations List'!C115,"Not Ranked")))</f>
        <v>50</v>
      </c>
      <c r="M76" s="83">
        <f>IFERROR(IFERROR(VLOOKUP(A76,MasterTable[[#All],[WCAG guideline]:[Epilepsy]],6,FALSE)," ")*I76,0)</f>
        <v>0</v>
      </c>
      <c r="N76" s="83">
        <f>IFERROR(IFERROR(VLOOKUP(A76,MasterTable[[#All],[WCAG guideline]:[Epilepsy]],6,FALSE)," ")*J76,0)</f>
        <v>0</v>
      </c>
      <c r="O76" s="44">
        <f>IFERROR(IFERROR(VLOOKUP(A76,MasterTable[[#All],[WCAG guideline]:[Epilepsy]],7,FALSE)," ")*I76,0)</f>
        <v>0</v>
      </c>
      <c r="P76" s="44">
        <f>IFERROR(IFERROR(VLOOKUP(A76,MasterTable[[#All],[WCAG guideline]:[Epilepsy]],7,FALSE)," ")*J76,0)</f>
        <v>0</v>
      </c>
      <c r="Q76" s="44">
        <f>IFERROR(IFERROR(VLOOKUP(A76,MasterTable[[#All],[WCAG guideline]:[Epilepsy]],8,FALSE)," ")*I76,0)</f>
        <v>0</v>
      </c>
      <c r="R76" s="44">
        <f>IFERROR(IFERROR(VLOOKUP(A76,MasterTable[[#All],[WCAG guideline]:[Epilepsy]],8,FALSE)," ")*J76,0)</f>
        <v>0</v>
      </c>
      <c r="S76" s="44">
        <f>IFERROR(IFERROR(VLOOKUP(A76,MasterTable[[#All],[WCAG guideline]:[Epilepsy]],9,FALSE)," ")*I76,0)</f>
        <v>0</v>
      </c>
      <c r="T76" s="44">
        <f>IFERROR(IFERROR(VLOOKUP(A76,MasterTable[[#All],[WCAG guideline]:[Epilepsy]],9,FALSE)," ")*J76,0)</f>
        <v>0</v>
      </c>
      <c r="U76" s="44">
        <f>IFERROR(IFERROR(VLOOKUP(A76,MasterTable[[#All],[WCAG guideline]:[Epilepsy]],10,FALSE)," ")*I76,0)</f>
        <v>0</v>
      </c>
      <c r="V76" s="44">
        <f>IFERROR(IFERROR(VLOOKUP(A76,MasterTable[[#All],[WCAG guideline]:[Epilepsy]],10,FALSE)," ")*J76,0)</f>
        <v>100</v>
      </c>
      <c r="W76" s="44">
        <f>IFERROR(IFERROR(VLOOKUP(A76,MasterTable[[#All],[WCAG guideline]:[Epilepsy]],11,FALSE)," ")*I76,0)</f>
        <v>0</v>
      </c>
      <c r="X76" s="44">
        <f>IFERROR(IFERROR(VLOOKUP(A76,MasterTable[[#All],[WCAG guideline]:[Epilepsy]],11,FALSE)," ")*J76,0)</f>
        <v>100</v>
      </c>
      <c r="Y76" s="44">
        <f>IFERROR(IFERROR(VLOOKUP(A76,MasterTable[[#All],[WCAG guideline]:[Epilepsy]],12,FALSE)," ")*I76,0)</f>
        <v>0</v>
      </c>
      <c r="Z76" s="44">
        <f>IFERROR(IFERROR(VLOOKUP(A76,MasterTable[[#All],[WCAG guideline]:[Epilepsy]],12,FALSE)," ")*J76,0)</f>
        <v>0</v>
      </c>
    </row>
    <row r="77" spans="1:26" ht="22.8" x14ac:dyDescent="0.4">
      <c r="A77" s="75" t="s">
        <v>384</v>
      </c>
      <c r="B77" s="44" t="str">
        <f>IFERROR(VLOOKUP(A77,MasterTable[[#All],[WCAG guideline]:[2.2 Level]],4,FALSE), "Not found")</f>
        <v>A</v>
      </c>
      <c r="C77" s="44">
        <f>COUNTIFS('Custom Test Script'!B2:B200,"*"&amp;'Findings Breakdown'!A77&amp;"*",'Custom Test Script'!D2:D200,'Validations List'!A107)+COUNTIFS('Report Entry'!D26:D207,"*"&amp;'Findings Breakdown'!A77&amp;"*",'Report Entry'!B26:B207,'Validations List'!A107)</f>
        <v>0</v>
      </c>
      <c r="D77" s="44">
        <f>COUNTIFS('Custom Test Script'!B2:B200,"*"&amp;'Findings Breakdown'!A77&amp;"*",'Custom Test Script'!D2:D200,'Validations List'!A106)+COUNTIFS('Report Entry'!D26:D207,"*"&amp;'Findings Breakdown'!A77&amp;"*",'Report Entry'!B26:B207,'Validations List'!A106)</f>
        <v>0</v>
      </c>
      <c r="E77" s="44">
        <f>COUNTIFS('Custom Test Script'!B2:B200,"*"&amp;'Findings Breakdown'!A77&amp;"*",'Custom Test Script'!D2:D200,'Validations List'!A105)+COUNTIFS('Report Entry'!D26:D207,"*"&amp;'Findings Breakdown'!A77&amp;"*",'Report Entry'!B26:B207,'Validations List'!A105)</f>
        <v>0</v>
      </c>
      <c r="F77" s="44">
        <f>COUNTIFS('Custom Test Script'!B2:B200,"*"&amp;'Findings Breakdown'!A77&amp;"*",'Custom Test Script'!D2:D200,'Validations List'!A108)+COUNTIFS('Report Entry'!D26:D207,"*"&amp;'Findings Breakdown'!A77&amp;"*",'Report Entry'!B26:B207,'Validations List'!A108)</f>
        <v>0</v>
      </c>
      <c r="G77" s="44">
        <f>COUNTIFS('Custom Test Script'!B2:B200,"*"&amp;'Findings Breakdown'!A77&amp;"*",'Custom Test Script'!D2:D200,'Validations List'!A109)+COUNTIFS('Report Entry'!D26:D207,"*"&amp;'Findings Breakdown'!A77&amp;"*",'Report Entry'!B26:B207,'Validations List'!A109)</f>
        <v>0</v>
      </c>
      <c r="H77" s="93" t="str" cm="1">
        <f t="array" ref="H77">INDEX('Validations List'!A152:D152,SUMPRODUCT(MAX(('Validations List'!A152:D181=A77)*(COLUMN('Validations List'!A152:D181))))-COLUMN('Validations List'!A152)+1)</f>
        <v>Extremely Important</v>
      </c>
      <c r="I77" s="77">
        <f>IFERROR(WCAG21results[[#This Row],['# Support w/ Exceptions]]*WCAG21results[[#This Row],[Exceptions Value per2]]+(WCAG21results[[#This Row],['# Supports]]+WCAG21results[[#This Row],['# Does Not Apply]])*WCAG21results[[#This Row],[Supports Value per]]," ")</f>
        <v>0</v>
      </c>
      <c r="J77" s="77">
        <f>IFERROR('Validations List'!I60*WCAG21results[[#This Row],[Supports Value per]]," ")</f>
        <v>300</v>
      </c>
      <c r="K77" s="44">
        <f>IF(WCAG21results[[#This Row],[Importance by Agency]]='Validations List'!A113,'Validations List'!D113,IF(WCAG21results[[#This Row],[Importance by Agency]]='Validations List'!A114,'Validations List'!D114,IF(WCAG21results[[#This Row],[Importance by Agency]]='Validations List'!A115,'Validations List'!D115,"Not Ranked")))</f>
        <v>300</v>
      </c>
      <c r="L77" s="44">
        <f>IF(WCAG21results[[#This Row],[Importance by Agency]]='Validations List'!A113,'Validations List'!C113,IF(WCAG21results[[#This Row],[Importance by Agency]]='Validations List'!A114,'Validations List'!C114,IF(WCAG21results[[#This Row],[Importance by Agency]]='Validations List'!A115,'Validations List'!C115,"Not Ranked")))</f>
        <v>150</v>
      </c>
      <c r="M77" s="83">
        <f>IFERROR(IFERROR(VLOOKUP(A77,MasterTable[[#All],[WCAG guideline]:[Epilepsy]],6,FALSE)," ")*I77,0)</f>
        <v>0</v>
      </c>
      <c r="N77" s="83">
        <f>IFERROR(IFERROR(VLOOKUP(A77,MasterTable[[#All],[WCAG guideline]:[Epilepsy]],6,FALSE)," ")*J77,0)</f>
        <v>0</v>
      </c>
      <c r="O77" s="44">
        <f>IFERROR(IFERROR(VLOOKUP(A77,MasterTable[[#All],[WCAG guideline]:[Epilepsy]],7,FALSE)," ")*I77,0)</f>
        <v>0</v>
      </c>
      <c r="P77" s="44">
        <f>IFERROR(IFERROR(VLOOKUP(A77,MasterTable[[#All],[WCAG guideline]:[Epilepsy]],7,FALSE)," ")*J77,0)</f>
        <v>0</v>
      </c>
      <c r="Q77" s="44">
        <f>IFERROR(IFERROR(VLOOKUP(A77,MasterTable[[#All],[WCAG guideline]:[Epilepsy]],8,FALSE)," ")*I77,0)</f>
        <v>0</v>
      </c>
      <c r="R77" s="44">
        <f>IFERROR(IFERROR(VLOOKUP(A77,MasterTable[[#All],[WCAG guideline]:[Epilepsy]],8,FALSE)," ")*J77,0)</f>
        <v>0</v>
      </c>
      <c r="S77" s="44">
        <f>IFERROR(IFERROR(VLOOKUP(A77,MasterTable[[#All],[WCAG guideline]:[Epilepsy]],9,FALSE)," ")*I77,0)</f>
        <v>0</v>
      </c>
      <c r="T77" s="44">
        <f>IFERROR(IFERROR(VLOOKUP(A77,MasterTable[[#All],[WCAG guideline]:[Epilepsy]],9,FALSE)," ")*J77,0)</f>
        <v>0</v>
      </c>
      <c r="U77" s="44">
        <f>IFERROR(IFERROR(VLOOKUP(A77,MasterTable[[#All],[WCAG guideline]:[Epilepsy]],10,FALSE)," ")*I77,0)</f>
        <v>0</v>
      </c>
      <c r="V77" s="44">
        <f>IFERROR(IFERROR(VLOOKUP(A77,MasterTable[[#All],[WCAG guideline]:[Epilepsy]],10,FALSE)," ")*J77,0)</f>
        <v>300</v>
      </c>
      <c r="W77" s="44">
        <f>IFERROR(IFERROR(VLOOKUP(A77,MasterTable[[#All],[WCAG guideline]:[Epilepsy]],11,FALSE)," ")*I77,0)</f>
        <v>0</v>
      </c>
      <c r="X77" s="44">
        <f>IFERROR(IFERROR(VLOOKUP(A77,MasterTable[[#All],[WCAG guideline]:[Epilepsy]],11,FALSE)," ")*J77,0)</f>
        <v>300</v>
      </c>
      <c r="Y77" s="44">
        <f>IFERROR(IFERROR(VLOOKUP(A77,MasterTable[[#All],[WCAG guideline]:[Epilepsy]],12,FALSE)," ")*I77,0)</f>
        <v>0</v>
      </c>
      <c r="Z77" s="44">
        <f>IFERROR(IFERROR(VLOOKUP(A77,MasterTable[[#All],[WCAG guideline]:[Epilepsy]],12,FALSE)," ")*J77,0)</f>
        <v>0</v>
      </c>
    </row>
    <row r="78" spans="1:26" ht="22.8" x14ac:dyDescent="0.4">
      <c r="A78" s="75" t="s">
        <v>385</v>
      </c>
      <c r="B78" s="44" t="str">
        <f>IFERROR(VLOOKUP(A78,MasterTable[[#All],[WCAG guideline]:[2.2 Level]],4,FALSE), "Not found")</f>
        <v>A</v>
      </c>
      <c r="C78" s="44">
        <f>COUNTIFS('Custom Test Script'!B2:B200,"*"&amp;'Findings Breakdown'!A78&amp;"*",'Custom Test Script'!D2:D200,'Validations List'!A107)+COUNTIFS('Report Entry'!D26:D207,"*"&amp;'Findings Breakdown'!A78&amp;"*",'Report Entry'!B26:B207,'Validations List'!A107)</f>
        <v>0</v>
      </c>
      <c r="D78" s="44">
        <f>COUNTIFS('Custom Test Script'!B2:B200,"*"&amp;'Findings Breakdown'!A78&amp;"*",'Custom Test Script'!D2:D200,'Validations List'!A106)+COUNTIFS('Report Entry'!D26:D207,"*"&amp;'Findings Breakdown'!A78&amp;"*",'Report Entry'!B26:B207,'Validations List'!A106)</f>
        <v>0</v>
      </c>
      <c r="E78" s="44">
        <f>COUNTIFS('Custom Test Script'!B2:B200,"*"&amp;'Findings Breakdown'!A78&amp;"*",'Custom Test Script'!D2:D200,'Validations List'!A105)+COUNTIFS('Report Entry'!D26:D207,"*"&amp;'Findings Breakdown'!A78&amp;"*",'Report Entry'!B26:B207,'Validations List'!A105)</f>
        <v>0</v>
      </c>
      <c r="F78" s="44">
        <f>COUNTIFS('Custom Test Script'!B2:B200,"*"&amp;'Findings Breakdown'!A78&amp;"*",'Custom Test Script'!D2:D200,'Validations List'!A108)+COUNTIFS('Report Entry'!D26:D207,"*"&amp;'Findings Breakdown'!A78&amp;"*",'Report Entry'!B26:B207,'Validations List'!A108)</f>
        <v>0</v>
      </c>
      <c r="G78" s="44">
        <f>COUNTIFS('Custom Test Script'!B2:B200,"*"&amp;'Findings Breakdown'!A78&amp;"*",'Custom Test Script'!D2:D200,'Validations List'!A109)+COUNTIFS('Report Entry'!D26:D207,"*"&amp;'Findings Breakdown'!A78&amp;"*",'Report Entry'!B26:B207,'Validations List'!A109)</f>
        <v>0</v>
      </c>
      <c r="H78" s="93" t="str" cm="1">
        <f t="array" ref="H78">INDEX('Validations List'!A152:D152,SUMPRODUCT(MAX(('Validations List'!A152:D181=A78)*(COLUMN('Validations List'!A152:D181))))-COLUMN('Validations List'!A152)+1)</f>
        <v>Standard</v>
      </c>
      <c r="I78" s="77">
        <f>IFERROR(WCAG21results[[#This Row],['# Support w/ Exceptions]]*WCAG21results[[#This Row],[Exceptions Value per2]]+(WCAG21results[[#This Row],['# Supports]]+WCAG21results[[#This Row],['# Does Not Apply]])*WCAG21results[[#This Row],[Supports Value per]]," ")</f>
        <v>0</v>
      </c>
      <c r="J78" s="77">
        <f>IFERROR('Validations List'!I61*WCAG21results[[#This Row],[Supports Value per]]," ")</f>
        <v>50</v>
      </c>
      <c r="K78" s="44">
        <f>IF(WCAG21results[[#This Row],[Importance by Agency]]='Validations List'!A113,'Validations List'!D113,IF(WCAG21results[[#This Row],[Importance by Agency]]='Validations List'!A114,'Validations List'!D114,IF(WCAG21results[[#This Row],[Importance by Agency]]='Validations List'!A115,'Validations List'!D115,"Not Ranked")))</f>
        <v>50</v>
      </c>
      <c r="L78" s="44">
        <f>IF(WCAG21results[[#This Row],[Importance by Agency]]='Validations List'!A113,'Validations List'!C113,IF(WCAG21results[[#This Row],[Importance by Agency]]='Validations List'!A114,'Validations List'!C114,IF(WCAG21results[[#This Row],[Importance by Agency]]='Validations List'!A115,'Validations List'!C115,"Not Ranked")))</f>
        <v>25</v>
      </c>
      <c r="M78" s="83">
        <f>IFERROR(IFERROR(VLOOKUP(A78,MasterTable[[#All],[WCAG guideline]:[Epilepsy]],6,FALSE)," ")*I78,0)</f>
        <v>0</v>
      </c>
      <c r="N78" s="83">
        <f>IFERROR(IFERROR(VLOOKUP(A78,MasterTable[[#All],[WCAG guideline]:[Epilepsy]],6,FALSE)," ")*J78,0)</f>
        <v>0</v>
      </c>
      <c r="O78" s="44">
        <f>IFERROR(IFERROR(VLOOKUP(A78,MasterTable[[#All],[WCAG guideline]:[Epilepsy]],7,FALSE)," ")*I78,0)</f>
        <v>0</v>
      </c>
      <c r="P78" s="44">
        <f>IFERROR(IFERROR(VLOOKUP(A78,MasterTable[[#All],[WCAG guideline]:[Epilepsy]],7,FALSE)," ")*J78,0)</f>
        <v>0</v>
      </c>
      <c r="Q78" s="44">
        <f>IFERROR(IFERROR(VLOOKUP(A78,MasterTable[[#All],[WCAG guideline]:[Epilepsy]],8,FALSE)," ")*I78,0)</f>
        <v>0</v>
      </c>
      <c r="R78" s="44">
        <f>IFERROR(IFERROR(VLOOKUP(A78,MasterTable[[#All],[WCAG guideline]:[Epilepsy]],8,FALSE)," ")*J78,0)</f>
        <v>0</v>
      </c>
      <c r="S78" s="44">
        <f>IFERROR(IFERROR(VLOOKUP(A78,MasterTable[[#All],[WCAG guideline]:[Epilepsy]],9,FALSE)," ")*I78,0)</f>
        <v>0</v>
      </c>
      <c r="T78" s="44">
        <f>IFERROR(IFERROR(VLOOKUP(A78,MasterTable[[#All],[WCAG guideline]:[Epilepsy]],9,FALSE)," ")*J78,0)</f>
        <v>0</v>
      </c>
      <c r="U78" s="44">
        <f>IFERROR(IFERROR(VLOOKUP(A78,MasterTable[[#All],[WCAG guideline]:[Epilepsy]],10,FALSE)," ")*I78,0)</f>
        <v>0</v>
      </c>
      <c r="V78" s="44">
        <f>IFERROR(IFERROR(VLOOKUP(A78,MasterTable[[#All],[WCAG guideline]:[Epilepsy]],10,FALSE)," ")*J78,0)</f>
        <v>50</v>
      </c>
      <c r="W78" s="44">
        <f>IFERROR(IFERROR(VLOOKUP(A78,MasterTable[[#All],[WCAG guideline]:[Epilepsy]],11,FALSE)," ")*I78,0)</f>
        <v>0</v>
      </c>
      <c r="X78" s="44">
        <f>IFERROR(IFERROR(VLOOKUP(A78,MasterTable[[#All],[WCAG guideline]:[Epilepsy]],11,FALSE)," ")*J78,0)</f>
        <v>0</v>
      </c>
      <c r="Y78" s="44">
        <f>IFERROR(IFERROR(VLOOKUP(A78,MasterTable[[#All],[WCAG guideline]:[Epilepsy]],12,FALSE)," ")*I78,0)</f>
        <v>0</v>
      </c>
      <c r="Z78" s="44">
        <f>IFERROR(IFERROR(VLOOKUP(A78,MasterTable[[#All],[WCAG guideline]:[Epilepsy]],12,FALSE)," ")*J78,0)</f>
        <v>0</v>
      </c>
    </row>
    <row r="79" spans="1:26" ht="22.8" x14ac:dyDescent="0.4">
      <c r="A79" s="75" t="s">
        <v>386</v>
      </c>
      <c r="B79" s="44" t="str">
        <f>IFERROR(VLOOKUP(A79,MasterTable[[#All],[WCAG guideline]:[2.2 Level]],4,FALSE), "Not found")</f>
        <v>A</v>
      </c>
      <c r="C79" s="44">
        <f>COUNTIFS('Custom Test Script'!B2:B200,"*"&amp;'Findings Breakdown'!A79&amp;"*",'Custom Test Script'!D2:D200,'Validations List'!A107)+COUNTIFS('Report Entry'!D26:D207,"*"&amp;'Findings Breakdown'!A79&amp;"*",'Report Entry'!B26:B207,'Validations List'!A107)</f>
        <v>0</v>
      </c>
      <c r="D79" s="44">
        <f>COUNTIFS('Custom Test Script'!B2:B200,"*"&amp;'Findings Breakdown'!A79&amp;"*",'Custom Test Script'!D2:D200,'Validations List'!A106)+COUNTIFS('Report Entry'!D26:D207,"*"&amp;'Findings Breakdown'!A79&amp;"*",'Report Entry'!B26:B207,'Validations List'!A106)</f>
        <v>0</v>
      </c>
      <c r="E79" s="44">
        <f>COUNTIFS('Custom Test Script'!B2:B200,"*"&amp;'Findings Breakdown'!A79&amp;"*",'Custom Test Script'!D2:D200,'Validations List'!A105)+COUNTIFS('Report Entry'!D26:D207,"*"&amp;'Findings Breakdown'!A79&amp;"*",'Report Entry'!B26:B207,'Validations List'!A105)</f>
        <v>0</v>
      </c>
      <c r="F79" s="44">
        <f>COUNTIFS('Custom Test Script'!B2:B200,"*"&amp;'Findings Breakdown'!A79&amp;"*",'Custom Test Script'!D2:D200,'Validations List'!A108)+COUNTIFS('Report Entry'!D26:D207,"*"&amp;'Findings Breakdown'!A79&amp;"*",'Report Entry'!B26:B207,'Validations List'!A108)</f>
        <v>0</v>
      </c>
      <c r="G79" s="44">
        <f>COUNTIFS('Custom Test Script'!B2:B200,"*"&amp;'Findings Breakdown'!A79&amp;"*",'Custom Test Script'!D2:D200,'Validations List'!A109)+COUNTIFS('Report Entry'!D26:D207,"*"&amp;'Findings Breakdown'!A79&amp;"*",'Report Entry'!B26:B207,'Validations List'!A109)</f>
        <v>0</v>
      </c>
      <c r="H79" s="93" t="str" cm="1">
        <f t="array" ref="H79">INDEX('Validations List'!A152:D152,SUMPRODUCT(MAX(('Validations List'!A152:D181=A79)*(COLUMN('Validations List'!A152:D181))))-COLUMN('Validations List'!A152)+1)</f>
        <v>Standard</v>
      </c>
      <c r="I79" s="77">
        <f>IFERROR(WCAG21results[[#This Row],['# Support w/ Exceptions]]*WCAG21results[[#This Row],[Exceptions Value per2]]+(WCAG21results[[#This Row],['# Supports]]+WCAG21results[[#This Row],['# Does Not Apply]])*WCAG21results[[#This Row],[Supports Value per]]," ")</f>
        <v>0</v>
      </c>
      <c r="J79" s="77">
        <f>IFERROR('Validations List'!I62*WCAG21results[[#This Row],[Supports Value per]]," ")</f>
        <v>150</v>
      </c>
      <c r="K79" s="44">
        <f>IF(WCAG21results[[#This Row],[Importance by Agency]]='Validations List'!A113,'Validations List'!D113,IF(WCAG21results[[#This Row],[Importance by Agency]]='Validations List'!A114,'Validations List'!D114,IF(WCAG21results[[#This Row],[Importance by Agency]]='Validations List'!A115,'Validations List'!D115,"Not Ranked")))</f>
        <v>50</v>
      </c>
      <c r="L79" s="44">
        <f>IF(WCAG21results[[#This Row],[Importance by Agency]]='Validations List'!A113,'Validations List'!C113,IF(WCAG21results[[#This Row],[Importance by Agency]]='Validations List'!A114,'Validations List'!C114,IF(WCAG21results[[#This Row],[Importance by Agency]]='Validations List'!A115,'Validations List'!C115,"Not Ranked")))</f>
        <v>25</v>
      </c>
      <c r="M79" s="83">
        <f>IFERROR(IFERROR(VLOOKUP(A79,MasterTable[[#All],[WCAG guideline]:[Epilepsy]],6,FALSE)," ")*I79,0)</f>
        <v>0</v>
      </c>
      <c r="N79" s="83">
        <f>IFERROR(IFERROR(VLOOKUP(A79,MasterTable[[#All],[WCAG guideline]:[Epilepsy]],6,FALSE)," ")*J79,0)</f>
        <v>0</v>
      </c>
      <c r="O79" s="44">
        <f>IFERROR(IFERROR(VLOOKUP(A79,MasterTable[[#All],[WCAG guideline]:[Epilepsy]],7,FALSE)," ")*I79,0)</f>
        <v>0</v>
      </c>
      <c r="P79" s="44">
        <f>IFERROR(IFERROR(VLOOKUP(A79,MasterTable[[#All],[WCAG guideline]:[Epilepsy]],7,FALSE)," ")*J79,0)</f>
        <v>0</v>
      </c>
      <c r="Q79" s="44">
        <f>IFERROR(IFERROR(VLOOKUP(A79,MasterTable[[#All],[WCAG guideline]:[Epilepsy]],8,FALSE)," ")*I79,0)</f>
        <v>0</v>
      </c>
      <c r="R79" s="44">
        <f>IFERROR(IFERROR(VLOOKUP(A79,MasterTable[[#All],[WCAG guideline]:[Epilepsy]],8,FALSE)," ")*J79,0)</f>
        <v>0</v>
      </c>
      <c r="S79" s="44">
        <f>IFERROR(IFERROR(VLOOKUP(A79,MasterTable[[#All],[WCAG guideline]:[Epilepsy]],9,FALSE)," ")*I79,0)</f>
        <v>0</v>
      </c>
      <c r="T79" s="44">
        <f>IFERROR(IFERROR(VLOOKUP(A79,MasterTable[[#All],[WCAG guideline]:[Epilepsy]],9,FALSE)," ")*J79,0)</f>
        <v>0</v>
      </c>
      <c r="U79" s="44">
        <f>IFERROR(IFERROR(VLOOKUP(A79,MasterTable[[#All],[WCAG guideline]:[Epilepsy]],10,FALSE)," ")*I79,0)</f>
        <v>0</v>
      </c>
      <c r="V79" s="44">
        <f>IFERROR(IFERROR(VLOOKUP(A79,MasterTable[[#All],[WCAG guideline]:[Epilepsy]],10,FALSE)," ")*J79,0)</f>
        <v>150</v>
      </c>
      <c r="W79" s="44">
        <f>IFERROR(IFERROR(VLOOKUP(A79,MasterTable[[#All],[WCAG guideline]:[Epilepsy]],11,FALSE)," ")*I79,0)</f>
        <v>0</v>
      </c>
      <c r="X79" s="44">
        <f>IFERROR(IFERROR(VLOOKUP(A79,MasterTable[[#All],[WCAG guideline]:[Epilepsy]],11,FALSE)," ")*J79,0)</f>
        <v>0</v>
      </c>
      <c r="Y79" s="44">
        <f>IFERROR(IFERROR(VLOOKUP(A79,MasterTable[[#All],[WCAG guideline]:[Epilepsy]],12,FALSE)," ")*I79,0)</f>
        <v>0</v>
      </c>
      <c r="Z79" s="44">
        <f>IFERROR(IFERROR(VLOOKUP(A79,MasterTable[[#All],[WCAG guideline]:[Epilepsy]],12,FALSE)," ")*J79,0)</f>
        <v>0</v>
      </c>
    </row>
    <row r="80" spans="1:26" ht="22.8" x14ac:dyDescent="0.4">
      <c r="A80" s="75" t="s">
        <v>387</v>
      </c>
      <c r="B80" s="44" t="str">
        <f>IFERROR(VLOOKUP(A80,MasterTable[[#All],[WCAG guideline]:[2.2 Level]],4,FALSE), "Not found")</f>
        <v>AAA</v>
      </c>
      <c r="C80" s="44">
        <f>COUNTIFS('Custom Test Script'!B2:B200,"*"&amp;'Findings Breakdown'!A80&amp;"*",'Custom Test Script'!D2:D200,'Validations List'!A107)+COUNTIFS('Report Entry'!D26:D207,"*"&amp;'Findings Breakdown'!A80&amp;"*",'Report Entry'!B26:B207,'Validations List'!A107)</f>
        <v>0</v>
      </c>
      <c r="D80" s="44">
        <f>COUNTIFS('Custom Test Script'!B2:B200,"*"&amp;'Findings Breakdown'!A80&amp;"*",'Custom Test Script'!D2:D200,'Validations List'!A106)+COUNTIFS('Report Entry'!D26:D207,"*"&amp;'Findings Breakdown'!A80&amp;"*",'Report Entry'!B26:B207,'Validations List'!A106)</f>
        <v>0</v>
      </c>
      <c r="E80" s="44">
        <f>COUNTIFS('Custom Test Script'!B2:B200,"*"&amp;'Findings Breakdown'!A80&amp;"*",'Custom Test Script'!D2:D200,'Validations List'!A105)+COUNTIFS('Report Entry'!D26:D207,"*"&amp;'Findings Breakdown'!A80&amp;"*",'Report Entry'!B26:B207,'Validations List'!A105)</f>
        <v>0</v>
      </c>
      <c r="F80" s="44">
        <f>COUNTIFS('Custom Test Script'!B2:B200,"*"&amp;'Findings Breakdown'!A80&amp;"*",'Custom Test Script'!D2:D200,'Validations List'!A108)+COUNTIFS('Report Entry'!D26:D207,"*"&amp;'Findings Breakdown'!A80&amp;"*",'Report Entry'!B26:B207,'Validations List'!A108)</f>
        <v>0</v>
      </c>
      <c r="G80" s="44">
        <f>COUNTIFS('Custom Test Script'!B2:B200,"*"&amp;'Findings Breakdown'!A80&amp;"*",'Custom Test Script'!D2:D200,'Validations List'!A109)+COUNTIFS('Report Entry'!D26:D207,"*"&amp;'Findings Breakdown'!A80&amp;"*",'Report Entry'!B26:B207,'Validations List'!A109)</f>
        <v>0</v>
      </c>
      <c r="H80" s="93" t="str" cm="1">
        <f t="array" ref="H80">INDEX('Validations List'!A152:D152,SUMPRODUCT(MAX(('Validations List'!A152:D181=A80)*(COLUMN('Validations List'!A152:D181))))-COLUMN('Validations List'!A152)+1)</f>
        <v>Not ranked</v>
      </c>
      <c r="I80" s="77" t="str">
        <f>IFERROR(WCAG21results[[#This Row],['# Support w/ Exceptions]]*WCAG21results[[#This Row],[Exceptions Value per2]]+(WCAG21results[[#This Row],['# Supports]]+WCAG21results[[#This Row],['# Does Not Apply]])*WCAG21results[[#This Row],[Supports Value per]]," ")</f>
        <v xml:space="preserve"> </v>
      </c>
      <c r="J80" s="77" t="str">
        <f>IFERROR('Validations List'!I63*WCAG21results[[#This Row],[Supports Value per]]," ")</f>
        <v xml:space="preserve"> </v>
      </c>
      <c r="K80" s="44" t="str">
        <f>IF(WCAG21results[[#This Row],[Importance by Agency]]='Validations List'!A113,'Validations List'!D113,IF(WCAG21results[[#This Row],[Importance by Agency]]='Validations List'!A114,'Validations List'!D114,IF(WCAG21results[[#This Row],[Importance by Agency]]='Validations List'!A115,'Validations List'!D115,"Not Ranked")))</f>
        <v>Not Ranked</v>
      </c>
      <c r="L80" s="44" t="str">
        <f>IF(WCAG21results[[#This Row],[Importance by Agency]]='Validations List'!A113,'Validations List'!C113,IF(WCAG21results[[#This Row],[Importance by Agency]]='Validations List'!A114,'Validations List'!C114,IF(WCAG21results[[#This Row],[Importance by Agency]]='Validations List'!A115,'Validations List'!C115,"Not Ranked")))</f>
        <v>Not Ranked</v>
      </c>
      <c r="M80" s="83">
        <f>IFERROR(IFERROR(VLOOKUP(A80,MasterTable[[#All],[WCAG guideline]:[Epilepsy]],6,FALSE)," ")*I80,0)</f>
        <v>0</v>
      </c>
      <c r="N80" s="83">
        <f>IFERROR(IFERROR(VLOOKUP(A80,MasterTable[[#All],[WCAG guideline]:[Epilepsy]],6,FALSE)," ")*J80,0)</f>
        <v>0</v>
      </c>
      <c r="O80" s="44">
        <f>IFERROR(IFERROR(VLOOKUP(A80,MasterTable[[#All],[WCAG guideline]:[Epilepsy]],7,FALSE)," ")*I80,0)</f>
        <v>0</v>
      </c>
      <c r="P80" s="44">
        <f>IFERROR(IFERROR(VLOOKUP(A80,MasterTable[[#All],[WCAG guideline]:[Epilepsy]],7,FALSE)," ")*J80,0)</f>
        <v>0</v>
      </c>
      <c r="Q80" s="44">
        <f>IFERROR(IFERROR(VLOOKUP(A80,MasterTable[[#All],[WCAG guideline]:[Epilepsy]],8,FALSE)," ")*I80,0)</f>
        <v>0</v>
      </c>
      <c r="R80" s="44">
        <f>IFERROR(IFERROR(VLOOKUP(A80,MasterTable[[#All],[WCAG guideline]:[Epilepsy]],8,FALSE)," ")*J80,0)</f>
        <v>0</v>
      </c>
      <c r="S80" s="44">
        <f>IFERROR(IFERROR(VLOOKUP(A80,MasterTable[[#All],[WCAG guideline]:[Epilepsy]],9,FALSE)," ")*I80,0)</f>
        <v>0</v>
      </c>
      <c r="T80" s="44">
        <f>IFERROR(IFERROR(VLOOKUP(A80,MasterTable[[#All],[WCAG guideline]:[Epilepsy]],9,FALSE)," ")*J80,0)</f>
        <v>0</v>
      </c>
      <c r="U80" s="44">
        <f>IFERROR(IFERROR(VLOOKUP(A80,MasterTable[[#All],[WCAG guideline]:[Epilepsy]],10,FALSE)," ")*I80,0)</f>
        <v>0</v>
      </c>
      <c r="V80" s="44">
        <f>IFERROR(IFERROR(VLOOKUP(A80,MasterTable[[#All],[WCAG guideline]:[Epilepsy]],10,FALSE)," ")*J80,0)</f>
        <v>0</v>
      </c>
      <c r="W80" s="44">
        <f>IFERROR(IFERROR(VLOOKUP(A80,MasterTable[[#All],[WCAG guideline]:[Epilepsy]],11,FALSE)," ")*I80,0)</f>
        <v>0</v>
      </c>
      <c r="X80" s="44">
        <f>IFERROR(IFERROR(VLOOKUP(A80,MasterTable[[#All],[WCAG guideline]:[Epilepsy]],11,FALSE)," ")*J80,0)</f>
        <v>0</v>
      </c>
      <c r="Y80" s="44">
        <f>IFERROR(IFERROR(VLOOKUP(A80,MasterTable[[#All],[WCAG guideline]:[Epilepsy]],12,FALSE)," ")*I80,0)</f>
        <v>0</v>
      </c>
      <c r="Z80" s="44">
        <f>IFERROR(IFERROR(VLOOKUP(A80,MasterTable[[#All],[WCAG guideline]:[Epilepsy]],12,FALSE)," ")*J80,0)</f>
        <v>0</v>
      </c>
    </row>
    <row r="81" spans="1:26" ht="22.8" x14ac:dyDescent="0.4">
      <c r="A81" s="75" t="s">
        <v>388</v>
      </c>
      <c r="B81" s="44" t="str">
        <f>IFERROR(VLOOKUP(A81,MasterTable[[#All],[WCAG guideline]:[2.2 Level]],4,FALSE), "Not found")</f>
        <v>AAA</v>
      </c>
      <c r="C81" s="44">
        <f>COUNTIFS('Custom Test Script'!B2:B200,"*"&amp;'Findings Breakdown'!A81&amp;"*",'Custom Test Script'!D2:D200,'Validations List'!A107)+COUNTIFS('Report Entry'!D26:D207,"*"&amp;'Findings Breakdown'!A81&amp;"*",'Report Entry'!B26:B207,'Validations List'!A107)</f>
        <v>0</v>
      </c>
      <c r="D81" s="44">
        <f>COUNTIFS('Custom Test Script'!B2:B200,"*"&amp;'Findings Breakdown'!A81&amp;"*",'Custom Test Script'!D2:D200,'Validations List'!A106)+COUNTIFS('Report Entry'!D26:D207,"*"&amp;'Findings Breakdown'!A81&amp;"*",'Report Entry'!B26:B207,'Validations List'!A106)</f>
        <v>0</v>
      </c>
      <c r="E81" s="44">
        <f>COUNTIFS('Custom Test Script'!B2:B200,"*"&amp;'Findings Breakdown'!A81&amp;"*",'Custom Test Script'!D2:D200,'Validations List'!A105)+COUNTIFS('Report Entry'!D26:D207,"*"&amp;'Findings Breakdown'!A81&amp;"*",'Report Entry'!B26:B207,'Validations List'!A105)</f>
        <v>0</v>
      </c>
      <c r="F81" s="44">
        <f>COUNTIFS('Custom Test Script'!B2:B200,"*"&amp;'Findings Breakdown'!A81&amp;"*",'Custom Test Script'!D2:D200,'Validations List'!A108)+COUNTIFS('Report Entry'!D26:D207,"*"&amp;'Findings Breakdown'!A81&amp;"*",'Report Entry'!B26:B207,'Validations List'!A108)</f>
        <v>0</v>
      </c>
      <c r="G81" s="44">
        <f>COUNTIFS('Custom Test Script'!B2:B200,"*"&amp;'Findings Breakdown'!A81&amp;"*",'Custom Test Script'!D2:D200,'Validations List'!A109)+COUNTIFS('Report Entry'!D26:D207,"*"&amp;'Findings Breakdown'!A81&amp;"*",'Report Entry'!B26:B207,'Validations List'!A109)</f>
        <v>0</v>
      </c>
      <c r="H81" s="93" t="str" cm="1">
        <f t="array" ref="H81">INDEX('Validations List'!A152:D152,SUMPRODUCT(MAX(('Validations List'!A152:D181=A81)*(COLUMN('Validations List'!A152:D181))))-COLUMN('Validations List'!A152)+1)</f>
        <v>Not ranked</v>
      </c>
      <c r="I81" s="77" t="str">
        <f>IFERROR(WCAG21results[[#This Row],['# Support w/ Exceptions]]*WCAG21results[[#This Row],[Exceptions Value per2]]+(WCAG21results[[#This Row],['# Supports]]+WCAG21results[[#This Row],['# Does Not Apply]])*WCAG21results[[#This Row],[Supports Value per]]," ")</f>
        <v xml:space="preserve"> </v>
      </c>
      <c r="J81" s="77" t="str">
        <f>IFERROR('Validations List'!I64*WCAG21results[[#This Row],[Supports Value per]]," ")</f>
        <v xml:space="preserve"> </v>
      </c>
      <c r="K81" s="44" t="str">
        <f>IF(WCAG21results[[#This Row],[Importance by Agency]]='Validations List'!A113,'Validations List'!D113,IF(WCAG21results[[#This Row],[Importance by Agency]]='Validations List'!A114,'Validations List'!D114,IF(WCAG21results[[#This Row],[Importance by Agency]]='Validations List'!A115,'Validations List'!D115,"Not Ranked")))</f>
        <v>Not Ranked</v>
      </c>
      <c r="L81" s="44" t="str">
        <f>IF(WCAG21results[[#This Row],[Importance by Agency]]='Validations List'!A113,'Validations List'!C113,IF(WCAG21results[[#This Row],[Importance by Agency]]='Validations List'!A114,'Validations List'!C114,IF(WCAG21results[[#This Row],[Importance by Agency]]='Validations List'!A115,'Validations List'!C115,"Not Ranked")))</f>
        <v>Not Ranked</v>
      </c>
      <c r="M81" s="83">
        <f>IFERROR(IFERROR(VLOOKUP(A81,MasterTable[[#All],[WCAG guideline]:[Epilepsy]],6,FALSE)," ")*I81,0)</f>
        <v>0</v>
      </c>
      <c r="N81" s="83">
        <f>IFERROR(IFERROR(VLOOKUP(A81,MasterTable[[#All],[WCAG guideline]:[Epilepsy]],6,FALSE)," ")*J81,0)</f>
        <v>0</v>
      </c>
      <c r="O81" s="44">
        <f>IFERROR(IFERROR(VLOOKUP(A81,MasterTable[[#All],[WCAG guideline]:[Epilepsy]],7,FALSE)," ")*I81,0)</f>
        <v>0</v>
      </c>
      <c r="P81" s="44">
        <f>IFERROR(IFERROR(VLOOKUP(A81,MasterTable[[#All],[WCAG guideline]:[Epilepsy]],7,FALSE)," ")*J81,0)</f>
        <v>0</v>
      </c>
      <c r="Q81" s="44">
        <f>IFERROR(IFERROR(VLOOKUP(A81,MasterTable[[#All],[WCAG guideline]:[Epilepsy]],8,FALSE)," ")*I81,0)</f>
        <v>0</v>
      </c>
      <c r="R81" s="44">
        <f>IFERROR(IFERROR(VLOOKUP(A81,MasterTable[[#All],[WCAG guideline]:[Epilepsy]],8,FALSE)," ")*J81,0)</f>
        <v>0</v>
      </c>
      <c r="S81" s="44">
        <f>IFERROR(IFERROR(VLOOKUP(A81,MasterTable[[#All],[WCAG guideline]:[Epilepsy]],9,FALSE)," ")*I81,0)</f>
        <v>0</v>
      </c>
      <c r="T81" s="44">
        <f>IFERROR(IFERROR(VLOOKUP(A81,MasterTable[[#All],[WCAG guideline]:[Epilepsy]],9,FALSE)," ")*J81,0)</f>
        <v>0</v>
      </c>
      <c r="U81" s="44">
        <f>IFERROR(IFERROR(VLOOKUP(A81,MasterTable[[#All],[WCAG guideline]:[Epilepsy]],10,FALSE)," ")*I81,0)</f>
        <v>0</v>
      </c>
      <c r="V81" s="44">
        <f>IFERROR(IFERROR(VLOOKUP(A81,MasterTable[[#All],[WCAG guideline]:[Epilepsy]],10,FALSE)," ")*J81,0)</f>
        <v>0</v>
      </c>
      <c r="W81" s="44">
        <f>IFERROR(IFERROR(VLOOKUP(A81,MasterTable[[#All],[WCAG guideline]:[Epilepsy]],11,FALSE)," ")*I81,0)</f>
        <v>0</v>
      </c>
      <c r="X81" s="44">
        <f>IFERROR(IFERROR(VLOOKUP(A81,MasterTable[[#All],[WCAG guideline]:[Epilepsy]],11,FALSE)," ")*J81,0)</f>
        <v>0</v>
      </c>
      <c r="Y81" s="44">
        <f>IFERROR(IFERROR(VLOOKUP(A81,MasterTable[[#All],[WCAG guideline]:[Epilepsy]],12,FALSE)," ")*I81,0)</f>
        <v>0</v>
      </c>
      <c r="Z81" s="44">
        <f>IFERROR(IFERROR(VLOOKUP(A81,MasterTable[[#All],[WCAG guideline]:[Epilepsy]],12,FALSE)," ")*J81,0)</f>
        <v>0</v>
      </c>
    </row>
    <row r="82" spans="1:26" ht="22.8" x14ac:dyDescent="0.4">
      <c r="A82" s="78" t="s">
        <v>389</v>
      </c>
      <c r="B82" s="79" t="str">
        <f>IFERROR(VLOOKUP(A82,MasterTable[[#All],[WCAG guideline]:[2.2 Level]],4,FALSE), "Not found")</f>
        <v>AA</v>
      </c>
      <c r="C82" s="79">
        <f>COUNTIFS('Custom Test Script'!B2:B200,"*"&amp;'Findings Breakdown'!A82&amp;"*",'Custom Test Script'!D2:D200,'Validations List'!A107)+COUNTIFS('Report Entry'!D26:D207,"*"&amp;'Findings Breakdown'!A82&amp;"*",'Report Entry'!B26:B207,'Validations List'!A107)</f>
        <v>0</v>
      </c>
      <c r="D82" s="79">
        <f>COUNTIFS('Custom Test Script'!B2:B200,"*"&amp;'Findings Breakdown'!A82&amp;"*",'Custom Test Script'!D2:D200,'Validations List'!A106)+COUNTIFS('Report Entry'!D26:D207,"*"&amp;'Findings Breakdown'!A82&amp;"*",'Report Entry'!B26:B207,'Validations List'!A106)</f>
        <v>0</v>
      </c>
      <c r="E82" s="79">
        <f>COUNTIFS('Custom Test Script'!B2:B200,"*"&amp;'Findings Breakdown'!A82&amp;"*",'Custom Test Script'!D2:D200,'Validations List'!A105)+COUNTIFS('Report Entry'!D26:D207,"*"&amp;'Findings Breakdown'!A82&amp;"*",'Report Entry'!B26:B207,'Validations List'!A105)</f>
        <v>0</v>
      </c>
      <c r="F82" s="79">
        <f>COUNTIFS('Custom Test Script'!B2:B200,"*"&amp;'Findings Breakdown'!A82&amp;"*",'Custom Test Script'!D2:D200,'Validations List'!A108)+COUNTIFS('Report Entry'!D26:D207,"*"&amp;'Findings Breakdown'!A82&amp;"*",'Report Entry'!B26:B207,'Validations List'!A108)</f>
        <v>0</v>
      </c>
      <c r="G82" s="79">
        <f>COUNTIFS('Custom Test Script'!B2:B200,"*"&amp;'Findings Breakdown'!A82&amp;"*",'Custom Test Script'!D2:D200,'Validations List'!A109)+COUNTIFS('Report Entry'!D26:D207,"*"&amp;'Findings Breakdown'!A82&amp;"*",'Report Entry'!B26:B207,'Validations List'!A109)</f>
        <v>0</v>
      </c>
      <c r="H82" s="94" t="str" cm="1">
        <f t="array" ref="H82">INDEX('Validations List'!A152:D152,SUMPRODUCT(MAX(('Validations List'!A152:D181=A82)*(COLUMN('Validations List'!A152:D181))))-COLUMN('Validations List'!A152)+1)</f>
        <v>Extremely Important</v>
      </c>
      <c r="I82" s="77">
        <f>IFERROR(WCAG21results[[#This Row],['# Support w/ Exceptions]]*WCAG21results[[#This Row],[Exceptions Value per2]]+(WCAG21results[[#This Row],['# Supports]]+WCAG21results[[#This Row],['# Does Not Apply]])*WCAG21results[[#This Row],[Supports Value per]]," ")</f>
        <v>0</v>
      </c>
      <c r="J82" s="77">
        <f>IFERROR('Validations List'!I90*WCAG21results[[#This Row],[Supports Value per]]," ")</f>
        <v>300</v>
      </c>
      <c r="K82" s="79">
        <f>IF(WCAG21results[[#This Row],[Importance by Agency]]='Validations List'!A113,'Validations List'!D113,IF(WCAG21results[[#This Row],[Importance by Agency]]='Validations List'!A114,'Validations List'!D114,IF(WCAG21results[[#This Row],[Importance by Agency]]='Validations List'!A115,'Validations List'!D115,"Not Ranked")))</f>
        <v>300</v>
      </c>
      <c r="L82" s="79">
        <f>IF(WCAG21results[[#This Row],[Importance by Agency]]='Validations List'!A113,'Validations List'!C113,IF(WCAG21results[[#This Row],[Importance by Agency]]='Validations List'!A114,'Validations List'!C114,IF(WCAG21results[[#This Row],[Importance by Agency]]='Validations List'!A115,'Validations List'!C115,"Not Ranked")))</f>
        <v>150</v>
      </c>
      <c r="M82" s="83">
        <f>IFERROR(IFERROR(VLOOKUP(A82,MasterTable[[#All],[WCAG guideline]:[Epilepsy]],6,FALSE)," ")*I82,0)</f>
        <v>0</v>
      </c>
      <c r="N82" s="83">
        <f>IFERROR(IFERROR(VLOOKUP(A82,MasterTable[[#All],[WCAG guideline]:[Epilepsy]],6,FALSE)," ")*J82,0)</f>
        <v>300</v>
      </c>
      <c r="O82" s="44">
        <f>IFERROR(IFERROR(VLOOKUP(A82,MasterTable[[#All],[WCAG guideline]:[Epilepsy]],7,FALSE)," ")*I82,0)</f>
        <v>0</v>
      </c>
      <c r="P82" s="44">
        <f>IFERROR(IFERROR(VLOOKUP(A82,MasterTable[[#All],[WCAG guideline]:[Epilepsy]],7,FALSE)," ")*J82,0)</f>
        <v>300</v>
      </c>
      <c r="Q82" s="44">
        <f>IFERROR(IFERROR(VLOOKUP(A82,MasterTable[[#All],[WCAG guideline]:[Epilepsy]],8,FALSE)," ")*I82,0)</f>
        <v>0</v>
      </c>
      <c r="R82" s="44">
        <f>IFERROR(IFERROR(VLOOKUP(A82,MasterTable[[#All],[WCAG guideline]:[Epilepsy]],8,FALSE)," ")*J82,0)</f>
        <v>0</v>
      </c>
      <c r="S82" s="44">
        <f>IFERROR(IFERROR(VLOOKUP(A82,MasterTable[[#All],[WCAG guideline]:[Epilepsy]],9,FALSE)," ")*I82,0)</f>
        <v>0</v>
      </c>
      <c r="T82" s="44">
        <f>IFERROR(IFERROR(VLOOKUP(A82,MasterTable[[#All],[WCAG guideline]:[Epilepsy]],9,FALSE)," ")*J82,0)</f>
        <v>300</v>
      </c>
      <c r="U82" s="44">
        <f>IFERROR(IFERROR(VLOOKUP(A82,MasterTable[[#All],[WCAG guideline]:[Epilepsy]],10,FALSE)," ")*I82,0)</f>
        <v>0</v>
      </c>
      <c r="V82" s="44">
        <f>IFERROR(IFERROR(VLOOKUP(A82,MasterTable[[#All],[WCAG guideline]:[Epilepsy]],10,FALSE)," ")*J82,0)</f>
        <v>300</v>
      </c>
      <c r="W82" s="44">
        <f>IFERROR(IFERROR(VLOOKUP(A82,MasterTable[[#All],[WCAG guideline]:[Epilepsy]],11,FALSE)," ")*I82,0)</f>
        <v>0</v>
      </c>
      <c r="X82" s="44">
        <f>IFERROR(IFERROR(VLOOKUP(A82,MasterTable[[#All],[WCAG guideline]:[Epilepsy]],11,FALSE)," ")*J82,0)</f>
        <v>0</v>
      </c>
      <c r="Y82" s="44">
        <f>IFERROR(IFERROR(VLOOKUP(A82,MasterTable[[#All],[WCAG guideline]:[Epilepsy]],12,FALSE)," ")*I82,0)</f>
        <v>0</v>
      </c>
      <c r="Z82" s="44">
        <f>IFERROR(IFERROR(VLOOKUP(A82,MasterTable[[#All],[WCAG guideline]:[Epilepsy]],12,FALSE)," ")*J82,0)</f>
        <v>0</v>
      </c>
    </row>
    <row r="83" spans="1:26" ht="27.6" x14ac:dyDescent="0.45">
      <c r="A83" s="85"/>
      <c r="B83" s="81"/>
      <c r="C83" s="81"/>
      <c r="D83" s="81"/>
      <c r="E83" s="81"/>
      <c r="F83" s="81"/>
      <c r="G83" s="81"/>
      <c r="H83" s="82"/>
    </row>
    <row r="84" spans="1:26" ht="27.6" x14ac:dyDescent="0.45">
      <c r="A84" s="85"/>
      <c r="B84" s="81"/>
      <c r="C84" s="81"/>
      <c r="D84" s="81"/>
      <c r="E84" s="81"/>
      <c r="F84" s="81"/>
      <c r="G84" s="81"/>
      <c r="H84" s="82"/>
    </row>
    <row r="85" spans="1:26" ht="45.6" x14ac:dyDescent="0.4">
      <c r="A85" s="95" t="s">
        <v>390</v>
      </c>
      <c r="B85" s="90" t="s">
        <v>137</v>
      </c>
      <c r="C85" s="90" t="s">
        <v>297</v>
      </c>
      <c r="D85" s="91" t="s">
        <v>298</v>
      </c>
      <c r="E85" s="91" t="s">
        <v>299</v>
      </c>
      <c r="F85" s="91" t="s">
        <v>300</v>
      </c>
      <c r="G85" s="91" t="s">
        <v>301</v>
      </c>
      <c r="H85" s="91" t="s">
        <v>302</v>
      </c>
      <c r="I85" s="91" t="s">
        <v>303</v>
      </c>
      <c r="J85" s="91" t="s">
        <v>373</v>
      </c>
      <c r="K85" s="91" t="s">
        <v>305</v>
      </c>
      <c r="L85" s="91" t="s">
        <v>374</v>
      </c>
      <c r="M85" s="91" t="s">
        <v>49</v>
      </c>
      <c r="N85" s="91" t="s">
        <v>307</v>
      </c>
      <c r="O85" s="91" t="s">
        <v>46</v>
      </c>
      <c r="P85" s="91" t="s">
        <v>308</v>
      </c>
      <c r="Q85" s="91" t="s">
        <v>48</v>
      </c>
      <c r="R85" s="91" t="s">
        <v>309</v>
      </c>
      <c r="S85" s="91" t="s">
        <v>47</v>
      </c>
      <c r="T85" s="91" t="s">
        <v>310</v>
      </c>
      <c r="U85" s="91" t="s">
        <v>45</v>
      </c>
      <c r="V85" s="91" t="s">
        <v>311</v>
      </c>
      <c r="W85" s="91" t="s">
        <v>44</v>
      </c>
      <c r="X85" s="91" t="s">
        <v>312</v>
      </c>
      <c r="Y85" s="91" t="s">
        <v>50</v>
      </c>
      <c r="Z85" s="91" t="s">
        <v>313</v>
      </c>
    </row>
    <row r="86" spans="1:26" ht="22.8" x14ac:dyDescent="0.4">
      <c r="A86" s="86" t="s">
        <v>391</v>
      </c>
      <c r="B86" s="87" t="str">
        <f>IFERROR(VLOOKUP(A86,MasterTable[[#All],[WCAG guideline]:[2.2 Level]],4,FALSE), "Not found")</f>
        <v>AA</v>
      </c>
      <c r="C86" s="87">
        <f>COUNTIFS('Custom Test Script'!B2:B200,"*"&amp;'Findings Breakdown'!A86&amp;"*",'Custom Test Script'!D2:D200,'Validations List'!A107)+COUNTIFS('Report Entry'!D26:D207,"*"&amp;'Findings Breakdown'!A86&amp;"*",'Report Entry'!B26:B207,'Validations List'!A107)</f>
        <v>0</v>
      </c>
      <c r="D86" s="87">
        <f>COUNTIFS('Custom Test Script'!B2:B200,"*"&amp;'Findings Breakdown'!A86&amp;"*",'Custom Test Script'!D2:D200,'Validations List'!A106)+COUNTIFS('Report Entry'!D26:D207,"*"&amp;'Findings Breakdown'!A86&amp;"*",'Report Entry'!B26:B207,'Validations List'!A106)</f>
        <v>0</v>
      </c>
      <c r="E86" s="87">
        <f>COUNTIFS('Custom Test Script'!B2:B200,"*"&amp;'Findings Breakdown'!A86&amp;"*",'Custom Test Script'!D2:D200,'Validations List'!A105)+COUNTIFS('Report Entry'!D26:D207,"*"&amp;'Findings Breakdown'!A86&amp;"*",'Report Entry'!B26:B207,'Validations List'!A105)</f>
        <v>0</v>
      </c>
      <c r="F86" s="87">
        <f>COUNTIFS('Custom Test Script'!B2:B200,"*"&amp;'Findings Breakdown'!A86&amp;"*",'Custom Test Script'!D2:D200,'Validations List'!A108)+COUNTIFS('Report Entry'!D26:D207,"*"&amp;'Findings Breakdown'!A86&amp;"*",'Report Entry'!B26:B207,'Validations List'!A108)</f>
        <v>0</v>
      </c>
      <c r="G86" s="87">
        <f>COUNTIFS('Custom Test Script'!B2:B200,"*"&amp;'Findings Breakdown'!A86&amp;"*",'Custom Test Script'!D2:D200,'Validations List'!A109)+COUNTIFS('Report Entry'!D26:D207,"*"&amp;'Findings Breakdown'!A86&amp;"*",'Report Entry'!B26:B207,'Validations List'!A109)</f>
        <v>0</v>
      </c>
      <c r="H86" s="69" t="str" cm="1">
        <f t="array" ref="H86">INDEX('Validations List'!A189:D189,SUMPRODUCT(MAX(('Validations List'!A189:D221=A86)*(COLUMN('Validations List'!A189:D221))))-COLUMN('Validations List'!A189)+1)</f>
        <v>Standard</v>
      </c>
      <c r="I86" s="44">
        <f>IFERROR(WCAG22results[[#This Row],['# Support w/ Exceptions]]*WCAG22results[[#This Row],[Exceptions Value per2]]+(WCAG22results[[#This Row],['# Supports]]+WCAG22results[[#This Row],['# Does Not Apply]])*WCAG22results[[#This Row],[Supports Value per]]," ")</f>
        <v>0</v>
      </c>
      <c r="J86" s="44">
        <f>IFERROR('Validations List'!I56*WCAG22results[[#This Row],[Supports Value per]]," ")</f>
        <v>50</v>
      </c>
      <c r="K86" s="44">
        <f>IF(WCAG22results[[#This Row],[Importance by Agency]]='Validations List'!A113,'Validations List'!D113,IF(WCAG22results[[#This Row],[Importance by Agency]]='Validations List'!A114,'Validations List'!D114,IF(WCAG22results[[#This Row],[Importance by Agency]]='Validations List'!A115,'Validations List'!D115,"Not Ranked")))</f>
        <v>50</v>
      </c>
      <c r="L86" s="77">
        <f>IF(WCAG22results[[#This Row],[Importance by Agency]]='Validations List'!A113,'Validations List'!C113,IF(WCAG22results[[#This Row],[Importance by Agency]]='Validations List'!A114,'Validations List'!C114,IF(WCAG22results[[#This Row],[Importance by Agency]]='Validations List'!A115,'Validations List'!C115,"Not Ranked")))</f>
        <v>25</v>
      </c>
      <c r="M86" s="76">
        <f>IFERROR(IFERROR(VLOOKUP(A86,MasterTable[[#All],[WCAG guideline]:[Epilepsy]],6,FALSE)," ")*I86,0)</f>
        <v>0</v>
      </c>
      <c r="N86" s="76">
        <f>IFERROR(IFERROR(VLOOKUP(A86,MasterTable[[#All],[WCAG guideline]:[Epilepsy]],6,FALSE)," ")*J86,0)</f>
        <v>0</v>
      </c>
      <c r="O86" s="77">
        <f>IFERROR(IFERROR(VLOOKUP(A86,MasterTable[[#All],[WCAG guideline]:[Epilepsy]],7,FALSE)," ")*I86,0)</f>
        <v>0</v>
      </c>
      <c r="P86" s="77">
        <f>IFERROR(IFERROR(VLOOKUP(A86,MasterTable[[#All],[WCAG guideline]:[Epilepsy]],7,FALSE)," ")*J86,0)</f>
        <v>50</v>
      </c>
      <c r="Q86" s="77">
        <f>IFERROR(IFERROR(VLOOKUP(A86,MasterTable[[#All],[WCAG guideline]:[Epilepsy]],8,FALSE)," ")*I86,0)</f>
        <v>0</v>
      </c>
      <c r="R86" s="77">
        <f>IFERROR(IFERROR(VLOOKUP(A86,MasterTable[[#All],[WCAG guideline]:[Epilepsy]],8,FALSE)," ")*J86,0)</f>
        <v>0</v>
      </c>
      <c r="S86" s="77">
        <f>IFERROR(IFERROR(VLOOKUP(A86,MasterTable[[#All],[WCAG guideline]:[Epilepsy]],9,FALSE)," ")*I86,0)</f>
        <v>0</v>
      </c>
      <c r="T86" s="77">
        <f>IFERROR(IFERROR(VLOOKUP(A86,MasterTable[[#All],[WCAG guideline]:[Epilepsy]],9,FALSE)," ")*J86,0)</f>
        <v>0</v>
      </c>
      <c r="U86" s="77">
        <f>IFERROR(IFERROR(VLOOKUP(A86,MasterTable[[#All],[WCAG guideline]:[Epilepsy]],10,FALSE)," ")*I86,0)</f>
        <v>0</v>
      </c>
      <c r="V86" s="77">
        <f>IFERROR(IFERROR(VLOOKUP(A86,MasterTable[[#All],[WCAG guideline]:[Epilepsy]],10,FALSE)," ")*J86,0)</f>
        <v>50</v>
      </c>
      <c r="W86" s="77">
        <f>IFERROR(IFERROR(VLOOKUP(A86,MasterTable[[#All],[WCAG guideline]:[Epilepsy]],11,FALSE)," ")*I86,0)</f>
        <v>0</v>
      </c>
      <c r="X86" s="77">
        <f>IFERROR(IFERROR(VLOOKUP(A86,MasterTable[[#All],[WCAG guideline]:[Epilepsy]],11,FALSE)," ")*J86,0)</f>
        <v>50</v>
      </c>
      <c r="Y86" s="77">
        <f>IFERROR(IFERROR(VLOOKUP(A86,MasterTable[[#All],[WCAG guideline]:[Epilepsy]],12,FALSE)," ")*I86,0)</f>
        <v>0</v>
      </c>
      <c r="Z86" s="77">
        <f>IFERROR(IFERROR(VLOOKUP(A86,MasterTable[[#All],[WCAG guideline]:[Epilepsy]],12,FALSE)," ")*J86,0)</f>
        <v>0</v>
      </c>
    </row>
    <row r="87" spans="1:26" ht="22.8" x14ac:dyDescent="0.4">
      <c r="A87" s="75" t="s">
        <v>392</v>
      </c>
      <c r="B87" s="44" t="str">
        <f>IFERROR(VLOOKUP(A87,MasterTable[[#All],[WCAG guideline]:[2.2 Level]],4,FALSE), "Not found")</f>
        <v>AAA</v>
      </c>
      <c r="C87" s="44">
        <f>COUNTIFS('Custom Test Script'!B2:B200,"*"&amp;'Findings Breakdown'!A87&amp;"*",'Custom Test Script'!D2:D200,'Validations List'!A107)+COUNTIFS('Report Entry'!D26:D207,"*"&amp;'Findings Breakdown'!A87&amp;"*",'Report Entry'!B26:B207,'Validations List'!A107)</f>
        <v>0</v>
      </c>
      <c r="D87" s="44">
        <f>COUNTIFS('Custom Test Script'!B2:B200,"*"&amp;'Findings Breakdown'!A87&amp;"*",'Custom Test Script'!D2:D200,'Validations List'!A106)+COUNTIFS('Report Entry'!D26:D207,"*"&amp;'Findings Breakdown'!A87&amp;"*",'Report Entry'!B26:B207,'Validations List'!A106)</f>
        <v>0</v>
      </c>
      <c r="E87" s="44">
        <f>COUNTIFS('Custom Test Script'!B2:B200,"*"&amp;'Findings Breakdown'!A87&amp;"*",'Custom Test Script'!D2:D200,'Validations List'!A105)+COUNTIFS('Report Entry'!D26:D207,"*"&amp;'Findings Breakdown'!A87&amp;"*",'Report Entry'!B26:B207,'Validations List'!A105)</f>
        <v>0</v>
      </c>
      <c r="F87" s="44">
        <f>COUNTIFS('Custom Test Script'!B2:B200,"*"&amp;'Findings Breakdown'!A87&amp;"*",'Custom Test Script'!D2:D200,'Validations List'!A108)+COUNTIFS('Report Entry'!D26:D207,"*"&amp;'Findings Breakdown'!A87&amp;"*",'Report Entry'!B26:B207,'Validations List'!A108)</f>
        <v>0</v>
      </c>
      <c r="G87" s="44">
        <f>COUNTIFS('Custom Test Script'!B2:B200,"*"&amp;'Findings Breakdown'!A87&amp;"*",'Custom Test Script'!D2:D200,'Validations List'!A109)+COUNTIFS('Report Entry'!D26:D207,"*"&amp;'Findings Breakdown'!A87&amp;"*",'Report Entry'!B26:B207,'Validations List'!A109)</f>
        <v>0</v>
      </c>
      <c r="H87" s="69" t="str" cm="1">
        <f t="array" ref="H87">INDEX('Validations List'!A189:D189,SUMPRODUCT(MAX(('Validations List'!A189:D221=A87)*(COLUMN('Validations List'!A189:D221))))-COLUMN('Validations List'!A189)+1)</f>
        <v>Not ranked</v>
      </c>
      <c r="I87" s="44" t="str">
        <f>IFERROR(WCAG22results[[#This Row],['# Support w/ Exceptions]]*WCAG22results[[#This Row],[Exceptions Value per2]]+(WCAG22results[[#This Row],['# Supports]]+WCAG22results[[#This Row],['# Does Not Apply]])*WCAG22results[[#This Row],[Supports Value per]]," ")</f>
        <v xml:space="preserve"> </v>
      </c>
      <c r="J87" s="44" t="str">
        <f>IFERROR('Validations List'!I57*WCAG22results[[#This Row],[Supports Value per]]," ")</f>
        <v xml:space="preserve"> </v>
      </c>
      <c r="K87" s="44" t="str">
        <f>IF(WCAG22results[[#This Row],[Importance by Agency]]='Validations List'!A113,'Validations List'!D113,IF(WCAG22results[[#This Row],[Importance by Agency]]='Validations List'!A114,'Validations List'!D114,IF(WCAG22results[[#This Row],[Importance by Agency]]='Validations List'!A115,'Validations List'!D115,"Not Ranked")))</f>
        <v>Not Ranked</v>
      </c>
      <c r="L87" s="44" t="str">
        <f>IF(WCAG22results[[#This Row],[Importance by Agency]]='Validations List'!A113,'Validations List'!C113,IF(WCAG22results[[#This Row],[Importance by Agency]]='Validations List'!A114,'Validations List'!C114,IF(WCAG22results[[#This Row],[Importance by Agency]]='Validations List'!A115,'Validations List'!C115,"Not Ranked")))</f>
        <v>Not Ranked</v>
      </c>
      <c r="M87" s="83">
        <f>IFERROR(IFERROR(VLOOKUP(A87,MasterTable[[#All],[WCAG guideline]:[Epilepsy]],6,FALSE)," ")*I87,0)</f>
        <v>0</v>
      </c>
      <c r="N87" s="83">
        <f>IFERROR(IFERROR(VLOOKUP(A87,MasterTable[[#All],[WCAG guideline]:[Epilepsy]],6,FALSE)," ")*J87,0)</f>
        <v>0</v>
      </c>
      <c r="O87" s="44">
        <f>IFERROR(IFERROR(VLOOKUP(A87,MasterTable[[#All],[WCAG guideline]:[Epilepsy]],7,FALSE)," ")*I87,0)</f>
        <v>0</v>
      </c>
      <c r="P87" s="44">
        <f>IFERROR(IFERROR(VLOOKUP(A87,MasterTable[[#All],[WCAG guideline]:[Epilepsy]],7,FALSE)," ")*J87,0)</f>
        <v>0</v>
      </c>
      <c r="Q87" s="44">
        <f>IFERROR(IFERROR(VLOOKUP(A87,MasterTable[[#All],[WCAG guideline]:[Epilepsy]],8,FALSE)," ")*I87,0)</f>
        <v>0</v>
      </c>
      <c r="R87" s="44">
        <f>IFERROR(IFERROR(VLOOKUP(A87,MasterTable[[#All],[WCAG guideline]:[Epilepsy]],8,FALSE)," ")*J87,0)</f>
        <v>0</v>
      </c>
      <c r="S87" s="44">
        <f>IFERROR(IFERROR(VLOOKUP(A87,MasterTable[[#All],[WCAG guideline]:[Epilepsy]],9,FALSE)," ")*I87,0)</f>
        <v>0</v>
      </c>
      <c r="T87" s="44">
        <f>IFERROR(IFERROR(VLOOKUP(A87,MasterTable[[#All],[WCAG guideline]:[Epilepsy]],9,FALSE)," ")*J87,0)</f>
        <v>0</v>
      </c>
      <c r="U87" s="44">
        <f>IFERROR(IFERROR(VLOOKUP(A87,MasterTable[[#All],[WCAG guideline]:[Epilepsy]],10,FALSE)," ")*I87,0)</f>
        <v>0</v>
      </c>
      <c r="V87" s="44">
        <f>IFERROR(IFERROR(VLOOKUP(A87,MasterTable[[#All],[WCAG guideline]:[Epilepsy]],10,FALSE)," ")*J87,0)</f>
        <v>0</v>
      </c>
      <c r="W87" s="44">
        <f>IFERROR(IFERROR(VLOOKUP(A87,MasterTable[[#All],[WCAG guideline]:[Epilepsy]],11,FALSE)," ")*I87,0)</f>
        <v>0</v>
      </c>
      <c r="X87" s="44">
        <f>IFERROR(IFERROR(VLOOKUP(A87,MasterTable[[#All],[WCAG guideline]:[Epilepsy]],11,FALSE)," ")*J87,0)</f>
        <v>0</v>
      </c>
      <c r="Y87" s="44">
        <f>IFERROR(IFERROR(VLOOKUP(A87,MasterTable[[#All],[WCAG guideline]:[Epilepsy]],12,FALSE)," ")*I87,0)</f>
        <v>0</v>
      </c>
      <c r="Z87" s="44">
        <f>IFERROR(IFERROR(VLOOKUP(A87,MasterTable[[#All],[WCAG guideline]:[Epilepsy]],12,FALSE)," ")*J87,0)</f>
        <v>0</v>
      </c>
    </row>
    <row r="88" spans="1:26" ht="22.8" x14ac:dyDescent="0.4">
      <c r="A88" s="86" t="s">
        <v>393</v>
      </c>
      <c r="B88" s="87" t="str">
        <f>IFERROR(VLOOKUP(A88,MasterTable[[#All],[WCAG guideline]:[2.2 Level]],4,FALSE), "Not found")</f>
        <v>AAA</v>
      </c>
      <c r="C88" s="87">
        <f>COUNTIFS('Custom Test Script'!B2:B200,"*"&amp;'Findings Breakdown'!A88&amp;"*",'Custom Test Script'!D2:D200,'Validations List'!A107)+COUNTIFS('Report Entry'!D26:D207,"*"&amp;'Findings Breakdown'!A88&amp;"*",'Report Entry'!B26:B207,'Validations List'!A107)</f>
        <v>0</v>
      </c>
      <c r="D88" s="87">
        <f>COUNTIFS('Custom Test Script'!B2:B200,"*"&amp;'Findings Breakdown'!A88&amp;"*",'Custom Test Script'!D2:D200,'Validations List'!A106)+COUNTIFS('Report Entry'!D26:D207,"*"&amp;'Findings Breakdown'!A88&amp;"*",'Report Entry'!B26:B207,'Validations List'!A106)</f>
        <v>0</v>
      </c>
      <c r="E88" s="87">
        <f>COUNTIFS('Custom Test Script'!B2:B200,"*"&amp;'Findings Breakdown'!A88&amp;"*",'Custom Test Script'!D2:D200,'Validations List'!A105)+COUNTIFS('Report Entry'!D26:D207,"*"&amp;'Findings Breakdown'!A88&amp;"*",'Report Entry'!B26:B207,'Validations List'!A105)</f>
        <v>0</v>
      </c>
      <c r="F88" s="87">
        <f>COUNTIFS('Custom Test Script'!B2:B200,"*"&amp;'Findings Breakdown'!A88&amp;"*",'Custom Test Script'!D2:D200,'Validations List'!A108)+COUNTIFS('Report Entry'!D26:D207,"*"&amp;'Findings Breakdown'!A88&amp;"*",'Report Entry'!B26:B207,'Validations List'!A108)</f>
        <v>0</v>
      </c>
      <c r="G88" s="87">
        <f>COUNTIFS('Custom Test Script'!B2:B200,"*"&amp;'Findings Breakdown'!A88&amp;"*",'Custom Test Script'!D2:D200,'Validations List'!A109)+COUNTIFS('Report Entry'!D26:D207,"*"&amp;'Findings Breakdown'!A88&amp;"*",'Report Entry'!B26:B207,'Validations List'!A109)</f>
        <v>0</v>
      </c>
      <c r="H88" s="69" t="str" cm="1">
        <f t="array" ref="H88">INDEX('Validations List'!A189:D189,SUMPRODUCT(MAX(('Validations List'!A189:D221=A88)*(COLUMN('Validations List'!A189:D221))))-COLUMN('Validations List'!A189)+1)</f>
        <v>Not ranked</v>
      </c>
      <c r="I88" s="44" t="str">
        <f>IFERROR(WCAG22results[[#This Row],['# Support w/ Exceptions]]*WCAG22results[[#This Row],[Exceptions Value per2]]+(WCAG22results[[#This Row],['# Supports]]+WCAG22results[[#This Row],['# Does Not Apply]])*WCAG22results[[#This Row],[Supports Value per]]," ")</f>
        <v xml:space="preserve"> </v>
      </c>
      <c r="J88" s="44" t="str">
        <f>IFERROR('Validations List'!I58*WCAG22results[[#This Row],[Supports Value per]]," ")</f>
        <v xml:space="preserve"> </v>
      </c>
      <c r="K88" s="44" t="str">
        <f>IF(WCAG22results[[#This Row],[Importance by Agency]]='Validations List'!A113,'Validations List'!D113,IF(WCAG22results[[#This Row],[Importance by Agency]]='Validations List'!A114,'Validations List'!D114,IF(WCAG22results[[#This Row],[Importance by Agency]]='Validations List'!A115,'Validations List'!D115,"Not Ranked")))</f>
        <v>Not Ranked</v>
      </c>
      <c r="L88" s="44" t="str">
        <f>IF(WCAG22results[[#This Row],[Importance by Agency]]='Validations List'!A113,'Validations List'!C113,IF(WCAG22results[[#This Row],[Importance by Agency]]='Validations List'!A114,'Validations List'!C114,IF(WCAG22results[[#This Row],[Importance by Agency]]='Validations List'!A115,'Validations List'!C115,"Not Ranked")))</f>
        <v>Not Ranked</v>
      </c>
      <c r="M88" s="83">
        <f>IFERROR(IFERROR(VLOOKUP(A88,MasterTable[[#All],[WCAG guideline]:[Epilepsy]],6,FALSE)," ")*I88,0)</f>
        <v>0</v>
      </c>
      <c r="N88" s="83">
        <f>IFERROR(IFERROR(VLOOKUP(A88,MasterTable[[#All],[WCAG guideline]:[Epilepsy]],6,FALSE)," ")*J88,0)</f>
        <v>0</v>
      </c>
      <c r="O88" s="44">
        <f>IFERROR(IFERROR(VLOOKUP(A88,MasterTable[[#All],[WCAG guideline]:[Epilepsy]],7,FALSE)," ")*I88,0)</f>
        <v>0</v>
      </c>
      <c r="P88" s="44">
        <f>IFERROR(IFERROR(VLOOKUP(A88,MasterTable[[#All],[WCAG guideline]:[Epilepsy]],7,FALSE)," ")*J88,0)</f>
        <v>0</v>
      </c>
      <c r="Q88" s="44">
        <f>IFERROR(IFERROR(VLOOKUP(A88,MasterTable[[#All],[WCAG guideline]:[Epilepsy]],8,FALSE)," ")*I88,0)</f>
        <v>0</v>
      </c>
      <c r="R88" s="44">
        <f>IFERROR(IFERROR(VLOOKUP(A88,MasterTable[[#All],[WCAG guideline]:[Epilepsy]],8,FALSE)," ")*J88,0)</f>
        <v>0</v>
      </c>
      <c r="S88" s="44">
        <f>IFERROR(IFERROR(VLOOKUP(A88,MasterTable[[#All],[WCAG guideline]:[Epilepsy]],9,FALSE)," ")*I88,0)</f>
        <v>0</v>
      </c>
      <c r="T88" s="44">
        <f>IFERROR(IFERROR(VLOOKUP(A88,MasterTable[[#All],[WCAG guideline]:[Epilepsy]],9,FALSE)," ")*J88,0)</f>
        <v>0</v>
      </c>
      <c r="U88" s="44">
        <f>IFERROR(IFERROR(VLOOKUP(A88,MasterTable[[#All],[WCAG guideline]:[Epilepsy]],10,FALSE)," ")*I88,0)</f>
        <v>0</v>
      </c>
      <c r="V88" s="44">
        <f>IFERROR(IFERROR(VLOOKUP(A88,MasterTable[[#All],[WCAG guideline]:[Epilepsy]],10,FALSE)," ")*J88,0)</f>
        <v>0</v>
      </c>
      <c r="W88" s="44">
        <f>IFERROR(IFERROR(VLOOKUP(A88,MasterTable[[#All],[WCAG guideline]:[Epilepsy]],11,FALSE)," ")*I88,0)</f>
        <v>0</v>
      </c>
      <c r="X88" s="44">
        <f>IFERROR(IFERROR(VLOOKUP(A88,MasterTable[[#All],[WCAG guideline]:[Epilepsy]],11,FALSE)," ")*J88,0)</f>
        <v>0</v>
      </c>
      <c r="Y88" s="44">
        <f>IFERROR(IFERROR(VLOOKUP(A88,MasterTable[[#All],[WCAG guideline]:[Epilepsy]],12,FALSE)," ")*I88,0)</f>
        <v>0</v>
      </c>
      <c r="Z88" s="44">
        <f>IFERROR(IFERROR(VLOOKUP(A88,MasterTable[[#All],[WCAG guideline]:[Epilepsy]],12,FALSE)," ")*J88,0)</f>
        <v>0</v>
      </c>
    </row>
    <row r="89" spans="1:26" ht="22.8" x14ac:dyDescent="0.4">
      <c r="A89" s="75" t="s">
        <v>394</v>
      </c>
      <c r="B89" s="44" t="str">
        <f>IFERROR(VLOOKUP(A89,MasterTable[[#All],[WCAG guideline]:[2.2 Level]],4,FALSE), "Not found")</f>
        <v>AA</v>
      </c>
      <c r="C89" s="44">
        <f>COUNTIFS('Custom Test Script'!B2:B200,"*"&amp;'Findings Breakdown'!A89&amp;"*",'Custom Test Script'!D2:D200,'Validations List'!A107)+COUNTIFS('Report Entry'!D26:D207,"*"&amp;'Findings Breakdown'!A89&amp;"*",'Report Entry'!B26:B207,'Validations List'!A107)</f>
        <v>0</v>
      </c>
      <c r="D89" s="44">
        <f>COUNTIFS('Custom Test Script'!B2:B200,"*"&amp;'Findings Breakdown'!A89&amp;"*",'Custom Test Script'!D2:D200,'Validations List'!A106)+COUNTIFS('Report Entry'!D26:D207,"*"&amp;'Findings Breakdown'!A89&amp;"*",'Report Entry'!B26:B207,'Validations List'!A106)</f>
        <v>0</v>
      </c>
      <c r="E89" s="44">
        <f>COUNTIFS('Custom Test Script'!B2:B200,"*"&amp;'Findings Breakdown'!A89&amp;"*",'Custom Test Script'!D2:D200,'Validations List'!A105)+COUNTIFS('Report Entry'!D26:D207,"*"&amp;'Findings Breakdown'!A89&amp;"*",'Report Entry'!B26:B207,'Validations List'!A105)</f>
        <v>0</v>
      </c>
      <c r="F89" s="44">
        <f>COUNTIFS('Custom Test Script'!B2:B200,"*"&amp;'Findings Breakdown'!A89&amp;"*",'Custom Test Script'!D2:D200,'Validations List'!A108)+COUNTIFS('Report Entry'!D26:D207,"*"&amp;'Findings Breakdown'!A89&amp;"*",'Report Entry'!B26:B207,'Validations List'!A108)</f>
        <v>0</v>
      </c>
      <c r="G89" s="44">
        <f>COUNTIFS('Custom Test Script'!B2:B200,"*"&amp;'Findings Breakdown'!A89&amp;"*",'Custom Test Script'!D2:D200,'Validations List'!A109)+COUNTIFS('Report Entry'!D26:D207,"*"&amp;'Findings Breakdown'!A89&amp;"*",'Report Entry'!B26:B207,'Validations List'!A109)</f>
        <v>0</v>
      </c>
      <c r="H89" s="69" t="str" cm="1">
        <f t="array" ref="H89">INDEX('Validations List'!A189:D189,SUMPRODUCT(MAX(('Validations List'!A189:D221=A89)*(COLUMN('Validations List'!A189:D221))))-COLUMN('Validations List'!A189)+1)</f>
        <v>Important</v>
      </c>
      <c r="I89" s="44">
        <f>IFERROR(WCAG22results[[#This Row],['# Support w/ Exceptions]]*WCAG22results[[#This Row],[Exceptions Value per2]]+(WCAG22results[[#This Row],['# Supports]]+WCAG22results[[#This Row],['# Does Not Apply]])*WCAG22results[[#This Row],[Supports Value per]]," ")</f>
        <v>0</v>
      </c>
      <c r="J89" s="44">
        <f>IFERROR('Validations List'!I65*WCAG22results[[#This Row],[Supports Value per]]," ")</f>
        <v>100</v>
      </c>
      <c r="K89" s="44">
        <f>IF(WCAG22results[[#This Row],[Importance by Agency]]='Validations List'!A113,'Validations List'!D113,IF(WCAG22results[[#This Row],[Importance by Agency]]='Validations List'!A114,'Validations List'!D114,IF(WCAG22results[[#This Row],[Importance by Agency]]='Validations List'!A115,'Validations List'!D115,"Not Ranked")))</f>
        <v>100</v>
      </c>
      <c r="L89" s="44">
        <f>IF(WCAG22results[[#This Row],[Importance by Agency]]='Validations List'!A113,'Validations List'!C113,IF(WCAG22results[[#This Row],[Importance by Agency]]='Validations List'!A114,'Validations List'!C114,IF(WCAG22results[[#This Row],[Importance by Agency]]='Validations List'!A115,'Validations List'!C115,"Not Ranked")))</f>
        <v>50</v>
      </c>
      <c r="M89" s="83">
        <f>IFERROR(IFERROR(VLOOKUP(A89,MasterTable[[#All],[WCAG guideline]:[Epilepsy]],6,FALSE)," ")*I89,0)</f>
        <v>0</v>
      </c>
      <c r="N89" s="83">
        <f>IFERROR(IFERROR(VLOOKUP(A89,MasterTable[[#All],[WCAG guideline]:[Epilepsy]],6,FALSE)," ")*J89,0)</f>
        <v>100</v>
      </c>
      <c r="O89" s="44">
        <f>IFERROR(IFERROR(VLOOKUP(A89,MasterTable[[#All],[WCAG guideline]:[Epilepsy]],7,FALSE)," ")*I89,0)</f>
        <v>0</v>
      </c>
      <c r="P89" s="44">
        <f>IFERROR(IFERROR(VLOOKUP(A89,MasterTable[[#All],[WCAG guideline]:[Epilepsy]],7,FALSE)," ")*J89,0)</f>
        <v>0</v>
      </c>
      <c r="Q89" s="44">
        <f>IFERROR(IFERROR(VLOOKUP(A89,MasterTable[[#All],[WCAG guideline]:[Epilepsy]],8,FALSE)," ")*I89,0)</f>
        <v>0</v>
      </c>
      <c r="R89" s="44">
        <f>IFERROR(IFERROR(VLOOKUP(A89,MasterTable[[#All],[WCAG guideline]:[Epilepsy]],8,FALSE)," ")*J89,0)</f>
        <v>0</v>
      </c>
      <c r="S89" s="44">
        <f>IFERROR(IFERROR(VLOOKUP(A89,MasterTable[[#All],[WCAG guideline]:[Epilepsy]],9,FALSE)," ")*I89,0)</f>
        <v>0</v>
      </c>
      <c r="T89" s="44">
        <f>IFERROR(IFERROR(VLOOKUP(A89,MasterTable[[#All],[WCAG guideline]:[Epilepsy]],9,FALSE)," ")*J89,0)</f>
        <v>0</v>
      </c>
      <c r="U89" s="44">
        <f>IFERROR(IFERROR(VLOOKUP(A89,MasterTable[[#All],[WCAG guideline]:[Epilepsy]],10,FALSE)," ")*I89,0)</f>
        <v>0</v>
      </c>
      <c r="V89" s="44">
        <f>IFERROR(IFERROR(VLOOKUP(A89,MasterTable[[#All],[WCAG guideline]:[Epilepsy]],10,FALSE)," ")*J89,0)</f>
        <v>100</v>
      </c>
      <c r="W89" s="44">
        <f>IFERROR(IFERROR(VLOOKUP(A89,MasterTable[[#All],[WCAG guideline]:[Epilepsy]],11,FALSE)," ")*I89,0)</f>
        <v>0</v>
      </c>
      <c r="X89" s="44">
        <f>IFERROR(IFERROR(VLOOKUP(A89,MasterTable[[#All],[WCAG guideline]:[Epilepsy]],11,FALSE)," ")*J89,0)</f>
        <v>100</v>
      </c>
      <c r="Y89" s="44">
        <f>IFERROR(IFERROR(VLOOKUP(A89,MasterTable[[#All],[WCAG guideline]:[Epilepsy]],12,FALSE)," ")*I89,0)</f>
        <v>0</v>
      </c>
      <c r="Z89" s="44">
        <f>IFERROR(IFERROR(VLOOKUP(A89,MasterTable[[#All],[WCAG guideline]:[Epilepsy]],12,FALSE)," ")*J89,0)</f>
        <v>0</v>
      </c>
    </row>
    <row r="90" spans="1:26" ht="22.8" x14ac:dyDescent="0.4">
      <c r="A90" s="86" t="s">
        <v>395</v>
      </c>
      <c r="B90" s="87" t="str">
        <f>IFERROR(VLOOKUP(A90,MasterTable[[#All],[WCAG guideline]:[2.2 Level]],4,FALSE), "Not found")</f>
        <v>AA</v>
      </c>
      <c r="C90" s="87">
        <f>COUNTIFS('Custom Test Script'!B2:B200,"*"&amp;'Findings Breakdown'!A90&amp;"*",'Custom Test Script'!D2:D200,'Validations List'!A107)+COUNTIFS('Report Entry'!D26:D207,"*"&amp;'Findings Breakdown'!A90&amp;"*",'Report Entry'!B26:B207,'Validations List'!A107)</f>
        <v>0</v>
      </c>
      <c r="D90" s="87">
        <f>COUNTIFS('Custom Test Script'!B2:B200,"*"&amp;'Findings Breakdown'!A90&amp;"*",'Custom Test Script'!D2:D200,'Validations List'!A106)+COUNTIFS('Report Entry'!D26:D207,"*"&amp;'Findings Breakdown'!A90&amp;"*",'Report Entry'!B26:B207,'Validations List'!A106)</f>
        <v>0</v>
      </c>
      <c r="E90" s="87">
        <f>COUNTIFS('Custom Test Script'!B2:B200,"*"&amp;'Findings Breakdown'!A90&amp;"*",'Custom Test Script'!D2:D200,'Validations List'!A105)+COUNTIFS('Report Entry'!D26:D207,"*"&amp;'Findings Breakdown'!A90&amp;"*",'Report Entry'!B26:B207,'Validations List'!A105)</f>
        <v>0</v>
      </c>
      <c r="F90" s="87">
        <f>COUNTIFS('Custom Test Script'!B2:B200,"*"&amp;'Findings Breakdown'!A90&amp;"*",'Custom Test Script'!D2:D200,'Validations List'!A108)+COUNTIFS('Report Entry'!D26:D207,"*"&amp;'Findings Breakdown'!A90&amp;"*",'Report Entry'!B26:B207,'Validations List'!A108)</f>
        <v>0</v>
      </c>
      <c r="G90" s="87">
        <f>COUNTIFS('Custom Test Script'!B2:B200,"*"&amp;'Findings Breakdown'!A90&amp;"*",'Custom Test Script'!D2:D200,'Validations List'!A109)+COUNTIFS('Report Entry'!D26:D207,"*"&amp;'Findings Breakdown'!A90&amp;"*",'Report Entry'!B26:B207,'Validations List'!A109)</f>
        <v>0</v>
      </c>
      <c r="H90" s="69" t="str" cm="1">
        <f t="array" ref="H90">INDEX('Validations List'!A189:D189,SUMPRODUCT(MAX(('Validations List'!A189:D221=A90)*(COLUMN('Validations List'!A189:D221))))-COLUMN('Validations List'!A189)+1)</f>
        <v>Important</v>
      </c>
      <c r="I90" s="44">
        <f>IFERROR(WCAG22results[[#This Row],['# Support w/ Exceptions]]*WCAG22results[[#This Row],[Exceptions Value per2]]+(WCAG22results[[#This Row],['# Supports]]+WCAG22results[[#This Row],['# Does Not Apply]])*WCAG22results[[#This Row],[Supports Value per]]," ")</f>
        <v>0</v>
      </c>
      <c r="J90" s="44">
        <f>IFERROR('Validations List'!I66*WCAG22results[[#This Row],[Supports Value per]]," ")</f>
        <v>100</v>
      </c>
      <c r="K90" s="44">
        <f>IF(WCAG22results[[#This Row],[Importance by Agency]]='Validations List'!A113,'Validations List'!D113,IF(WCAG22results[[#This Row],[Importance by Agency]]='Validations List'!A114,'Validations List'!D114,IF(WCAG22results[[#This Row],[Importance by Agency]]='Validations List'!A115,'Validations List'!D115,"Not Ranked")))</f>
        <v>100</v>
      </c>
      <c r="L90" s="44">
        <f>IF(WCAG22results[[#This Row],[Importance by Agency]]='Validations List'!A113,'Validations List'!C113,IF(WCAG22results[[#This Row],[Importance by Agency]]='Validations List'!A114,'Validations List'!C114,IF(WCAG22results[[#This Row],[Importance by Agency]]='Validations List'!A115,'Validations List'!C115,"Not Ranked")))</f>
        <v>50</v>
      </c>
      <c r="M90" s="83">
        <f>IFERROR(IFERROR(VLOOKUP(A90,MasterTable[[#All],[WCAG guideline]:[Epilepsy]],6,FALSE)," ")*I90,0)</f>
        <v>0</v>
      </c>
      <c r="N90" s="83">
        <f>IFERROR(IFERROR(VLOOKUP(A90,MasterTable[[#All],[WCAG guideline]:[Epilepsy]],6,FALSE)," ")*J90,0)</f>
        <v>0</v>
      </c>
      <c r="O90" s="44">
        <f>IFERROR(IFERROR(VLOOKUP(A90,MasterTable[[#All],[WCAG guideline]:[Epilepsy]],7,FALSE)," ")*I90,0)</f>
        <v>0</v>
      </c>
      <c r="P90" s="44">
        <f>IFERROR(IFERROR(VLOOKUP(A90,MasterTable[[#All],[WCAG guideline]:[Epilepsy]],7,FALSE)," ")*J90,0)</f>
        <v>0</v>
      </c>
      <c r="Q90" s="44">
        <f>IFERROR(IFERROR(VLOOKUP(A90,MasterTable[[#All],[WCAG guideline]:[Epilepsy]],8,FALSE)," ")*I90,0)</f>
        <v>0</v>
      </c>
      <c r="R90" s="44">
        <f>IFERROR(IFERROR(VLOOKUP(A90,MasterTable[[#All],[WCAG guideline]:[Epilepsy]],8,FALSE)," ")*J90,0)</f>
        <v>0</v>
      </c>
      <c r="S90" s="44">
        <f>IFERROR(IFERROR(VLOOKUP(A90,MasterTable[[#All],[WCAG guideline]:[Epilepsy]],9,FALSE)," ")*I90,0)</f>
        <v>0</v>
      </c>
      <c r="T90" s="44">
        <f>IFERROR(IFERROR(VLOOKUP(A90,MasterTable[[#All],[WCAG guideline]:[Epilepsy]],9,FALSE)," ")*J90,0)</f>
        <v>0</v>
      </c>
      <c r="U90" s="44">
        <f>IFERROR(IFERROR(VLOOKUP(A90,MasterTable[[#All],[WCAG guideline]:[Epilepsy]],10,FALSE)," ")*I90,0)</f>
        <v>0</v>
      </c>
      <c r="V90" s="44">
        <f>IFERROR(IFERROR(VLOOKUP(A90,MasterTable[[#All],[WCAG guideline]:[Epilepsy]],10,FALSE)," ")*J90,0)</f>
        <v>0</v>
      </c>
      <c r="W90" s="44">
        <f>IFERROR(IFERROR(VLOOKUP(A90,MasterTable[[#All],[WCAG guideline]:[Epilepsy]],11,FALSE)," ")*I90,0)</f>
        <v>0</v>
      </c>
      <c r="X90" s="44">
        <f>IFERROR(IFERROR(VLOOKUP(A90,MasterTable[[#All],[WCAG guideline]:[Epilepsy]],11,FALSE)," ")*J90,0)</f>
        <v>100</v>
      </c>
      <c r="Y90" s="44">
        <f>IFERROR(IFERROR(VLOOKUP(A90,MasterTable[[#All],[WCAG guideline]:[Epilepsy]],12,FALSE)," ")*I90,0)</f>
        <v>0</v>
      </c>
      <c r="Z90" s="44">
        <f>IFERROR(IFERROR(VLOOKUP(A90,MasterTable[[#All],[WCAG guideline]:[Epilepsy]],12,FALSE)," ")*J90,0)</f>
        <v>0</v>
      </c>
    </row>
    <row r="91" spans="1:26" ht="22.8" x14ac:dyDescent="0.4">
      <c r="A91" s="75" t="s">
        <v>396</v>
      </c>
      <c r="B91" s="44" t="str">
        <f>IFERROR(VLOOKUP(A91,MasterTable[[#All],[WCAG guideline]:[2.2 Level]],4,FALSE), "Not found")</f>
        <v>A</v>
      </c>
      <c r="C91" s="44">
        <f>COUNTIFS('Custom Test Script'!B2:B200,"*"&amp;'Findings Breakdown'!A91&amp;"*",'Custom Test Script'!D2:D200,'Validations List'!A107)+COUNTIFS('Report Entry'!D26:D207,"*"&amp;'Findings Breakdown'!A91&amp;"*",'Report Entry'!B26:B207,'Validations List'!A107)</f>
        <v>0</v>
      </c>
      <c r="D91" s="44">
        <f>COUNTIFS('Custom Test Script'!B2:B200,"*"&amp;'Findings Breakdown'!A91&amp;"*",'Custom Test Script'!D2:D200,'Validations List'!A106)+COUNTIFS('Report Entry'!D26:D207,"*"&amp;'Findings Breakdown'!A91&amp;"*",'Report Entry'!B26:B207,'Validations List'!A106)</f>
        <v>0</v>
      </c>
      <c r="E91" s="44">
        <f>COUNTIFS('Custom Test Script'!B2:B200,"*"&amp;'Findings Breakdown'!A91&amp;"*",'Custom Test Script'!D2:D200,'Validations List'!A105)+COUNTIFS('Report Entry'!D26:D207,"*"&amp;'Findings Breakdown'!A91&amp;"*",'Report Entry'!B26:B207,'Validations List'!A105)</f>
        <v>0</v>
      </c>
      <c r="F91" s="44">
        <f>COUNTIFS('Custom Test Script'!B2:B200,"*"&amp;'Findings Breakdown'!A91&amp;"*",'Custom Test Script'!D2:D200,'Validations List'!A108)+COUNTIFS('Report Entry'!D26:D207,"*"&amp;'Findings Breakdown'!A91&amp;"*",'Report Entry'!B26:B207,'Validations List'!A108)</f>
        <v>0</v>
      </c>
      <c r="G91" s="44">
        <f>COUNTIFS('Custom Test Script'!B2:B200,"*"&amp;'Findings Breakdown'!A91&amp;"*",'Custom Test Script'!D2:D200,'Validations List'!A109)+COUNTIFS('Report Entry'!D26:D207,"*"&amp;'Findings Breakdown'!A91&amp;"*",'Report Entry'!B26:B207,'Validations List'!A109)</f>
        <v>0</v>
      </c>
      <c r="H91" s="69" t="str" cm="1">
        <f t="array" ref="H91">INDEX('Validations List'!A189:D189,SUMPRODUCT(MAX(('Validations List'!A189:D221=A91)*(COLUMN('Validations List'!A189:D221))))-COLUMN('Validations List'!A189)+1)</f>
        <v>Standard</v>
      </c>
      <c r="I91" s="44">
        <f>IFERROR(WCAG22results[[#This Row],['# Support w/ Exceptions]]*WCAG22results[[#This Row],[Exceptions Value per2]]+(WCAG22results[[#This Row],['# Supports]]+WCAG22results[[#This Row],['# Does Not Apply]])*WCAG22results[[#This Row],[Supports Value per]]," ")</f>
        <v>0</v>
      </c>
      <c r="J91" s="44">
        <f>IFERROR('Validations List'!I78*WCAG22results[[#This Row],[Supports Value per]]," ")</f>
        <v>50</v>
      </c>
      <c r="K91" s="44">
        <f>IF(WCAG22results[[#This Row],[Importance by Agency]]='Validations List'!A113,'Validations List'!D113,IF(WCAG22results[[#This Row],[Importance by Agency]]='Validations List'!A114,'Validations List'!D114,IF(WCAG22results[[#This Row],[Importance by Agency]]='Validations List'!A115,'Validations List'!D115,"Not Ranked")))</f>
        <v>50</v>
      </c>
      <c r="L91" s="44">
        <f>IF(WCAG22results[[#This Row],[Importance by Agency]]='Validations List'!A113,'Validations List'!C113,IF(WCAG22results[[#This Row],[Importance by Agency]]='Validations List'!A114,'Validations List'!C114,IF(WCAG22results[[#This Row],[Importance by Agency]]='Validations List'!A115,'Validations List'!C115,"Not Ranked")))</f>
        <v>25</v>
      </c>
      <c r="M91" s="83">
        <f>IFERROR(IFERROR(VLOOKUP(A91,MasterTable[[#All],[WCAG guideline]:[Epilepsy]],6,FALSE)," ")*I91,0)</f>
        <v>0</v>
      </c>
      <c r="N91" s="83">
        <f>IFERROR(IFERROR(VLOOKUP(A91,MasterTable[[#All],[WCAG guideline]:[Epilepsy]],6,FALSE)," ")*J91,0)</f>
        <v>0</v>
      </c>
      <c r="O91" s="44">
        <f>IFERROR(IFERROR(VLOOKUP(A91,MasterTable[[#All],[WCAG guideline]:[Epilepsy]],7,FALSE)," ")*I91,0)</f>
        <v>0</v>
      </c>
      <c r="P91" s="44">
        <f>IFERROR(IFERROR(VLOOKUP(A91,MasterTable[[#All],[WCAG guideline]:[Epilepsy]],7,FALSE)," ")*J91,0)</f>
        <v>0</v>
      </c>
      <c r="Q91" s="44">
        <f>IFERROR(IFERROR(VLOOKUP(A91,MasterTable[[#All],[WCAG guideline]:[Epilepsy]],8,FALSE)," ")*I91,0)</f>
        <v>0</v>
      </c>
      <c r="R91" s="44">
        <f>IFERROR(IFERROR(VLOOKUP(A91,MasterTable[[#All],[WCAG guideline]:[Epilepsy]],8,FALSE)," ")*J91,0)</f>
        <v>0</v>
      </c>
      <c r="S91" s="44">
        <f>IFERROR(IFERROR(VLOOKUP(A91,MasterTable[[#All],[WCAG guideline]:[Epilepsy]],9,FALSE)," ")*I91,0)</f>
        <v>0</v>
      </c>
      <c r="T91" s="44">
        <f>IFERROR(IFERROR(VLOOKUP(A91,MasterTable[[#All],[WCAG guideline]:[Epilepsy]],9,FALSE)," ")*J91,0)</f>
        <v>0</v>
      </c>
      <c r="U91" s="44">
        <f>IFERROR(IFERROR(VLOOKUP(A91,MasterTable[[#All],[WCAG guideline]:[Epilepsy]],10,FALSE)," ")*I91,0)</f>
        <v>0</v>
      </c>
      <c r="V91" s="44">
        <f>IFERROR(IFERROR(VLOOKUP(A91,MasterTable[[#All],[WCAG guideline]:[Epilepsy]],10,FALSE)," ")*J91,0)</f>
        <v>50</v>
      </c>
      <c r="W91" s="44">
        <f>IFERROR(IFERROR(VLOOKUP(A91,MasterTable[[#All],[WCAG guideline]:[Epilepsy]],11,FALSE)," ")*I91,0)</f>
        <v>0</v>
      </c>
      <c r="X91" s="44">
        <f>IFERROR(IFERROR(VLOOKUP(A91,MasterTable[[#All],[WCAG guideline]:[Epilepsy]],11,FALSE)," ")*J91,0)</f>
        <v>0</v>
      </c>
      <c r="Y91" s="44">
        <f>IFERROR(IFERROR(VLOOKUP(A91,MasterTable[[#All],[WCAG guideline]:[Epilepsy]],12,FALSE)," ")*I91,0)</f>
        <v>0</v>
      </c>
      <c r="Z91" s="44">
        <f>IFERROR(IFERROR(VLOOKUP(A91,MasterTable[[#All],[WCAG guideline]:[Epilepsy]],12,FALSE)," ")*J91,0)</f>
        <v>0</v>
      </c>
    </row>
    <row r="92" spans="1:26" ht="22.8" x14ac:dyDescent="0.4">
      <c r="A92" s="86" t="s">
        <v>288</v>
      </c>
      <c r="B92" s="87" t="str">
        <f>IFERROR(VLOOKUP(A92,MasterTable[[#All],[WCAG guideline]:[2.2 Level]],4,FALSE), "Not found")</f>
        <v>A</v>
      </c>
      <c r="C92" s="87">
        <f>COUNTIFS('Custom Test Script'!B2:B200,"*"&amp;'Findings Breakdown'!A92&amp;"*",'Custom Test Script'!D2:D200,'Validations List'!A107)+COUNTIFS('Report Entry'!D26:D207,"*"&amp;'Findings Breakdown'!A92&amp;"*",'Report Entry'!B26:B207,'Validations List'!A107)</f>
        <v>0</v>
      </c>
      <c r="D92" s="87">
        <f>COUNTIFS('Custom Test Script'!B2:B200,"*"&amp;'Findings Breakdown'!A92&amp;"*",'Custom Test Script'!D2:D200,'Validations List'!A106)+COUNTIFS('Report Entry'!D26:D207,"*"&amp;'Findings Breakdown'!A92&amp;"*",'Report Entry'!B26:B207,'Validations List'!A106)</f>
        <v>0</v>
      </c>
      <c r="E92" s="87">
        <f>COUNTIFS('Custom Test Script'!B2:B200,"*"&amp;'Findings Breakdown'!A92&amp;"*",'Custom Test Script'!D2:D200,'Validations List'!A105)+COUNTIFS('Report Entry'!D26:D207,"*"&amp;'Findings Breakdown'!A92&amp;"*",'Report Entry'!B26:B207,'Validations List'!A105)</f>
        <v>0</v>
      </c>
      <c r="F92" s="87">
        <f>COUNTIFS('Custom Test Script'!B2:B200,"*"&amp;'Findings Breakdown'!A92&amp;"*",'Custom Test Script'!D2:D200,'Validations List'!A108)+COUNTIFS('Report Entry'!D26:D207,"*"&amp;'Findings Breakdown'!A92&amp;"*",'Report Entry'!B26:B207,'Validations List'!A108)</f>
        <v>0</v>
      </c>
      <c r="G92" s="87">
        <f>COUNTIFS('Custom Test Script'!B2:B200,"*"&amp;'Findings Breakdown'!A92&amp;"*",'Custom Test Script'!D2:D200,'Validations List'!A109)+COUNTIFS('Report Entry'!D26:D207,"*"&amp;'Findings Breakdown'!A92&amp;"*",'Report Entry'!B26:B207,'Validations List'!A109)</f>
        <v>0</v>
      </c>
      <c r="H92" s="69" t="str" cm="1">
        <f t="array" ref="H92">INDEX('Validations List'!A189:D189,SUMPRODUCT(MAX(('Validations List'!A189:D221=A92)*(COLUMN('Validations List'!A189:D221))))-COLUMN('Validations List'!A189)+1)</f>
        <v>Standard</v>
      </c>
      <c r="I92" s="44">
        <f>IFERROR(WCAG22results[[#This Row],['# Support w/ Exceptions]]*WCAG22results[[#This Row],[Exceptions Value per2]]+(WCAG22results[[#This Row],['# Supports]]+WCAG22results[[#This Row],['# Does Not Apply]])*WCAG22results[[#This Row],[Supports Value per]]," ")</f>
        <v>0</v>
      </c>
      <c r="J92" s="44">
        <f>IFERROR('Validations List'!I85*WCAG22results[[#This Row],[Supports Value per]]," ")</f>
        <v>50</v>
      </c>
      <c r="K92" s="44">
        <f>IF(WCAG22results[[#This Row],[Importance by Agency]]='Validations List'!A113,'Validations List'!D113,IF(WCAG22results[[#This Row],[Importance by Agency]]='Validations List'!A114,'Validations List'!D114,IF(WCAG22results[[#This Row],[Importance by Agency]]='Validations List'!A115,'Validations List'!D115,"Not Ranked")))</f>
        <v>50</v>
      </c>
      <c r="L92" s="44">
        <f>IF(WCAG22results[[#This Row],[Importance by Agency]]='Validations List'!A113,'Validations List'!C113,IF(WCAG22results[[#This Row],[Importance by Agency]]='Validations List'!A114,'Validations List'!C114,IF(WCAG22results[[#This Row],[Importance by Agency]]='Validations List'!A115,'Validations List'!C115,"Not Ranked")))</f>
        <v>25</v>
      </c>
      <c r="M92" s="83">
        <f>IFERROR(IFERROR(VLOOKUP(A92,MasterTable[[#All],[WCAG guideline]:[Epilepsy]],6,FALSE)," ")*I92,0)</f>
        <v>0</v>
      </c>
      <c r="N92" s="83">
        <f>IFERROR(IFERROR(VLOOKUP(A92,MasterTable[[#All],[WCAG guideline]:[Epilepsy]],6,FALSE)," ")*J92,0)</f>
        <v>50</v>
      </c>
      <c r="O92" s="44">
        <f>IFERROR(IFERROR(VLOOKUP(A92,MasterTable[[#All],[WCAG guideline]:[Epilepsy]],7,FALSE)," ")*I92,0)</f>
        <v>0</v>
      </c>
      <c r="P92" s="44">
        <f>IFERROR(IFERROR(VLOOKUP(A92,MasterTable[[#All],[WCAG guideline]:[Epilepsy]],7,FALSE)," ")*J92,0)</f>
        <v>50</v>
      </c>
      <c r="Q92" s="44">
        <f>IFERROR(IFERROR(VLOOKUP(A92,MasterTable[[#All],[WCAG guideline]:[Epilepsy]],8,FALSE)," ")*I92,0)</f>
        <v>0</v>
      </c>
      <c r="R92" s="44">
        <f>IFERROR(IFERROR(VLOOKUP(A92,MasterTable[[#All],[WCAG guideline]:[Epilepsy]],8,FALSE)," ")*J92,0)</f>
        <v>0</v>
      </c>
      <c r="S92" s="44">
        <f>IFERROR(IFERROR(VLOOKUP(A92,MasterTable[[#All],[WCAG guideline]:[Epilepsy]],9,FALSE)," ")*I92,0)</f>
        <v>0</v>
      </c>
      <c r="T92" s="44">
        <f>IFERROR(IFERROR(VLOOKUP(A92,MasterTable[[#All],[WCAG guideline]:[Epilepsy]],9,FALSE)," ")*J92,0)</f>
        <v>0</v>
      </c>
      <c r="U92" s="44">
        <f>IFERROR(IFERROR(VLOOKUP(A92,MasterTable[[#All],[WCAG guideline]:[Epilepsy]],10,FALSE)," ")*I92,0)</f>
        <v>0</v>
      </c>
      <c r="V92" s="44">
        <f>IFERROR(IFERROR(VLOOKUP(A92,MasterTable[[#All],[WCAG guideline]:[Epilepsy]],10,FALSE)," ")*J92,0)</f>
        <v>50</v>
      </c>
      <c r="W92" s="44">
        <f>IFERROR(IFERROR(VLOOKUP(A92,MasterTable[[#All],[WCAG guideline]:[Epilepsy]],11,FALSE)," ")*I92,0)</f>
        <v>0</v>
      </c>
      <c r="X92" s="44">
        <f>IFERROR(IFERROR(VLOOKUP(A92,MasterTable[[#All],[WCAG guideline]:[Epilepsy]],11,FALSE)," ")*J92,0)</f>
        <v>0</v>
      </c>
      <c r="Y92" s="44">
        <f>IFERROR(IFERROR(VLOOKUP(A92,MasterTable[[#All],[WCAG guideline]:[Epilepsy]],12,FALSE)," ")*I92,0)</f>
        <v>0</v>
      </c>
      <c r="Z92" s="44">
        <f>IFERROR(IFERROR(VLOOKUP(A92,MasterTable[[#All],[WCAG guideline]:[Epilepsy]],12,FALSE)," ")*J92,0)</f>
        <v>0</v>
      </c>
    </row>
    <row r="93" spans="1:26" ht="22.8" x14ac:dyDescent="0.4">
      <c r="A93" s="75" t="s">
        <v>397</v>
      </c>
      <c r="B93" s="44" t="str">
        <f>IFERROR(VLOOKUP(A93,MasterTable[[#All],[WCAG guideline]:[2.2 Level]],4,FALSE), "Not found")</f>
        <v>AA</v>
      </c>
      <c r="C93" s="44">
        <f>COUNTIFS('Custom Test Script'!B2:B200,"*"&amp;'Findings Breakdown'!A93&amp;"*",'Custom Test Script'!D2:D200,'Validations List'!A107)+COUNTIFS('Report Entry'!D26:D207,"*"&amp;'Findings Breakdown'!A93&amp;"*",'Report Entry'!B26:B207,'Validations List'!A107)</f>
        <v>0</v>
      </c>
      <c r="D93" s="44">
        <f>COUNTIFS('Custom Test Script'!B2:B200,"*"&amp;'Findings Breakdown'!A93&amp;"*",'Custom Test Script'!D2:D200,'Validations List'!A106)+COUNTIFS('Report Entry'!D26:D207,"*"&amp;'Findings Breakdown'!A93&amp;"*",'Report Entry'!B26:B207,'Validations List'!A106)</f>
        <v>0</v>
      </c>
      <c r="E93" s="44">
        <f>COUNTIFS('Custom Test Script'!B2:B200,"*"&amp;'Findings Breakdown'!A93&amp;"*",'Custom Test Script'!D2:D200,'Validations List'!A105)+COUNTIFS('Report Entry'!D26:D207,"*"&amp;'Findings Breakdown'!A93&amp;"*",'Report Entry'!B26:B207,'Validations List'!A105)</f>
        <v>0</v>
      </c>
      <c r="F93" s="44">
        <f>COUNTIFS('Custom Test Script'!B2:B200,"*"&amp;'Findings Breakdown'!A93&amp;"*",'Custom Test Script'!D2:D200,'Validations List'!A108)+COUNTIFS('Report Entry'!D26:D207,"*"&amp;'Findings Breakdown'!A93&amp;"*",'Report Entry'!B26:B207,'Validations List'!A108)</f>
        <v>0</v>
      </c>
      <c r="G93" s="44">
        <f>COUNTIFS('Custom Test Script'!B2:B200,"*"&amp;'Findings Breakdown'!A93&amp;"*",'Custom Test Script'!D2:D200,'Validations List'!A109)+COUNTIFS('Report Entry'!D26:D207,"*"&amp;'Findings Breakdown'!A93&amp;"*",'Report Entry'!B26:B207,'Validations List'!A109)</f>
        <v>0</v>
      </c>
      <c r="H93" s="69" t="str" cm="1">
        <f t="array" ref="H93">INDEX('Validations List'!A189:D189,SUMPRODUCT(MAX(('Validations List'!A189:D221=A93)*(COLUMN('Validations List'!A189:D221))))-COLUMN('Validations List'!A189)+1)</f>
        <v>Important</v>
      </c>
      <c r="I93" s="44">
        <f>IFERROR(WCAG22results[[#This Row],['# Support w/ Exceptions]]*WCAG22results[[#This Row],[Exceptions Value per2]]+(WCAG22results[[#This Row],['# Supports]]+WCAG22results[[#This Row],['# Does Not Apply]])*WCAG22results[[#This Row],[Supports Value per]]," ")</f>
        <v>0</v>
      </c>
      <c r="J93" s="44">
        <f>IFERROR('Validations List'!I86*WCAG22results[[#This Row],[Supports Value per]]," ")</f>
        <v>200</v>
      </c>
      <c r="K93" s="44">
        <f>IF(WCAG22results[[#This Row],[Importance by Agency]]='Validations List'!A113,'Validations List'!D113,IF(WCAG22results[[#This Row],[Importance by Agency]]='Validations List'!A114,'Validations List'!D114,IF(WCAG22results[[#This Row],[Importance by Agency]]='Validations List'!A115,'Validations List'!D115,"Not Ranked")))</f>
        <v>100</v>
      </c>
      <c r="L93" s="44">
        <f>IF(WCAG22results[[#This Row],[Importance by Agency]]='Validations List'!A113,'Validations List'!C113,IF(WCAG22results[[#This Row],[Importance by Agency]]='Validations List'!A114,'Validations List'!C114,IF(WCAG22results[[#This Row],[Importance by Agency]]='Validations List'!A115,'Validations List'!C115,"Not Ranked")))</f>
        <v>50</v>
      </c>
      <c r="M93" s="83">
        <f>IFERROR(IFERROR(VLOOKUP(A93,MasterTable[[#All],[WCAG guideline]:[Epilepsy]],6,FALSE)," ")*I93,0)</f>
        <v>0</v>
      </c>
      <c r="N93" s="83">
        <f>IFERROR(IFERROR(VLOOKUP(A93,MasterTable[[#All],[WCAG guideline]:[Epilepsy]],6,FALSE)," ")*J93,0)</f>
        <v>0</v>
      </c>
      <c r="O93" s="44">
        <f>IFERROR(IFERROR(VLOOKUP(A93,MasterTable[[#All],[WCAG guideline]:[Epilepsy]],7,FALSE)," ")*I93,0)</f>
        <v>0</v>
      </c>
      <c r="P93" s="44">
        <f>IFERROR(IFERROR(VLOOKUP(A93,MasterTable[[#All],[WCAG guideline]:[Epilepsy]],7,FALSE)," ")*J93,0)</f>
        <v>0</v>
      </c>
      <c r="Q93" s="44">
        <f>IFERROR(IFERROR(VLOOKUP(A93,MasterTable[[#All],[WCAG guideline]:[Epilepsy]],8,FALSE)," ")*I93,0)</f>
        <v>0</v>
      </c>
      <c r="R93" s="44">
        <f>IFERROR(IFERROR(VLOOKUP(A93,MasterTable[[#All],[WCAG guideline]:[Epilepsy]],8,FALSE)," ")*J93,0)</f>
        <v>0</v>
      </c>
      <c r="S93" s="44">
        <f>IFERROR(IFERROR(VLOOKUP(A93,MasterTable[[#All],[WCAG guideline]:[Epilepsy]],9,FALSE)," ")*I93,0)</f>
        <v>0</v>
      </c>
      <c r="T93" s="44">
        <f>IFERROR(IFERROR(VLOOKUP(A93,MasterTable[[#All],[WCAG guideline]:[Epilepsy]],9,FALSE)," ")*J93,0)</f>
        <v>0</v>
      </c>
      <c r="U93" s="44">
        <f>IFERROR(IFERROR(VLOOKUP(A93,MasterTable[[#All],[WCAG guideline]:[Epilepsy]],10,FALSE)," ")*I93,0)</f>
        <v>0</v>
      </c>
      <c r="V93" s="44">
        <f>IFERROR(IFERROR(VLOOKUP(A93,MasterTable[[#All],[WCAG guideline]:[Epilepsy]],10,FALSE)," ")*J93,0)</f>
        <v>200</v>
      </c>
      <c r="W93" s="44">
        <f>IFERROR(IFERROR(VLOOKUP(A93,MasterTable[[#All],[WCAG guideline]:[Epilepsy]],11,FALSE)," ")*I93,0)</f>
        <v>0</v>
      </c>
      <c r="X93" s="44">
        <f>IFERROR(IFERROR(VLOOKUP(A93,MasterTable[[#All],[WCAG guideline]:[Epilepsy]],11,FALSE)," ")*J93,0)</f>
        <v>0</v>
      </c>
      <c r="Y93" s="44">
        <f>IFERROR(IFERROR(VLOOKUP(A93,MasterTable[[#All],[WCAG guideline]:[Epilepsy]],12,FALSE)," ")*I93,0)</f>
        <v>0</v>
      </c>
      <c r="Z93" s="44">
        <f>IFERROR(IFERROR(VLOOKUP(A93,MasterTable[[#All],[WCAG guideline]:[Epilepsy]],12,FALSE)," ")*J93,0)</f>
        <v>0</v>
      </c>
    </row>
    <row r="94" spans="1:26" ht="22.8" x14ac:dyDescent="0.4">
      <c r="A94" s="86" t="s">
        <v>398</v>
      </c>
      <c r="B94" s="87" t="str">
        <f>IFERROR(VLOOKUP(A94,MasterTable[[#All],[WCAG guideline]:[2.2 Level]],4,FALSE), "Not found")</f>
        <v>AAA</v>
      </c>
      <c r="C94" s="87">
        <f>COUNTIFS('Custom Test Script'!B2:B200,"*"&amp;'Findings Breakdown'!A94&amp;"*",'Custom Test Script'!D2:D200,'Validations List'!A107)+COUNTIFS('Report Entry'!D26:D207,"*"&amp;'Findings Breakdown'!A94&amp;"*",'Report Entry'!B26:B207,'Validations List'!A107)</f>
        <v>0</v>
      </c>
      <c r="D94" s="87">
        <f>COUNTIFS('Custom Test Script'!B2:B200,"*"&amp;'Findings Breakdown'!A94&amp;"*",'Custom Test Script'!D2:D200,'Validations List'!A106)+COUNTIFS('Report Entry'!D26:D207,"*"&amp;'Findings Breakdown'!A94&amp;"*",'Report Entry'!B26:B207,'Validations List'!A106)</f>
        <v>0</v>
      </c>
      <c r="E94" s="87">
        <f>COUNTIFS('Custom Test Script'!B2:B200,"*"&amp;'Findings Breakdown'!A94&amp;"*",'Custom Test Script'!D2:D200,'Validations List'!A105)+COUNTIFS('Report Entry'!D26:D207,"*"&amp;'Findings Breakdown'!A94&amp;"*",'Report Entry'!B26:B207,'Validations List'!A105)</f>
        <v>0</v>
      </c>
      <c r="F94" s="87">
        <f>COUNTIFS('Custom Test Script'!B2:B200,"*"&amp;'Findings Breakdown'!A94&amp;"*",'Custom Test Script'!D2:D200,'Validations List'!A108)+COUNTIFS('Report Entry'!D26:D207,"*"&amp;'Findings Breakdown'!A94&amp;"*",'Report Entry'!B26:B207,'Validations List'!A108)</f>
        <v>0</v>
      </c>
      <c r="G94" s="87">
        <f>COUNTIFS('Custom Test Script'!B2:B200,"*"&amp;'Findings Breakdown'!A94&amp;"*",'Custom Test Script'!D2:D200,'Validations List'!A109)+COUNTIFS('Report Entry'!D26:D207,"*"&amp;'Findings Breakdown'!A94&amp;"*",'Report Entry'!B26:B207,'Validations List'!A109)</f>
        <v>0</v>
      </c>
      <c r="H94" s="69" t="str" cm="1">
        <f t="array" ref="H94">INDEX('Validations List'!A189:D189,SUMPRODUCT(MAX(('Validations List'!A189:D221=A94)*(COLUMN('Validations List'!A189:D221))))-COLUMN('Validations List'!A189)+1)</f>
        <v>Not ranked</v>
      </c>
      <c r="I94" s="44" t="str">
        <f>IFERROR(WCAG22results[[#This Row],['# Support w/ Exceptions]]*WCAG22results[[#This Row],[Exceptions Value per2]]+(WCAG22results[[#This Row],['# Supports]]+WCAG22results[[#This Row],['# Does Not Apply]])*WCAG22results[[#This Row],[Supports Value per]]," ")</f>
        <v xml:space="preserve"> </v>
      </c>
      <c r="J94" s="44" t="str">
        <f>IFERROR('Validations List'!I87*WCAG22results[[#This Row],[Supports Value per]]," ")</f>
        <v xml:space="preserve"> </v>
      </c>
      <c r="K94" s="44" t="str">
        <f>IF(WCAG22results[[#This Row],[Importance by Agency]]='Validations List'!A113,'Validations List'!D113,IF(WCAG22results[[#This Row],[Importance by Agency]]='Validations List'!A114,'Validations List'!D114,IF(WCAG22results[[#This Row],[Importance by Agency]]='Validations List'!A115,'Validations List'!D115,"Not Ranked")))</f>
        <v>Not Ranked</v>
      </c>
      <c r="L94" s="79" t="str">
        <f>IF(WCAG22results[[#This Row],[Importance by Agency]]='Validations List'!A113,'Validations List'!C113,IF(WCAG22results[[#This Row],[Importance by Agency]]='Validations List'!A114,'Validations List'!C114,IF(WCAG22results[[#This Row],[Importance by Agency]]='Validations List'!A115,'Validations List'!C115,"Not Ranked")))</f>
        <v>Not Ranked</v>
      </c>
      <c r="M94" s="88">
        <f>IFERROR(IFERROR(VLOOKUP(A94,MasterTable[[#All],[WCAG guideline]:[Epilepsy]],6,FALSE)," ")*I94,0)</f>
        <v>0</v>
      </c>
      <c r="N94" s="88">
        <f>IFERROR(IFERROR(VLOOKUP(A94,MasterTable[[#All],[WCAG guideline]:[Epilepsy]],6,FALSE)," ")*J94,0)</f>
        <v>0</v>
      </c>
      <c r="O94" s="79">
        <f>IFERROR(IFERROR(VLOOKUP(A94,MasterTable[[#All],[WCAG guideline]:[Epilepsy]],7,FALSE)," ")*I94,0)</f>
        <v>0</v>
      </c>
      <c r="P94" s="79">
        <f>IFERROR(IFERROR(VLOOKUP(A94,MasterTable[[#All],[WCAG guideline]:[Epilepsy]],7,FALSE)," ")*J94,0)</f>
        <v>0</v>
      </c>
      <c r="Q94" s="79">
        <f>IFERROR(IFERROR(VLOOKUP(A94,MasterTable[[#All],[WCAG guideline]:[Epilepsy]],8,FALSE)," ")*I94,0)</f>
        <v>0</v>
      </c>
      <c r="R94" s="79">
        <f>IFERROR(IFERROR(VLOOKUP(A94,MasterTable[[#All],[WCAG guideline]:[Epilepsy]],8,FALSE)," ")*J94,0)</f>
        <v>0</v>
      </c>
      <c r="S94" s="79">
        <f>IFERROR(IFERROR(VLOOKUP(A94,MasterTable[[#All],[WCAG guideline]:[Epilepsy]],9,FALSE)," ")*I94,0)</f>
        <v>0</v>
      </c>
      <c r="T94" s="79">
        <f>IFERROR(IFERROR(VLOOKUP(A94,MasterTable[[#All],[WCAG guideline]:[Epilepsy]],9,FALSE)," ")*J94,0)</f>
        <v>0</v>
      </c>
      <c r="U94" s="79">
        <f>IFERROR(IFERROR(VLOOKUP(A94,MasterTable[[#All],[WCAG guideline]:[Epilepsy]],10,FALSE)," ")*I94,0)</f>
        <v>0</v>
      </c>
      <c r="V94" s="79">
        <f>IFERROR(IFERROR(VLOOKUP(A94,MasterTable[[#All],[WCAG guideline]:[Epilepsy]],10,FALSE)," ")*J94,0)</f>
        <v>0</v>
      </c>
      <c r="W94" s="79">
        <f>IFERROR(IFERROR(VLOOKUP(A94,MasterTable[[#All],[WCAG guideline]:[Epilepsy]],11,FALSE)," ")*I94,0)</f>
        <v>0</v>
      </c>
      <c r="X94" s="79">
        <f>IFERROR(IFERROR(VLOOKUP(A94,MasterTable[[#All],[WCAG guideline]:[Epilepsy]],11,FALSE)," ")*J94,0)</f>
        <v>0</v>
      </c>
      <c r="Y94" s="79">
        <f>IFERROR(IFERROR(VLOOKUP(A94,MasterTable[[#All],[WCAG guideline]:[Epilepsy]],12,FALSE)," ")*I94,0)</f>
        <v>0</v>
      </c>
      <c r="Z94" s="79">
        <f>IFERROR(IFERROR(VLOOKUP(A94,MasterTable[[#All],[WCAG guideline]:[Epilepsy]],12,FALSE)," ")*J94,0)</f>
        <v>0</v>
      </c>
    </row>
  </sheetData>
  <sheetProtection algorithmName="SHA-512" hashValue="tkO+3I9dCnstMXlFph8Q4vNVwFkvmfKMljqiGIHt7dPnWIFHT5kWJQ6or+X6Gn8hUldaR1HcFx6Y26AqteszSA==" saltValue="FSKpSrhNcp1WYAT3mInQcw==" spinCount="100000" sheet="1" objects="1" scenarios="1"/>
  <phoneticPr fontId="7" type="noConversion"/>
  <conditionalFormatting sqref="C2:G62">
    <cfRule type="cellIs" dxfId="14" priority="1" operator="greaterThan">
      <formula>0.5</formula>
    </cfRule>
  </conditionalFormatting>
  <conditionalFormatting sqref="C66:G82">
    <cfRule type="cellIs" dxfId="13" priority="2" operator="greaterThan">
      <formula>0.5</formula>
    </cfRule>
  </conditionalFormatting>
  <conditionalFormatting sqref="C86:G94">
    <cfRule type="cellIs" dxfId="12" priority="3" operator="greaterThan">
      <formula>0.5</formula>
    </cfRule>
  </conditionalFormatting>
  <conditionalFormatting sqref="H2:H62 E63">
    <cfRule type="cellIs" dxfId="11" priority="17" operator="equal">
      <formula>"Important"</formula>
    </cfRule>
    <cfRule type="cellIs" dxfId="10" priority="18" operator="equal">
      <formula>"Standard"</formula>
    </cfRule>
    <cfRule type="cellIs" dxfId="9" priority="19" operator="equal">
      <formula>"Extremely Important"</formula>
    </cfRule>
  </conditionalFormatting>
  <conditionalFormatting sqref="H66:H84 H86:H94">
    <cfRule type="cellIs" dxfId="8" priority="4" operator="equal">
      <formula>"Important"</formula>
    </cfRule>
    <cfRule type="cellIs" dxfId="7" priority="5" operator="equal">
      <formula>"Standard"</formula>
    </cfRule>
    <cfRule type="cellIs" dxfId="6" priority="6" operator="equal">
      <formula>"Extremely Important"</formula>
    </cfRule>
  </conditionalFormatting>
  <hyperlinks>
    <hyperlink ref="A2" r:id="rId1" xr:uid="{A08263C5-D095-4DE4-BB3E-10332755B1A6}"/>
    <hyperlink ref="A3" r:id="rId2" xr:uid="{7CE3C56E-1BEF-4E6B-98D7-5721DED92044}"/>
    <hyperlink ref="A4" r:id="rId3" xr:uid="{A576D45B-21D3-416D-9763-2570E47CC44C}"/>
    <hyperlink ref="A5" r:id="rId4" xr:uid="{BA258A74-01E4-4F69-9060-F913FFA50A86}"/>
    <hyperlink ref="A6" r:id="rId5" xr:uid="{086E58B3-EE1F-4E7B-9159-73B315F16D99}"/>
    <hyperlink ref="A7" r:id="rId6" xr:uid="{2C492D58-C1D3-4636-8CEB-D473CB42E1C7}"/>
    <hyperlink ref="A12" r:id="rId7" xr:uid="{61B97307-8E9B-46BA-9DB6-732C3F0093D8}"/>
    <hyperlink ref="A13" r:id="rId8" xr:uid="{E07D379D-9797-45C4-A2FD-D5C29057D910}"/>
    <hyperlink ref="A14" r:id="rId9" xr:uid="{44A0575F-2BD4-4C8F-911F-0D8DDAB3EB53}"/>
    <hyperlink ref="A15" r:id="rId10" xr:uid="{ACB5F014-B364-4E84-9AC7-1FA32F3CB5F2}"/>
    <hyperlink ref="A16" r:id="rId11" xr:uid="{CCF8BC19-37BE-4165-8088-DF3F4D3A6262}"/>
    <hyperlink ref="A17" r:id="rId12" xr:uid="{195CE5B5-D3F5-4F06-862C-75B0F39F0CEE}"/>
    <hyperlink ref="A18" r:id="rId13" xr:uid="{94831E61-CD7F-4ACB-AA3F-175C164453B9}"/>
    <hyperlink ref="A19" r:id="rId14" xr:uid="{B363E091-D9C5-47E0-805A-5159AB0CFE19}"/>
    <hyperlink ref="A24" r:id="rId15" xr:uid="{1C912E50-59CC-4011-852D-B0700B713211}"/>
    <hyperlink ref="A25" r:id="rId16" xr:uid="{CF34B2F2-AF71-41B6-B356-B94347ADFBEA}"/>
    <hyperlink ref="A27" r:id="rId17" xr:uid="{F097FF59-331A-4110-A237-F576388053A7}"/>
    <hyperlink ref="A28" r:id="rId18" xr:uid="{F1C29C08-FC96-41A3-8034-3DE5058FE8F8}"/>
    <hyperlink ref="A32" r:id="rId19" xr:uid="{1E005076-ED28-4F42-85D3-41A1A1D9BEFE}"/>
    <hyperlink ref="A34" r:id="rId20" xr:uid="{FB156CDC-795C-47C2-AA4B-8DE920CAE914}"/>
    <hyperlink ref="A35" r:id="rId21" xr:uid="{0EC458C6-2657-43CE-84F7-AC09C4A11193}"/>
    <hyperlink ref="A36" r:id="rId22" xr:uid="{98C5917F-AE53-4D4F-8A65-F0308852842D}"/>
    <hyperlink ref="A37" r:id="rId23" xr:uid="{4B845D59-0A89-4DDE-A510-6DB4082EB2F2}"/>
    <hyperlink ref="A38" r:id="rId24" xr:uid="{D1AD1C08-234A-4696-B267-593282B96231}"/>
    <hyperlink ref="A39" r:id="rId25" xr:uid="{154607D6-D266-4EBE-B3B3-29BB1F2D5E01}"/>
    <hyperlink ref="A40" r:id="rId26" xr:uid="{A9968775-5E81-4469-AD80-42E0547B635E}"/>
    <hyperlink ref="A42" r:id="rId27" xr:uid="{9D3BA65B-B31B-4F2E-9BC0-5ABBECAC460B}"/>
    <hyperlink ref="A44" r:id="rId28" xr:uid="{5C90B733-7EAA-4E50-9CDB-2EFC8565B822}"/>
    <hyperlink ref="A45" r:id="rId29" xr:uid="{57B07508-D240-4B51-8BA4-BD00AB84659B}"/>
    <hyperlink ref="A50" r:id="rId30" xr:uid="{6053A0E8-4EE9-46AA-A0F7-A10C35CD95F0}"/>
    <hyperlink ref="A51" r:id="rId31" xr:uid="{46DA031D-2282-4DB3-BE39-93FE2C3D482E}"/>
    <hyperlink ref="A53" r:id="rId32" xr:uid="{053A9708-4873-4149-BA3A-9259A114FBD3}"/>
    <hyperlink ref="A52" r:id="rId33" xr:uid="{3C590420-6C70-40AF-BAE5-11E37D43AF65}"/>
    <hyperlink ref="A54" r:id="rId34" xr:uid="{91E8D00B-70BF-4A93-A7DF-B12AC89B6E9D}"/>
    <hyperlink ref="A55" r:id="rId35" xr:uid="{40CDDEDE-8553-462A-83E3-2EAE427878CC}"/>
    <hyperlink ref="A56" r:id="rId36" xr:uid="{57343AB5-8E34-4DA6-9581-A9ADB51EBD63}"/>
    <hyperlink ref="A57" r:id="rId37" xr:uid="{E9D5CE84-6288-4151-BE08-A1C6E5679B50}"/>
    <hyperlink ref="A58" r:id="rId38" xr:uid="{C27903C2-11D3-43E2-88E2-7A1D4AA17071}"/>
    <hyperlink ref="A61" r:id="rId39" xr:uid="{808B9BF5-5E41-47DC-9E75-C1E17E2EDC6B}"/>
    <hyperlink ref="A62" r:id="rId40" xr:uid="{DFE555A0-2618-4351-B94D-8E40CCF83FFB}"/>
    <hyperlink ref="A8" r:id="rId41" xr:uid="{4B2793BF-5632-4DF6-BDE1-EE323D7E6048}"/>
    <hyperlink ref="A9" r:id="rId42" xr:uid="{F3D54539-0316-4171-ADED-D9CDF3242A57}"/>
    <hyperlink ref="A10" r:id="rId43" xr:uid="{7E4D8DC2-0368-48C0-9E7C-6C54C92F954E}"/>
    <hyperlink ref="A11" r:id="rId44" xr:uid="{3B955620-E708-4340-A933-5E3AFEBF4C6C}"/>
    <hyperlink ref="A20" r:id="rId45" xr:uid="{57426378-11D6-41FA-868E-E1AA176C28F5}"/>
    <hyperlink ref="A21" r:id="rId46" xr:uid="{82B9AA10-A182-44E2-9BF3-894127C38064}"/>
    <hyperlink ref="A22" r:id="rId47" xr:uid="{E6A619B6-A8D0-47C3-AF04-C14617ED928F}"/>
    <hyperlink ref="A23" r:id="rId48" xr:uid="{40B79F5F-8476-4BF1-B488-D752B6070412}"/>
    <hyperlink ref="A29" r:id="rId49" xr:uid="{8B04173B-43B1-44AB-9022-5B3E600A618F}"/>
    <hyperlink ref="A30" r:id="rId50" xr:uid="{68DD718B-DC29-45A8-BC4A-D99F807A9932}"/>
    <hyperlink ref="A31" r:id="rId51" xr:uid="{1D38E8F2-BAB5-40B7-8511-C288189FC4C9}"/>
    <hyperlink ref="A33" r:id="rId52" xr:uid="{32753284-2B58-49A3-A7AB-91DDEE7D71FE}"/>
    <hyperlink ref="A41" r:id="rId53" xr:uid="{3E7FD98D-B126-4562-840B-584F4EE62B82}"/>
    <hyperlink ref="A43" r:id="rId54" xr:uid="{3323AF67-6D32-44F4-9436-C6A22895B970}"/>
    <hyperlink ref="A46" r:id="rId55" xr:uid="{2B3B515C-6CCE-415B-A899-B909C6DBBE3F}"/>
    <hyperlink ref="A47" r:id="rId56" xr:uid="{F0C9ED8A-A828-477F-B122-E89E2AD41350}"/>
    <hyperlink ref="A48" r:id="rId57" xr:uid="{DF87053B-3002-496F-B42F-76E7D9BD7946}"/>
    <hyperlink ref="A49" r:id="rId58" xr:uid="{31BC6241-AD0A-4274-B5A8-1B3D1EEE5C11}"/>
    <hyperlink ref="A59" r:id="rId59" xr:uid="{199EDA17-75CF-4D29-892E-19EAB58550A6}"/>
    <hyperlink ref="A60" r:id="rId60" xr:uid="{06059930-08EB-4A29-A0C3-052F27F5A948}"/>
    <hyperlink ref="A66" r:id="rId61" display="1.1.1 Non-text Content" xr:uid="{E099EE40-5B86-4014-A74F-33162F8467F8}"/>
    <hyperlink ref="A67" r:id="rId62" display="1.2.1 Audio-only and Video-only (Prerecorded)" xr:uid="{741ED0DA-7061-4A7F-812D-2C56B433B829}"/>
    <hyperlink ref="A68" r:id="rId63" display="1.2.2 Captions (Prerecorded)" xr:uid="{96CF83AB-2479-4AD2-936E-397DBA7DDC5F}"/>
    <hyperlink ref="A69" r:id="rId64" display="1.2.3 Audio Description or Media Altenative (Prerecorded) " xr:uid="{6F501318-3D6D-44CC-B224-17613BCDBA86}"/>
    <hyperlink ref="A70" r:id="rId65" xr:uid="{FCB4E73B-F9F4-4E84-8C19-4FD68CC82D53}"/>
    <hyperlink ref="A71" r:id="rId66" display="1.2.5 Audio Description (Prerecorded)" xr:uid="{EE71420D-4095-4202-ADC9-1384E445F80D}"/>
    <hyperlink ref="A76" r:id="rId67" display="1.3.1 Info and Relationships" xr:uid="{2345F62E-9791-4B01-AB9A-10E9B86BCD93}"/>
    <hyperlink ref="A72" r:id="rId68" display="1.2.6 Sign Language (Prerecorded)" xr:uid="{84107855-6E10-4C4C-9C34-B218B8676DD7}"/>
    <hyperlink ref="A73" r:id="rId69" display="1.2.7 Extended Audio Description (Prerecorded)" xr:uid="{9991C336-7DCC-4262-82E7-25FAF2A723B8}"/>
    <hyperlink ref="A74" r:id="rId70" display="1.2.8 Media Alternative (Prerecorded)" xr:uid="{B7BED120-F520-46C5-8867-66D034DCC326}"/>
    <hyperlink ref="A75" r:id="rId71" display="1.2.9 Audio-only (Live)" xr:uid="{E6FA8111-2E3F-4687-8413-D3FDAC6161A1}"/>
    <hyperlink ref="A77" r:id="rId72" display="1.3.1 Info and Relationships" xr:uid="{F4C36043-2937-4BFA-90BD-6D7C80352E1E}"/>
    <hyperlink ref="A78" r:id="rId73" display="1.3.1 Info and Relationships" xr:uid="{DE0F7E71-1340-4514-958D-AA514FB6FA72}"/>
    <hyperlink ref="A79" r:id="rId74" display="1.3.1 Info and Relationships" xr:uid="{5AED53F5-0EB2-463C-BB2B-C66AD246D559}"/>
    <hyperlink ref="A80" r:id="rId75" display="1.3.1 Info and Relationships" xr:uid="{C06FA40A-F172-40B7-9C57-E6E62725A8C5}"/>
    <hyperlink ref="A81" r:id="rId76" display="1.3.1 Info and Relationships" xr:uid="{9902A8D4-2A0C-459D-B927-FF43434891E9}"/>
    <hyperlink ref="A82" r:id="rId77" display="1.3.1 Info and Relationships" xr:uid="{24307BFF-7068-4A64-934A-F69C226484DB}"/>
    <hyperlink ref="A86" r:id="rId78" display="1.1.1 Non-text Content" xr:uid="{4DEFF6E6-6212-419C-AC4D-E477AE485DA8}"/>
    <hyperlink ref="A87" r:id="rId79" display="1.2.1 Audio-only and Video-only (Prerecorded)" xr:uid="{80D6E046-87F0-4ACC-9DFE-CFFDA6C392EB}"/>
    <hyperlink ref="A88" r:id="rId80" display="1.2.2 Captions (Prerecorded)" xr:uid="{22B45669-2B58-4647-A451-E082135BC6D7}"/>
    <hyperlink ref="A89" r:id="rId81" display="1.2.3 Audio Description or Media Altenative (Prerecorded) " xr:uid="{F6A5DF67-850E-4C5B-ABA4-0E83516202F2}"/>
    <hyperlink ref="A90" r:id="rId82" display="1.2.4 Captions (Live)" xr:uid="{4557E7A4-5892-4998-8CCE-BD57E0911FD4}"/>
    <hyperlink ref="A91" r:id="rId83" display="1.2.5 Audio Description (Prerecorded)" xr:uid="{0CB04DC6-6C50-4608-B676-947270FB058C}"/>
    <hyperlink ref="A92" r:id="rId84" display="1.2.6 Sign Language (Prerecorded)" xr:uid="{2D6AB032-561B-4F69-90AE-BAC002B2872C}"/>
    <hyperlink ref="A93" r:id="rId85" display="1.2.7 Extended Audio Description (Prerecorded)" xr:uid="{93EBCB57-D266-4BD6-9D8A-23696F9846D8}"/>
    <hyperlink ref="A94" r:id="rId86" display="1.2.8 Media Alternative (Prerecorded)" xr:uid="{9E5CF24B-245C-4AFE-BCD5-4DE7500B7BBD}"/>
  </hyperlinks>
  <pageMargins left="0.7" right="0.7" top="0.75" bottom="0.75" header="0.3" footer="0.3"/>
  <pageSetup orientation="portrait" r:id="rId87"/>
  <tableParts count="3">
    <tablePart r:id="rId88"/>
    <tablePart r:id="rId89"/>
    <tablePart r:id="rId90"/>
  </tableParts>
  <extLst>
    <ext xmlns:x14="http://schemas.microsoft.com/office/spreadsheetml/2009/9/main" uri="{CCE6A557-97BC-4b89-ADB6-D9C93CAAB3DF}">
      <x14:dataValidations xmlns:xm="http://schemas.microsoft.com/office/excel/2006/main" count="1">
        <x14:dataValidation type="list" allowBlank="1" showInputMessage="1" showErrorMessage="1" xr:uid="{F25F8524-A98A-4CA8-A783-1928BF43C2BF}">
          <x14:formula1>
            <xm:f>'Validations List'!$E$4:$E$90</xm:f>
          </x14:formula1>
          <xm:sqref>A2:A63 A66:A84 A86:A94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72819-F5B3-4532-B015-E4254D44E2D4}">
  <sheetPr>
    <tabColor rgb="FFCC0000"/>
  </sheetPr>
  <dimension ref="A1:AA400"/>
  <sheetViews>
    <sheetView topLeftCell="A328" zoomScale="66" zoomScaleNormal="66" workbookViewId="0">
      <selection activeCell="E106" sqref="E106"/>
    </sheetView>
  </sheetViews>
  <sheetFormatPr defaultColWidth="8.88671875" defaultRowHeight="13.8" x14ac:dyDescent="0.25"/>
  <cols>
    <col min="1" max="1" width="37.33203125" style="29" customWidth="1"/>
    <col min="2" max="2" width="30.109375" style="29" customWidth="1"/>
    <col min="3" max="3" width="37.44140625" style="29" customWidth="1"/>
    <col min="4" max="4" width="46.33203125" style="29" customWidth="1"/>
    <col min="5" max="5" width="54" style="29" customWidth="1"/>
    <col min="6" max="6" width="49.88671875" style="29" customWidth="1"/>
    <col min="7" max="7" width="25.88671875" style="29" customWidth="1"/>
    <col min="8" max="8" width="27.44140625" style="29" customWidth="1"/>
    <col min="9" max="9" width="29.6640625" style="29" customWidth="1"/>
    <col min="10" max="11" width="22" style="29" customWidth="1"/>
    <col min="12" max="12" width="26.109375" style="29" customWidth="1"/>
    <col min="13" max="22" width="22" style="29" customWidth="1"/>
    <col min="23" max="24" width="8.88671875" style="29"/>
    <col min="25" max="25" width="25.6640625" style="29" customWidth="1"/>
    <col min="26" max="26" width="61" style="29" customWidth="1"/>
    <col min="27" max="27" width="26.88671875" style="29" customWidth="1"/>
    <col min="28" max="16384" width="8.88671875" style="29"/>
  </cols>
  <sheetData>
    <row r="1" spans="1:27" ht="186" customHeight="1" x14ac:dyDescent="0.25">
      <c r="A1" s="96" t="s">
        <v>399</v>
      </c>
      <c r="J1" s="171" t="s">
        <v>400</v>
      </c>
      <c r="K1" s="172"/>
      <c r="L1" s="172"/>
      <c r="M1" s="172"/>
      <c r="N1" s="172"/>
      <c r="O1" s="172"/>
      <c r="P1" s="172"/>
    </row>
    <row r="2" spans="1:27" ht="42" customHeight="1" x14ac:dyDescent="0.4">
      <c r="A2" s="97" t="s">
        <v>401</v>
      </c>
      <c r="I2" s="33">
        <f t="shared" ref="I2:P2" si="0">SUM(I4:I90)</f>
        <v>164</v>
      </c>
      <c r="J2" s="33">
        <f t="shared" si="0"/>
        <v>45</v>
      </c>
      <c r="K2" s="33">
        <f t="shared" si="0"/>
        <v>46</v>
      </c>
      <c r="L2" s="33">
        <f t="shared" si="0"/>
        <v>17</v>
      </c>
      <c r="M2" s="33">
        <f t="shared" si="0"/>
        <v>15</v>
      </c>
      <c r="N2" s="33">
        <f t="shared" si="0"/>
        <v>67</v>
      </c>
      <c r="O2" s="33">
        <f t="shared" si="0"/>
        <v>38</v>
      </c>
      <c r="P2" s="33">
        <f t="shared" si="0"/>
        <v>4</v>
      </c>
      <c r="Q2" s="33">
        <f>COUNTIF(Q4:Q90, "Yes")</f>
        <v>61</v>
      </c>
      <c r="S2" s="33">
        <f>COUNTIF(S4:S90, "Yes")</f>
        <v>78</v>
      </c>
      <c r="U2" s="33">
        <f>COUNTIF(U4:U90, "Yes")</f>
        <v>86</v>
      </c>
    </row>
    <row r="3" spans="1:27" ht="45.6" x14ac:dyDescent="0.4">
      <c r="B3" s="98"/>
      <c r="C3" s="89" t="s">
        <v>402</v>
      </c>
      <c r="D3" s="90" t="s">
        <v>403</v>
      </c>
      <c r="E3" s="90" t="s">
        <v>404</v>
      </c>
      <c r="F3" s="90" t="s">
        <v>405</v>
      </c>
      <c r="G3" s="90" t="s">
        <v>136</v>
      </c>
      <c r="H3" s="90" t="s">
        <v>137</v>
      </c>
      <c r="I3" s="90" t="s">
        <v>406</v>
      </c>
      <c r="J3" s="90" t="s">
        <v>49</v>
      </c>
      <c r="K3" s="90" t="s">
        <v>46</v>
      </c>
      <c r="L3" s="90" t="s">
        <v>48</v>
      </c>
      <c r="M3" s="90" t="s">
        <v>47</v>
      </c>
      <c r="N3" s="90" t="s">
        <v>45</v>
      </c>
      <c r="O3" s="90" t="s">
        <v>44</v>
      </c>
      <c r="P3" s="90" t="s">
        <v>50</v>
      </c>
      <c r="Q3" s="90" t="s">
        <v>407</v>
      </c>
      <c r="R3" s="90" t="s">
        <v>408</v>
      </c>
      <c r="S3" s="90" t="s">
        <v>409</v>
      </c>
      <c r="T3" s="90" t="s">
        <v>410</v>
      </c>
      <c r="U3" s="90" t="s">
        <v>411</v>
      </c>
      <c r="V3" s="90" t="s">
        <v>412</v>
      </c>
      <c r="Y3" s="153" t="s">
        <v>413</v>
      </c>
      <c r="Z3" s="33" t="s">
        <v>414</v>
      </c>
      <c r="AA3" s="33" t="s">
        <v>415</v>
      </c>
    </row>
    <row r="4" spans="1:27" ht="42.6" x14ac:dyDescent="0.35">
      <c r="A4" s="99"/>
      <c r="B4" s="38" t="s">
        <v>416</v>
      </c>
      <c r="C4" s="100" t="s">
        <v>417</v>
      </c>
      <c r="D4" s="29" t="s">
        <v>418</v>
      </c>
      <c r="E4" s="101" t="s">
        <v>314</v>
      </c>
      <c r="F4" s="96" t="s">
        <v>419</v>
      </c>
      <c r="G4" s="102">
        <v>2</v>
      </c>
      <c r="H4" s="103" t="s">
        <v>420</v>
      </c>
      <c r="I4" s="103">
        <f>COUNTIF(CustomScript[[#All],[Related SC]],MasterTable[[#This Row],[WCAG guideline]])</f>
        <v>11</v>
      </c>
      <c r="J4" s="103">
        <v>1</v>
      </c>
      <c r="K4" s="103">
        <v>1</v>
      </c>
      <c r="L4" s="103">
        <v>1</v>
      </c>
      <c r="M4" s="103">
        <v>1</v>
      </c>
      <c r="N4" s="103">
        <v>1</v>
      </c>
      <c r="O4" s="103">
        <v>0</v>
      </c>
      <c r="P4" s="103">
        <v>0</v>
      </c>
      <c r="Q4" s="103" t="s">
        <v>105</v>
      </c>
      <c r="R4" s="103" t="s">
        <v>420</v>
      </c>
      <c r="S4" s="103" t="s">
        <v>105</v>
      </c>
      <c r="T4" s="103" t="s">
        <v>420</v>
      </c>
      <c r="U4" s="103" t="s">
        <v>105</v>
      </c>
      <c r="V4" s="103" t="s">
        <v>420</v>
      </c>
      <c r="Y4" s="46" t="s">
        <v>295</v>
      </c>
      <c r="Z4" s="104" t="s">
        <v>421</v>
      </c>
      <c r="AA4" s="70" t="s">
        <v>422</v>
      </c>
    </row>
    <row r="5" spans="1:27" ht="41.4" x14ac:dyDescent="0.25">
      <c r="B5" s="103"/>
      <c r="C5" s="100" t="s">
        <v>423</v>
      </c>
      <c r="D5" s="29" t="s">
        <v>424</v>
      </c>
      <c r="E5" s="101" t="s">
        <v>315</v>
      </c>
      <c r="F5" s="96" t="s">
        <v>425</v>
      </c>
      <c r="G5" s="102">
        <v>2</v>
      </c>
      <c r="H5" s="103" t="s">
        <v>420</v>
      </c>
      <c r="I5" s="103">
        <f>COUNTIF(CustomScript[[#All],[Related SC]],MasterTable[[#This Row],[WCAG guideline]])</f>
        <v>7</v>
      </c>
      <c r="J5" s="103">
        <v>1</v>
      </c>
      <c r="K5" s="103">
        <v>1</v>
      </c>
      <c r="L5" s="103">
        <v>0</v>
      </c>
      <c r="M5" s="103">
        <v>1</v>
      </c>
      <c r="N5" s="103">
        <v>1</v>
      </c>
      <c r="O5" s="103">
        <v>0</v>
      </c>
      <c r="P5" s="103">
        <v>0</v>
      </c>
      <c r="Q5" s="103" t="s">
        <v>105</v>
      </c>
      <c r="R5" s="103" t="s">
        <v>420</v>
      </c>
      <c r="S5" s="103" t="s">
        <v>105</v>
      </c>
      <c r="T5" s="103" t="s">
        <v>420</v>
      </c>
      <c r="U5" s="103" t="s">
        <v>105</v>
      </c>
      <c r="V5" s="103" t="s">
        <v>420</v>
      </c>
      <c r="Y5" s="46" t="s">
        <v>426</v>
      </c>
      <c r="Z5" s="104" t="s">
        <v>427</v>
      </c>
      <c r="AA5" s="70" t="s">
        <v>428</v>
      </c>
    </row>
    <row r="6" spans="1:27" ht="27.6" x14ac:dyDescent="0.25">
      <c r="B6" s="103"/>
      <c r="C6" s="100" t="s">
        <v>429</v>
      </c>
      <c r="D6" s="29" t="s">
        <v>430</v>
      </c>
      <c r="E6" s="101" t="s">
        <v>316</v>
      </c>
      <c r="F6" s="96" t="s">
        <v>431</v>
      </c>
      <c r="G6" s="102">
        <v>2</v>
      </c>
      <c r="H6" s="103" t="s">
        <v>420</v>
      </c>
      <c r="I6" s="103">
        <f>COUNTIF(CustomScript[[#All],[Related SC]],MasterTable[[#This Row],[WCAG guideline]])</f>
        <v>3</v>
      </c>
      <c r="J6" s="103">
        <v>1</v>
      </c>
      <c r="K6" s="103">
        <v>1</v>
      </c>
      <c r="L6" s="103">
        <v>0</v>
      </c>
      <c r="M6" s="103">
        <v>1</v>
      </c>
      <c r="N6" s="103">
        <v>1</v>
      </c>
      <c r="O6" s="103">
        <v>0</v>
      </c>
      <c r="P6" s="103">
        <v>0</v>
      </c>
      <c r="Q6" s="103" t="s">
        <v>105</v>
      </c>
      <c r="R6" s="103" t="s">
        <v>420</v>
      </c>
      <c r="S6" s="103" t="s">
        <v>105</v>
      </c>
      <c r="T6" s="103" t="s">
        <v>420</v>
      </c>
      <c r="U6" s="103" t="s">
        <v>105</v>
      </c>
      <c r="V6" s="103" t="s">
        <v>420</v>
      </c>
      <c r="Y6" s="46" t="s">
        <v>432</v>
      </c>
      <c r="Z6" s="105" t="s">
        <v>433</v>
      </c>
      <c r="AA6" s="70" t="s">
        <v>434</v>
      </c>
    </row>
    <row r="7" spans="1:27" ht="41.4" x14ac:dyDescent="0.25">
      <c r="B7" s="103"/>
      <c r="C7" s="100" t="s">
        <v>435</v>
      </c>
      <c r="D7" s="29" t="s">
        <v>436</v>
      </c>
      <c r="E7" s="101" t="s">
        <v>317</v>
      </c>
      <c r="F7" s="96" t="s">
        <v>437</v>
      </c>
      <c r="G7" s="102">
        <v>2</v>
      </c>
      <c r="H7" s="103" t="s">
        <v>420</v>
      </c>
      <c r="I7" s="103">
        <f>COUNTIF(CustomScript[[#All],[Related SC]],MasterTable[[#This Row],[WCAG guideline]])</f>
        <v>3</v>
      </c>
      <c r="J7" s="103">
        <v>1</v>
      </c>
      <c r="K7" s="103">
        <v>1</v>
      </c>
      <c r="L7" s="103">
        <v>0</v>
      </c>
      <c r="M7" s="103">
        <v>1</v>
      </c>
      <c r="N7" s="103">
        <v>1</v>
      </c>
      <c r="O7" s="103">
        <v>0</v>
      </c>
      <c r="P7" s="103">
        <v>0</v>
      </c>
      <c r="Q7" s="103" t="s">
        <v>105</v>
      </c>
      <c r="R7" s="103" t="s">
        <v>420</v>
      </c>
      <c r="S7" s="103" t="s">
        <v>105</v>
      </c>
      <c r="T7" s="103" t="s">
        <v>420</v>
      </c>
      <c r="U7" s="103" t="s">
        <v>105</v>
      </c>
      <c r="V7" s="103" t="s">
        <v>420</v>
      </c>
      <c r="Y7" s="46" t="s">
        <v>293</v>
      </c>
      <c r="Z7" s="105" t="s">
        <v>438</v>
      </c>
      <c r="AA7" s="70" t="s">
        <v>439</v>
      </c>
    </row>
    <row r="8" spans="1:27" ht="27.6" x14ac:dyDescent="0.25">
      <c r="B8" s="103"/>
      <c r="C8" s="100" t="s">
        <v>440</v>
      </c>
      <c r="D8" s="29" t="s">
        <v>441</v>
      </c>
      <c r="E8" s="101" t="s">
        <v>318</v>
      </c>
      <c r="F8" s="96" t="s">
        <v>442</v>
      </c>
      <c r="G8" s="102">
        <v>2</v>
      </c>
      <c r="H8" s="103" t="s">
        <v>443</v>
      </c>
      <c r="I8" s="103">
        <f>COUNTIF(CustomScript[[#All],[Related SC]],MasterTable[[#This Row],[WCAG guideline]])</f>
        <v>1</v>
      </c>
      <c r="J8" s="103">
        <v>1</v>
      </c>
      <c r="K8" s="103">
        <v>0</v>
      </c>
      <c r="L8" s="103">
        <v>0</v>
      </c>
      <c r="M8" s="103">
        <v>1</v>
      </c>
      <c r="N8" s="103">
        <v>1</v>
      </c>
      <c r="O8" s="103">
        <v>0</v>
      </c>
      <c r="P8" s="103">
        <v>0</v>
      </c>
      <c r="Q8" s="103" t="s">
        <v>105</v>
      </c>
      <c r="R8" s="103" t="s">
        <v>443</v>
      </c>
      <c r="S8" s="103" t="s">
        <v>105</v>
      </c>
      <c r="T8" s="103" t="s">
        <v>443</v>
      </c>
      <c r="U8" s="103" t="s">
        <v>105</v>
      </c>
      <c r="V8" s="103" t="s">
        <v>443</v>
      </c>
      <c r="Y8" s="46" t="s">
        <v>292</v>
      </c>
      <c r="Z8" s="105" t="s">
        <v>444</v>
      </c>
      <c r="AA8" s="70" t="s">
        <v>445</v>
      </c>
    </row>
    <row r="9" spans="1:27" ht="53.4" customHeight="1" x14ac:dyDescent="0.25">
      <c r="B9" s="103"/>
      <c r="C9" s="100" t="s">
        <v>446</v>
      </c>
      <c r="D9" s="29" t="s">
        <v>447</v>
      </c>
      <c r="E9" s="101" t="s">
        <v>319</v>
      </c>
      <c r="F9" s="96" t="s">
        <v>448</v>
      </c>
      <c r="G9" s="102">
        <v>2</v>
      </c>
      <c r="H9" s="103" t="s">
        <v>443</v>
      </c>
      <c r="I9" s="103">
        <f>COUNTIF(CustomScript[[#All],[Related SC]],MasterTable[[#This Row],[WCAG guideline]])</f>
        <v>1</v>
      </c>
      <c r="J9" s="103">
        <v>1</v>
      </c>
      <c r="K9" s="103">
        <v>0</v>
      </c>
      <c r="L9" s="103">
        <v>0</v>
      </c>
      <c r="M9" s="103">
        <v>1</v>
      </c>
      <c r="N9" s="103">
        <v>1</v>
      </c>
      <c r="O9" s="103">
        <v>0</v>
      </c>
      <c r="P9" s="103">
        <v>0</v>
      </c>
      <c r="Q9" s="103" t="s">
        <v>105</v>
      </c>
      <c r="R9" s="103" t="s">
        <v>443</v>
      </c>
      <c r="S9" s="103" t="s">
        <v>105</v>
      </c>
      <c r="T9" s="103" t="s">
        <v>443</v>
      </c>
      <c r="U9" s="103" t="s">
        <v>105</v>
      </c>
      <c r="V9" s="103" t="s">
        <v>443</v>
      </c>
      <c r="Y9" s="46" t="s">
        <v>449</v>
      </c>
      <c r="Z9" s="105" t="s">
        <v>450</v>
      </c>
      <c r="AA9" s="70" t="s">
        <v>451</v>
      </c>
    </row>
    <row r="10" spans="1:27" ht="46.2" customHeight="1" x14ac:dyDescent="0.25">
      <c r="B10" s="103"/>
      <c r="C10" s="100" t="s">
        <v>452</v>
      </c>
      <c r="D10" s="29" t="s">
        <v>453</v>
      </c>
      <c r="E10" s="101" t="s">
        <v>320</v>
      </c>
      <c r="F10" s="96" t="s">
        <v>454</v>
      </c>
      <c r="G10" s="102">
        <v>2</v>
      </c>
      <c r="H10" s="103" t="s">
        <v>455</v>
      </c>
      <c r="I10" s="103">
        <f>COUNTIF(CustomScript[[#All],[Related SC]],MasterTable[[#This Row],[WCAG guideline]])</f>
        <v>1</v>
      </c>
      <c r="J10" s="103">
        <v>0</v>
      </c>
      <c r="K10" s="103">
        <v>0</v>
      </c>
      <c r="L10" s="103">
        <v>0</v>
      </c>
      <c r="M10" s="103">
        <v>1</v>
      </c>
      <c r="N10" s="103">
        <v>0</v>
      </c>
      <c r="O10" s="103">
        <v>0</v>
      </c>
      <c r="P10" s="103">
        <v>0</v>
      </c>
      <c r="Q10" s="103" t="s">
        <v>105</v>
      </c>
      <c r="R10" s="103" t="s">
        <v>455</v>
      </c>
      <c r="S10" s="103" t="s">
        <v>105</v>
      </c>
      <c r="T10" s="103" t="s">
        <v>455</v>
      </c>
      <c r="U10" s="103" t="s">
        <v>105</v>
      </c>
      <c r="V10" s="103" t="s">
        <v>455</v>
      </c>
      <c r="Y10" s="46" t="s">
        <v>456</v>
      </c>
      <c r="Z10" s="105" t="s">
        <v>457</v>
      </c>
      <c r="AA10" s="70" t="s">
        <v>458</v>
      </c>
    </row>
    <row r="11" spans="1:27" ht="117" customHeight="1" x14ac:dyDescent="0.25">
      <c r="B11" s="103"/>
      <c r="C11" s="100" t="s">
        <v>459</v>
      </c>
      <c r="D11" s="29" t="s">
        <v>460</v>
      </c>
      <c r="E11" s="101" t="s">
        <v>321</v>
      </c>
      <c r="F11" s="96" t="s">
        <v>461</v>
      </c>
      <c r="G11" s="102">
        <v>2</v>
      </c>
      <c r="H11" s="103" t="s">
        <v>455</v>
      </c>
      <c r="I11" s="103">
        <f>COUNTIF(CustomScript[[#All],[Related SC]],MasterTable[[#This Row],[WCAG guideline]])</f>
        <v>1</v>
      </c>
      <c r="J11" s="103">
        <v>1</v>
      </c>
      <c r="K11" s="103">
        <v>0</v>
      </c>
      <c r="L11" s="103">
        <v>0</v>
      </c>
      <c r="M11" s="103">
        <v>1</v>
      </c>
      <c r="N11" s="103">
        <v>1</v>
      </c>
      <c r="O11" s="103">
        <v>0</v>
      </c>
      <c r="P11" s="103">
        <v>0</v>
      </c>
      <c r="Q11" s="103" t="s">
        <v>105</v>
      </c>
      <c r="R11" s="103" t="s">
        <v>455</v>
      </c>
      <c r="S11" s="103" t="s">
        <v>105</v>
      </c>
      <c r="T11" s="103" t="s">
        <v>455</v>
      </c>
      <c r="U11" s="103" t="s">
        <v>105</v>
      </c>
      <c r="V11" s="103" t="s">
        <v>455</v>
      </c>
      <c r="Y11" s="46" t="s">
        <v>462</v>
      </c>
      <c r="Z11" s="105" t="s">
        <v>463</v>
      </c>
      <c r="AA11" s="70" t="s">
        <v>464</v>
      </c>
    </row>
    <row r="12" spans="1:27" ht="41.4" x14ac:dyDescent="0.25">
      <c r="B12" s="103"/>
      <c r="C12" s="100" t="s">
        <v>465</v>
      </c>
      <c r="D12" s="29" t="s">
        <v>466</v>
      </c>
      <c r="E12" s="101" t="s">
        <v>322</v>
      </c>
      <c r="F12" s="96" t="s">
        <v>467</v>
      </c>
      <c r="G12" s="102">
        <v>2</v>
      </c>
      <c r="H12" s="103" t="s">
        <v>455</v>
      </c>
      <c r="I12" s="103">
        <f>COUNTIF(CustomScript[[#All],[Related SC]],MasterTable[[#This Row],[WCAG guideline]])</f>
        <v>1</v>
      </c>
      <c r="J12" s="103">
        <v>1</v>
      </c>
      <c r="K12" s="103">
        <v>0</v>
      </c>
      <c r="L12" s="103">
        <v>0</v>
      </c>
      <c r="M12" s="103">
        <v>0</v>
      </c>
      <c r="N12" s="103">
        <v>1</v>
      </c>
      <c r="O12" s="103">
        <v>0</v>
      </c>
      <c r="P12" s="103">
        <v>0</v>
      </c>
      <c r="Q12" s="103" t="s">
        <v>105</v>
      </c>
      <c r="R12" s="103" t="s">
        <v>455</v>
      </c>
      <c r="S12" s="103" t="s">
        <v>105</v>
      </c>
      <c r="T12" s="103" t="s">
        <v>455</v>
      </c>
      <c r="U12" s="103" t="s">
        <v>105</v>
      </c>
      <c r="V12" s="103" t="s">
        <v>455</v>
      </c>
      <c r="Y12" s="46" t="s">
        <v>468</v>
      </c>
      <c r="Z12" s="105" t="s">
        <v>469</v>
      </c>
      <c r="AA12" s="70" t="s">
        <v>470</v>
      </c>
    </row>
    <row r="13" spans="1:27" ht="41.4" x14ac:dyDescent="0.25">
      <c r="B13" s="103"/>
      <c r="C13" s="100" t="s">
        <v>471</v>
      </c>
      <c r="D13" s="29" t="s">
        <v>472</v>
      </c>
      <c r="E13" s="101" t="s">
        <v>323</v>
      </c>
      <c r="F13" s="96" t="s">
        <v>473</v>
      </c>
      <c r="G13" s="102">
        <v>2</v>
      </c>
      <c r="H13" s="103" t="s">
        <v>455</v>
      </c>
      <c r="I13" s="103">
        <f>COUNTIF(CustomScript[[#All],[Related SC]],MasterTable[[#This Row],[WCAG guideline]])</f>
        <v>1</v>
      </c>
      <c r="J13" s="103">
        <v>0</v>
      </c>
      <c r="K13" s="103">
        <v>0</v>
      </c>
      <c r="L13" s="103">
        <v>0</v>
      </c>
      <c r="M13" s="103">
        <v>1</v>
      </c>
      <c r="N13" s="103">
        <v>0</v>
      </c>
      <c r="O13" s="103">
        <v>0</v>
      </c>
      <c r="P13" s="103">
        <v>0</v>
      </c>
      <c r="Q13" s="103" t="s">
        <v>105</v>
      </c>
      <c r="R13" s="103" t="s">
        <v>455</v>
      </c>
      <c r="S13" s="103" t="s">
        <v>105</v>
      </c>
      <c r="T13" s="103" t="s">
        <v>455</v>
      </c>
      <c r="U13" s="103" t="s">
        <v>105</v>
      </c>
      <c r="V13" s="103" t="s">
        <v>455</v>
      </c>
      <c r="Y13" s="46" t="s">
        <v>474</v>
      </c>
      <c r="Z13" s="105" t="s">
        <v>475</v>
      </c>
      <c r="AA13" s="70" t="s">
        <v>476</v>
      </c>
    </row>
    <row r="14" spans="1:27" ht="41.4" x14ac:dyDescent="0.25">
      <c r="B14" s="103"/>
      <c r="C14" s="100" t="s">
        <v>477</v>
      </c>
      <c r="D14" s="29" t="s">
        <v>478</v>
      </c>
      <c r="E14" s="101" t="s">
        <v>283</v>
      </c>
      <c r="F14" s="96" t="s">
        <v>479</v>
      </c>
      <c r="G14" s="102">
        <v>2</v>
      </c>
      <c r="H14" s="103" t="s">
        <v>420</v>
      </c>
      <c r="I14" s="103">
        <f>COUNTIF(CustomScript[[#All],[Related SC]],MasterTable[[#This Row],[WCAG guideline]])</f>
        <v>18</v>
      </c>
      <c r="J14" s="103">
        <v>1</v>
      </c>
      <c r="K14" s="103">
        <v>0</v>
      </c>
      <c r="L14" s="103">
        <v>0</v>
      </c>
      <c r="M14" s="103">
        <v>0</v>
      </c>
      <c r="N14" s="103">
        <v>0</v>
      </c>
      <c r="O14" s="103">
        <v>0</v>
      </c>
      <c r="P14" s="103">
        <v>0</v>
      </c>
      <c r="Q14" s="103" t="s">
        <v>105</v>
      </c>
      <c r="R14" s="103" t="s">
        <v>420</v>
      </c>
      <c r="S14" s="103" t="s">
        <v>105</v>
      </c>
      <c r="T14" s="103" t="s">
        <v>420</v>
      </c>
      <c r="U14" s="103" t="s">
        <v>105</v>
      </c>
      <c r="V14" s="103" t="s">
        <v>420</v>
      </c>
      <c r="Y14" s="46" t="s">
        <v>294</v>
      </c>
      <c r="Z14" s="105" t="s">
        <v>480</v>
      </c>
      <c r="AA14" s="70" t="s">
        <v>481</v>
      </c>
    </row>
    <row r="15" spans="1:27" ht="41.4" x14ac:dyDescent="0.25">
      <c r="B15" s="103"/>
      <c r="C15" s="100" t="s">
        <v>482</v>
      </c>
      <c r="D15" s="29" t="s">
        <v>483</v>
      </c>
      <c r="E15" s="101" t="s">
        <v>324</v>
      </c>
      <c r="F15" s="96" t="s">
        <v>484</v>
      </c>
      <c r="G15" s="102">
        <v>2</v>
      </c>
      <c r="H15" s="103" t="s">
        <v>420</v>
      </c>
      <c r="I15" s="103">
        <f>COUNTIF(CustomScript[[#All],[Related SC]],MasterTable[[#This Row],[WCAG guideline]])</f>
        <v>4</v>
      </c>
      <c r="J15" s="103">
        <v>1</v>
      </c>
      <c r="K15" s="103">
        <v>0</v>
      </c>
      <c r="L15" s="103">
        <v>0</v>
      </c>
      <c r="M15" s="103">
        <v>0</v>
      </c>
      <c r="N15" s="103">
        <v>1</v>
      </c>
      <c r="O15" s="103">
        <v>0</v>
      </c>
      <c r="P15" s="103">
        <v>0</v>
      </c>
      <c r="Q15" s="103" t="s">
        <v>105</v>
      </c>
      <c r="R15" s="103" t="s">
        <v>420</v>
      </c>
      <c r="S15" s="103" t="s">
        <v>105</v>
      </c>
      <c r="T15" s="103" t="s">
        <v>420</v>
      </c>
      <c r="U15" s="103" t="s">
        <v>105</v>
      </c>
      <c r="V15" s="103" t="s">
        <v>420</v>
      </c>
      <c r="Y15" s="46" t="s">
        <v>485</v>
      </c>
      <c r="Z15" s="105" t="s">
        <v>486</v>
      </c>
      <c r="AA15" s="70" t="s">
        <v>487</v>
      </c>
    </row>
    <row r="16" spans="1:27" ht="55.2" x14ac:dyDescent="0.25">
      <c r="B16" s="103"/>
      <c r="C16" s="100" t="s">
        <v>488</v>
      </c>
      <c r="D16" s="29" t="s">
        <v>489</v>
      </c>
      <c r="E16" s="101" t="s">
        <v>325</v>
      </c>
      <c r="F16" s="96" t="s">
        <v>490</v>
      </c>
      <c r="G16" s="102">
        <v>2</v>
      </c>
      <c r="H16" s="103" t="s">
        <v>420</v>
      </c>
      <c r="I16" s="103">
        <f>COUNTIF(CustomScript[[#All],[Related SC]],MasterTable[[#This Row],[WCAG guideline]])</f>
        <v>2</v>
      </c>
      <c r="J16" s="103">
        <v>1</v>
      </c>
      <c r="K16" s="103">
        <v>1</v>
      </c>
      <c r="L16" s="103">
        <v>1</v>
      </c>
      <c r="M16" s="103">
        <v>1</v>
      </c>
      <c r="N16" s="103">
        <v>1</v>
      </c>
      <c r="O16" s="103">
        <v>1</v>
      </c>
      <c r="P16" s="103">
        <v>0</v>
      </c>
      <c r="Q16" s="103" t="s">
        <v>105</v>
      </c>
      <c r="R16" s="103" t="s">
        <v>420</v>
      </c>
      <c r="S16" s="103" t="s">
        <v>105</v>
      </c>
      <c r="T16" s="103" t="s">
        <v>420</v>
      </c>
      <c r="U16" s="103" t="s">
        <v>105</v>
      </c>
      <c r="V16" s="103" t="s">
        <v>420</v>
      </c>
      <c r="Y16" s="45" t="s">
        <v>491</v>
      </c>
      <c r="Z16" s="105" t="s">
        <v>492</v>
      </c>
      <c r="AA16" s="70" t="s">
        <v>493</v>
      </c>
    </row>
    <row r="17" spans="2:27" ht="55.2" x14ac:dyDescent="0.25">
      <c r="B17" s="103"/>
      <c r="C17" s="100" t="s">
        <v>494</v>
      </c>
      <c r="D17" s="29" t="s">
        <v>495</v>
      </c>
      <c r="E17" s="101" t="s">
        <v>375</v>
      </c>
      <c r="F17" s="96" t="s">
        <v>496</v>
      </c>
      <c r="G17" s="102">
        <v>2.1</v>
      </c>
      <c r="H17" s="103" t="s">
        <v>443</v>
      </c>
      <c r="I17" s="103">
        <f>COUNTIF(CustomScript[[#All],[Related SC]],MasterTable[[#This Row],[WCAG guideline]])</f>
        <v>1</v>
      </c>
      <c r="J17" s="103">
        <v>0</v>
      </c>
      <c r="K17" s="103">
        <v>0</v>
      </c>
      <c r="L17" s="103">
        <v>0</v>
      </c>
      <c r="M17" s="103">
        <v>0</v>
      </c>
      <c r="N17" s="103">
        <v>0</v>
      </c>
      <c r="O17" s="103">
        <v>0</v>
      </c>
      <c r="P17" s="103">
        <v>0</v>
      </c>
      <c r="Q17" s="103" t="s">
        <v>497</v>
      </c>
      <c r="R17" s="103" t="s">
        <v>498</v>
      </c>
      <c r="S17" s="103" t="s">
        <v>105</v>
      </c>
      <c r="T17" s="103" t="s">
        <v>443</v>
      </c>
      <c r="U17" s="103" t="s">
        <v>105</v>
      </c>
      <c r="V17" s="103" t="s">
        <v>443</v>
      </c>
      <c r="Y17" s="45" t="s">
        <v>499</v>
      </c>
      <c r="Z17" s="105" t="s">
        <v>500</v>
      </c>
      <c r="AA17" s="70" t="s">
        <v>501</v>
      </c>
    </row>
    <row r="18" spans="2:27" ht="41.4" x14ac:dyDescent="0.25">
      <c r="B18" s="103"/>
      <c r="C18" s="100" t="s">
        <v>502</v>
      </c>
      <c r="D18" s="29" t="s">
        <v>503</v>
      </c>
      <c r="E18" s="101" t="s">
        <v>376</v>
      </c>
      <c r="F18" s="96" t="s">
        <v>504</v>
      </c>
      <c r="G18" s="102">
        <v>2.1</v>
      </c>
      <c r="H18" s="103" t="s">
        <v>443</v>
      </c>
      <c r="I18" s="103">
        <f>COUNTIF(CustomScript[[#All],[Related SC]],MasterTable[[#This Row],[WCAG guideline]])</f>
        <v>1</v>
      </c>
      <c r="J18" s="103">
        <v>0</v>
      </c>
      <c r="K18" s="103">
        <v>0</v>
      </c>
      <c r="L18" s="103">
        <v>0</v>
      </c>
      <c r="M18" s="103">
        <v>0</v>
      </c>
      <c r="N18" s="103">
        <v>0</v>
      </c>
      <c r="O18" s="103">
        <v>0</v>
      </c>
      <c r="P18" s="103">
        <v>0</v>
      </c>
      <c r="Q18" s="103" t="s">
        <v>497</v>
      </c>
      <c r="R18" s="103" t="s">
        <v>498</v>
      </c>
      <c r="S18" s="103" t="s">
        <v>105</v>
      </c>
      <c r="T18" s="103" t="s">
        <v>505</v>
      </c>
      <c r="U18" s="103" t="s">
        <v>105</v>
      </c>
      <c r="V18" s="103" t="s">
        <v>505</v>
      </c>
      <c r="Y18" s="106" t="s">
        <v>506</v>
      </c>
      <c r="Z18" s="107" t="s">
        <v>507</v>
      </c>
      <c r="AA18" s="70" t="s">
        <v>508</v>
      </c>
    </row>
    <row r="19" spans="2:27" ht="41.4" x14ac:dyDescent="0.25">
      <c r="B19" s="103"/>
      <c r="C19" s="100" t="s">
        <v>509</v>
      </c>
      <c r="D19" s="29" t="s">
        <v>510</v>
      </c>
      <c r="E19" s="101" t="s">
        <v>377</v>
      </c>
      <c r="F19" s="96" t="s">
        <v>511</v>
      </c>
      <c r="G19" s="102">
        <v>2.1</v>
      </c>
      <c r="H19" s="103" t="s">
        <v>455</v>
      </c>
      <c r="I19" s="103">
        <f>COUNTIF(CustomScript[[#All],[Related SC]],MasterTable[[#This Row],[WCAG guideline]])</f>
        <v>1</v>
      </c>
      <c r="J19" s="103">
        <v>1</v>
      </c>
      <c r="K19" s="103">
        <v>1</v>
      </c>
      <c r="L19" s="103">
        <v>0</v>
      </c>
      <c r="M19" s="103">
        <v>0</v>
      </c>
      <c r="N19" s="103">
        <v>1</v>
      </c>
      <c r="O19" s="103">
        <v>0</v>
      </c>
      <c r="P19" s="103">
        <v>0</v>
      </c>
      <c r="Q19" s="103" t="s">
        <v>497</v>
      </c>
      <c r="R19" s="103" t="s">
        <v>498</v>
      </c>
      <c r="S19" s="103" t="s">
        <v>105</v>
      </c>
      <c r="T19" s="103" t="s">
        <v>455</v>
      </c>
      <c r="U19" s="103" t="s">
        <v>105</v>
      </c>
      <c r="V19" s="103" t="s">
        <v>455</v>
      </c>
      <c r="Y19" s="70" t="s">
        <v>512</v>
      </c>
      <c r="Z19" s="105" t="s">
        <v>512</v>
      </c>
      <c r="AA19" s="29" t="s">
        <v>513</v>
      </c>
    </row>
    <row r="20" spans="2:27" ht="55.2" x14ac:dyDescent="0.25">
      <c r="B20" s="103"/>
      <c r="C20" s="100" t="s">
        <v>514</v>
      </c>
      <c r="D20" s="29" t="s">
        <v>515</v>
      </c>
      <c r="E20" s="101" t="s">
        <v>326</v>
      </c>
      <c r="F20" s="96" t="s">
        <v>516</v>
      </c>
      <c r="G20" s="102">
        <v>2</v>
      </c>
      <c r="H20" s="103" t="s">
        <v>420</v>
      </c>
      <c r="I20" s="103">
        <f>COUNTIF(CustomScript[[#All],[Related SC]],MasterTable[[#This Row],[WCAG guideline]])</f>
        <v>3</v>
      </c>
      <c r="J20" s="103">
        <v>0</v>
      </c>
      <c r="K20" s="103">
        <v>1</v>
      </c>
      <c r="L20" s="103">
        <v>1</v>
      </c>
      <c r="M20" s="103">
        <v>0</v>
      </c>
      <c r="N20" s="103">
        <v>0</v>
      </c>
      <c r="O20" s="103">
        <v>0</v>
      </c>
      <c r="P20" s="103">
        <v>0</v>
      </c>
      <c r="Q20" s="103" t="s">
        <v>105</v>
      </c>
      <c r="R20" s="103" t="s">
        <v>420</v>
      </c>
      <c r="S20" s="103" t="s">
        <v>105</v>
      </c>
      <c r="T20" s="103" t="s">
        <v>420</v>
      </c>
      <c r="U20" s="103" t="s">
        <v>105</v>
      </c>
      <c r="V20" s="103" t="s">
        <v>420</v>
      </c>
      <c r="Y20" s="70"/>
      <c r="Z20" s="70"/>
      <c r="AA20" s="70"/>
    </row>
    <row r="21" spans="2:27" ht="69" x14ac:dyDescent="0.25">
      <c r="B21" s="103"/>
      <c r="C21" s="100" t="s">
        <v>517</v>
      </c>
      <c r="D21" s="29" t="s">
        <v>518</v>
      </c>
      <c r="E21" s="101" t="s">
        <v>327</v>
      </c>
      <c r="F21" s="96" t="s">
        <v>519</v>
      </c>
      <c r="G21" s="102">
        <v>2</v>
      </c>
      <c r="H21" s="103" t="s">
        <v>420</v>
      </c>
      <c r="I21" s="103">
        <f>COUNTIF(CustomScript[[#All],[Related SC]],MasterTable[[#This Row],[WCAG guideline]])</f>
        <v>1</v>
      </c>
      <c r="J21" s="103">
        <v>1</v>
      </c>
      <c r="K21" s="103">
        <v>1</v>
      </c>
      <c r="L21" s="103">
        <v>0</v>
      </c>
      <c r="M21" s="103">
        <v>1</v>
      </c>
      <c r="N21" s="103">
        <v>1</v>
      </c>
      <c r="O21" s="103">
        <v>1</v>
      </c>
      <c r="P21" s="103">
        <v>0</v>
      </c>
      <c r="Q21" s="103" t="s">
        <v>105</v>
      </c>
      <c r="R21" s="103" t="s">
        <v>420</v>
      </c>
      <c r="S21" s="103" t="s">
        <v>105</v>
      </c>
      <c r="T21" s="103" t="s">
        <v>420</v>
      </c>
      <c r="U21" s="103" t="s">
        <v>105</v>
      </c>
      <c r="V21" s="103" t="s">
        <v>420</v>
      </c>
      <c r="Y21" s="70"/>
      <c r="Z21" s="70"/>
      <c r="AA21" s="70"/>
    </row>
    <row r="22" spans="2:27" ht="124.2" x14ac:dyDescent="0.25">
      <c r="B22" s="103"/>
      <c r="C22" s="100" t="s">
        <v>520</v>
      </c>
      <c r="D22" s="29" t="s">
        <v>521</v>
      </c>
      <c r="E22" s="101" t="s">
        <v>328</v>
      </c>
      <c r="F22" s="96" t="s">
        <v>522</v>
      </c>
      <c r="G22" s="102">
        <v>2</v>
      </c>
      <c r="H22" s="103" t="s">
        <v>443</v>
      </c>
      <c r="I22" s="103">
        <f>COUNTIF(CustomScript[[#All],[Related SC]],MasterTable[[#This Row],[WCAG guideline]])</f>
        <v>2</v>
      </c>
      <c r="J22" s="103">
        <v>0</v>
      </c>
      <c r="K22" s="103">
        <v>1</v>
      </c>
      <c r="L22" s="103">
        <v>1</v>
      </c>
      <c r="M22" s="103">
        <v>0</v>
      </c>
      <c r="N22" s="103">
        <v>1</v>
      </c>
      <c r="O22" s="103">
        <v>0</v>
      </c>
      <c r="P22" s="103">
        <v>0</v>
      </c>
      <c r="Q22" s="103" t="s">
        <v>105</v>
      </c>
      <c r="R22" s="103" t="s">
        <v>443</v>
      </c>
      <c r="S22" s="103" t="s">
        <v>105</v>
      </c>
      <c r="T22" s="103" t="s">
        <v>443</v>
      </c>
      <c r="U22" s="103" t="s">
        <v>105</v>
      </c>
      <c r="V22" s="103" t="s">
        <v>443</v>
      </c>
    </row>
    <row r="23" spans="2:27" ht="41.4" x14ac:dyDescent="0.25">
      <c r="B23" s="103"/>
      <c r="C23" s="100" t="s">
        <v>523</v>
      </c>
      <c r="D23" s="29" t="s">
        <v>524</v>
      </c>
      <c r="E23" s="101" t="s">
        <v>329</v>
      </c>
      <c r="F23" s="96" t="s">
        <v>525</v>
      </c>
      <c r="G23" s="102">
        <v>2</v>
      </c>
      <c r="H23" s="103" t="s">
        <v>443</v>
      </c>
      <c r="I23" s="103">
        <f>COUNTIF(CustomScript[[#All],[Related SC]],MasterTable[[#This Row],[WCAG guideline]])</f>
        <v>2</v>
      </c>
      <c r="J23" s="103">
        <v>0</v>
      </c>
      <c r="K23" s="103">
        <v>1</v>
      </c>
      <c r="L23" s="103">
        <v>1</v>
      </c>
      <c r="M23" s="103">
        <v>0</v>
      </c>
      <c r="N23" s="103">
        <v>1</v>
      </c>
      <c r="O23" s="103">
        <v>0</v>
      </c>
      <c r="P23" s="103">
        <v>0</v>
      </c>
      <c r="Q23" s="103" t="s">
        <v>105</v>
      </c>
      <c r="R23" s="103" t="s">
        <v>443</v>
      </c>
      <c r="S23" s="103" t="s">
        <v>105</v>
      </c>
      <c r="T23" s="103" t="s">
        <v>443</v>
      </c>
      <c r="U23" s="103" t="s">
        <v>105</v>
      </c>
      <c r="V23" s="103" t="s">
        <v>443</v>
      </c>
    </row>
    <row r="24" spans="2:27" ht="55.2" x14ac:dyDescent="0.25">
      <c r="B24" s="103"/>
      <c r="C24" s="100" t="s">
        <v>526</v>
      </c>
      <c r="D24" s="29" t="s">
        <v>527</v>
      </c>
      <c r="E24" s="101" t="s">
        <v>330</v>
      </c>
      <c r="F24" s="96" t="s">
        <v>528</v>
      </c>
      <c r="G24" s="102">
        <v>2</v>
      </c>
      <c r="H24" s="103" t="s">
        <v>443</v>
      </c>
      <c r="I24" s="103">
        <f>COUNTIF(CustomScript[[#All],[Related SC]],MasterTable[[#This Row],[WCAG guideline]])</f>
        <v>1</v>
      </c>
      <c r="J24" s="103">
        <v>1</v>
      </c>
      <c r="K24" s="103">
        <v>1</v>
      </c>
      <c r="L24" s="103">
        <v>1</v>
      </c>
      <c r="M24" s="103">
        <v>0</v>
      </c>
      <c r="N24" s="103">
        <v>1</v>
      </c>
      <c r="O24" s="103">
        <v>0</v>
      </c>
      <c r="P24" s="103">
        <v>0</v>
      </c>
      <c r="Q24" s="103" t="s">
        <v>105</v>
      </c>
      <c r="R24" s="103" t="s">
        <v>443</v>
      </c>
      <c r="S24" s="103" t="s">
        <v>105</v>
      </c>
      <c r="T24" s="103" t="s">
        <v>443</v>
      </c>
      <c r="U24" s="103" t="s">
        <v>105</v>
      </c>
      <c r="V24" s="103" t="s">
        <v>443</v>
      </c>
    </row>
    <row r="25" spans="2:27" ht="69" x14ac:dyDescent="0.25">
      <c r="B25" s="103"/>
      <c r="C25" s="100" t="s">
        <v>529</v>
      </c>
      <c r="D25" s="29" t="s">
        <v>530</v>
      </c>
      <c r="E25" s="101" t="s">
        <v>331</v>
      </c>
      <c r="F25" s="96" t="s">
        <v>531</v>
      </c>
      <c r="G25" s="102">
        <v>2</v>
      </c>
      <c r="H25" s="103" t="s">
        <v>455</v>
      </c>
      <c r="I25" s="103">
        <f>COUNTIF(CustomScript[[#All],[Related SC]],MasterTable[[#This Row],[WCAG guideline]])</f>
        <v>2</v>
      </c>
      <c r="J25" s="103">
        <v>0</v>
      </c>
      <c r="K25" s="103">
        <v>1</v>
      </c>
      <c r="L25" s="103">
        <v>1</v>
      </c>
      <c r="M25" s="103">
        <v>0</v>
      </c>
      <c r="N25" s="103">
        <v>0</v>
      </c>
      <c r="O25" s="103">
        <v>0</v>
      </c>
      <c r="P25" s="103">
        <v>0</v>
      </c>
      <c r="Q25" s="103" t="s">
        <v>105</v>
      </c>
      <c r="R25" s="103" t="s">
        <v>455</v>
      </c>
      <c r="S25" s="103" t="s">
        <v>105</v>
      </c>
      <c r="T25" s="103" t="s">
        <v>455</v>
      </c>
      <c r="U25" s="103" t="s">
        <v>105</v>
      </c>
      <c r="V25" s="103" t="s">
        <v>455</v>
      </c>
    </row>
    <row r="26" spans="2:27" ht="179.4" x14ac:dyDescent="0.25">
      <c r="B26" s="103"/>
      <c r="C26" s="100" t="s">
        <v>532</v>
      </c>
      <c r="D26" s="29" t="s">
        <v>533</v>
      </c>
      <c r="E26" s="101" t="s">
        <v>332</v>
      </c>
      <c r="F26" s="96" t="s">
        <v>534</v>
      </c>
      <c r="G26" s="102">
        <v>2</v>
      </c>
      <c r="H26" s="103" t="s">
        <v>455</v>
      </c>
      <c r="I26" s="103">
        <f>COUNTIF(CustomScript[[#All],[Related SC]],MasterTable[[#This Row],[WCAG guideline]])</f>
        <v>1</v>
      </c>
      <c r="J26" s="103">
        <v>0</v>
      </c>
      <c r="K26" s="103">
        <v>0</v>
      </c>
      <c r="L26" s="103">
        <v>0</v>
      </c>
      <c r="M26" s="103">
        <v>1</v>
      </c>
      <c r="N26" s="103">
        <v>1</v>
      </c>
      <c r="O26" s="103">
        <v>0</v>
      </c>
      <c r="P26" s="103">
        <v>0</v>
      </c>
      <c r="Q26" s="103" t="s">
        <v>105</v>
      </c>
      <c r="R26" s="103" t="s">
        <v>455</v>
      </c>
      <c r="S26" s="103" t="s">
        <v>105</v>
      </c>
      <c r="T26" s="103" t="s">
        <v>455</v>
      </c>
      <c r="U26" s="103" t="s">
        <v>105</v>
      </c>
      <c r="V26" s="103" t="s">
        <v>455</v>
      </c>
    </row>
    <row r="27" spans="2:27" ht="207" x14ac:dyDescent="0.25">
      <c r="B27" s="103"/>
      <c r="C27" s="100" t="s">
        <v>535</v>
      </c>
      <c r="D27" s="29" t="s">
        <v>536</v>
      </c>
      <c r="E27" s="101" t="s">
        <v>333</v>
      </c>
      <c r="F27" s="96" t="s">
        <v>537</v>
      </c>
      <c r="G27" s="102">
        <v>2</v>
      </c>
      <c r="H27" s="103" t="s">
        <v>455</v>
      </c>
      <c r="I27" s="103">
        <f>COUNTIF(CustomScript[[#All],[Related SC]],MasterTable[[#This Row],[WCAG guideline]])</f>
        <v>1</v>
      </c>
      <c r="J27" s="103">
        <v>0</v>
      </c>
      <c r="K27" s="103">
        <v>1</v>
      </c>
      <c r="L27" s="103">
        <v>1</v>
      </c>
      <c r="M27" s="103">
        <v>0</v>
      </c>
      <c r="N27" s="103">
        <v>1</v>
      </c>
      <c r="O27" s="103">
        <v>0</v>
      </c>
      <c r="P27" s="103">
        <v>0</v>
      </c>
      <c r="Q27" s="103" t="s">
        <v>105</v>
      </c>
      <c r="R27" s="103" t="s">
        <v>455</v>
      </c>
      <c r="S27" s="103" t="s">
        <v>105</v>
      </c>
      <c r="T27" s="103" t="s">
        <v>455</v>
      </c>
      <c r="U27" s="103" t="s">
        <v>105</v>
      </c>
      <c r="V27" s="103" t="s">
        <v>455</v>
      </c>
    </row>
    <row r="28" spans="2:27" ht="41.4" x14ac:dyDescent="0.25">
      <c r="B28" s="103"/>
      <c r="C28" s="100" t="s">
        <v>538</v>
      </c>
      <c r="D28" s="29" t="s">
        <v>539</v>
      </c>
      <c r="E28" s="101" t="s">
        <v>334</v>
      </c>
      <c r="F28" s="96" t="s">
        <v>540</v>
      </c>
      <c r="G28" s="102">
        <v>2</v>
      </c>
      <c r="H28" s="103" t="s">
        <v>455</v>
      </c>
      <c r="I28" s="103">
        <f>COUNTIF(CustomScript[[#All],[Related SC]],MasterTable[[#This Row],[WCAG guideline]])</f>
        <v>1</v>
      </c>
      <c r="J28" s="103">
        <v>1</v>
      </c>
      <c r="K28" s="103">
        <v>1</v>
      </c>
      <c r="L28" s="103">
        <v>0</v>
      </c>
      <c r="M28" s="103">
        <v>0</v>
      </c>
      <c r="N28" s="103">
        <v>1</v>
      </c>
      <c r="O28" s="103">
        <v>0</v>
      </c>
      <c r="P28" s="103">
        <v>0</v>
      </c>
      <c r="Q28" s="103" t="s">
        <v>105</v>
      </c>
      <c r="R28" s="103" t="s">
        <v>455</v>
      </c>
      <c r="S28" s="103" t="s">
        <v>105</v>
      </c>
      <c r="T28" s="103" t="s">
        <v>455</v>
      </c>
      <c r="U28" s="103" t="s">
        <v>105</v>
      </c>
      <c r="V28" s="103" t="s">
        <v>455</v>
      </c>
    </row>
    <row r="29" spans="2:27" ht="41.4" x14ac:dyDescent="0.25">
      <c r="B29" s="103"/>
      <c r="C29" s="100" t="s">
        <v>541</v>
      </c>
      <c r="D29" s="29" t="s">
        <v>542</v>
      </c>
      <c r="E29" s="101" t="s">
        <v>284</v>
      </c>
      <c r="F29" s="96" t="s">
        <v>543</v>
      </c>
      <c r="G29" s="102">
        <v>2.1</v>
      </c>
      <c r="H29" s="103" t="s">
        <v>443</v>
      </c>
      <c r="I29" s="103">
        <f>COUNTIF(CustomScript[[#All],[Related SC]],MasterTable[[#This Row],[WCAG guideline]])</f>
        <v>1</v>
      </c>
      <c r="J29" s="103">
        <v>0</v>
      </c>
      <c r="K29" s="103">
        <v>1</v>
      </c>
      <c r="L29" s="103">
        <v>0</v>
      </c>
      <c r="M29" s="103">
        <v>0</v>
      </c>
      <c r="N29" s="103">
        <v>0</v>
      </c>
      <c r="O29" s="103">
        <v>0</v>
      </c>
      <c r="P29" s="103">
        <v>0</v>
      </c>
      <c r="Q29" s="103" t="s">
        <v>497</v>
      </c>
      <c r="R29" s="103" t="s">
        <v>498</v>
      </c>
      <c r="S29" s="103" t="s">
        <v>105</v>
      </c>
      <c r="T29" s="103" t="s">
        <v>443</v>
      </c>
      <c r="U29" s="103" t="s">
        <v>105</v>
      </c>
      <c r="V29" s="103" t="s">
        <v>443</v>
      </c>
    </row>
    <row r="30" spans="2:27" ht="41.4" x14ac:dyDescent="0.25">
      <c r="B30" s="103"/>
      <c r="C30" s="100" t="s">
        <v>544</v>
      </c>
      <c r="D30" s="29" t="s">
        <v>545</v>
      </c>
      <c r="E30" s="101" t="s">
        <v>378</v>
      </c>
      <c r="F30" s="96" t="s">
        <v>546</v>
      </c>
      <c r="G30" s="102">
        <v>2.1</v>
      </c>
      <c r="H30" s="103" t="s">
        <v>443</v>
      </c>
      <c r="I30" s="103">
        <f>COUNTIF(CustomScript[[#All],[Related SC]],MasterTable[[#This Row],[WCAG guideline]])</f>
        <v>2</v>
      </c>
      <c r="J30" s="103">
        <v>0</v>
      </c>
      <c r="K30" s="103">
        <v>1</v>
      </c>
      <c r="L30" s="103">
        <v>1</v>
      </c>
      <c r="M30" s="103">
        <v>0</v>
      </c>
      <c r="N30" s="103">
        <v>0</v>
      </c>
      <c r="O30" s="103">
        <v>0</v>
      </c>
      <c r="P30" s="103">
        <v>0</v>
      </c>
      <c r="Q30" s="103" t="s">
        <v>497</v>
      </c>
      <c r="R30" s="103" t="s">
        <v>498</v>
      </c>
      <c r="S30" s="103" t="s">
        <v>105</v>
      </c>
      <c r="T30" s="103" t="s">
        <v>443</v>
      </c>
      <c r="U30" s="103" t="s">
        <v>105</v>
      </c>
      <c r="V30" s="103" t="s">
        <v>443</v>
      </c>
    </row>
    <row r="31" spans="2:27" ht="124.2" x14ac:dyDescent="0.25">
      <c r="B31" s="103"/>
      <c r="C31" s="100" t="s">
        <v>547</v>
      </c>
      <c r="D31" s="29" t="s">
        <v>548</v>
      </c>
      <c r="E31" s="101" t="s">
        <v>379</v>
      </c>
      <c r="F31" s="96" t="s">
        <v>549</v>
      </c>
      <c r="G31" s="102">
        <v>2.1</v>
      </c>
      <c r="H31" s="103" t="s">
        <v>443</v>
      </c>
      <c r="I31" s="103">
        <f>COUNTIF(CustomScript[[#All],[Related SC]],MasterTable[[#This Row],[WCAG guideline]])</f>
        <v>1</v>
      </c>
      <c r="J31" s="103">
        <v>0</v>
      </c>
      <c r="K31" s="103">
        <v>1</v>
      </c>
      <c r="L31" s="103">
        <v>0</v>
      </c>
      <c r="M31" s="103">
        <v>0</v>
      </c>
      <c r="N31" s="103">
        <v>0</v>
      </c>
      <c r="O31" s="103">
        <v>0</v>
      </c>
      <c r="P31" s="103">
        <v>0</v>
      </c>
      <c r="Q31" s="103" t="s">
        <v>497</v>
      </c>
      <c r="R31" s="103" t="s">
        <v>498</v>
      </c>
      <c r="S31" s="103" t="s">
        <v>105</v>
      </c>
      <c r="T31" s="103" t="s">
        <v>443</v>
      </c>
      <c r="U31" s="103" t="s">
        <v>105</v>
      </c>
      <c r="V31" s="103" t="s">
        <v>443</v>
      </c>
    </row>
    <row r="32" spans="2:27" ht="55.2" x14ac:dyDescent="0.25">
      <c r="B32" s="103"/>
      <c r="C32" s="100" t="s">
        <v>550</v>
      </c>
      <c r="D32" s="29" t="s">
        <v>551</v>
      </c>
      <c r="E32" s="101" t="s">
        <v>285</v>
      </c>
      <c r="F32" s="96" t="s">
        <v>552</v>
      </c>
      <c r="G32" s="102">
        <v>2.1</v>
      </c>
      <c r="H32" s="103" t="s">
        <v>443</v>
      </c>
      <c r="I32" s="103">
        <f>COUNTIF(CustomScript[[#All],[Related SC]],MasterTable[[#This Row],[WCAG guideline]])</f>
        <v>3</v>
      </c>
      <c r="J32" s="103">
        <v>0</v>
      </c>
      <c r="K32" s="103">
        <v>0</v>
      </c>
      <c r="L32" s="103">
        <v>0</v>
      </c>
      <c r="M32" s="103">
        <v>0</v>
      </c>
      <c r="N32" s="103">
        <v>1</v>
      </c>
      <c r="O32" s="103">
        <v>0</v>
      </c>
      <c r="P32" s="103">
        <v>0</v>
      </c>
      <c r="Q32" s="103" t="s">
        <v>497</v>
      </c>
      <c r="R32" s="103" t="s">
        <v>498</v>
      </c>
      <c r="S32" s="103" t="s">
        <v>105</v>
      </c>
      <c r="T32" s="103" t="s">
        <v>443</v>
      </c>
      <c r="U32" s="103" t="s">
        <v>105</v>
      </c>
      <c r="V32" s="103" t="s">
        <v>443</v>
      </c>
    </row>
    <row r="33" spans="1:22" ht="42.6" x14ac:dyDescent="0.35">
      <c r="A33" s="108"/>
      <c r="B33" s="38" t="s">
        <v>553</v>
      </c>
      <c r="C33" s="100" t="s">
        <v>554</v>
      </c>
      <c r="D33" s="29" t="s">
        <v>555</v>
      </c>
      <c r="E33" s="101" t="s">
        <v>335</v>
      </c>
      <c r="F33" s="96" t="s">
        <v>556</v>
      </c>
      <c r="G33" s="102">
        <v>2</v>
      </c>
      <c r="H33" s="103" t="s">
        <v>420</v>
      </c>
      <c r="I33" s="103">
        <f>COUNTIF(CustomScript[[#All],[Related SC]],MasterTable[[#This Row],[WCAG guideline]])</f>
        <v>4</v>
      </c>
      <c r="J33" s="103">
        <v>1</v>
      </c>
      <c r="K33" s="103">
        <v>1</v>
      </c>
      <c r="L33" s="103">
        <v>0</v>
      </c>
      <c r="M33" s="103">
        <v>0</v>
      </c>
      <c r="N33" s="103">
        <v>1</v>
      </c>
      <c r="O33" s="103">
        <v>1</v>
      </c>
      <c r="P33" s="103">
        <v>0</v>
      </c>
      <c r="Q33" s="103" t="s">
        <v>105</v>
      </c>
      <c r="R33" s="103" t="s">
        <v>557</v>
      </c>
      <c r="S33" s="103" t="s">
        <v>105</v>
      </c>
      <c r="T33" s="103" t="s">
        <v>557</v>
      </c>
      <c r="U33" s="103" t="s">
        <v>105</v>
      </c>
      <c r="V33" s="103" t="s">
        <v>557</v>
      </c>
    </row>
    <row r="34" spans="1:22" ht="96.6" x14ac:dyDescent="0.25">
      <c r="B34" s="103"/>
      <c r="C34" s="100" t="s">
        <v>558</v>
      </c>
      <c r="D34" s="29" t="s">
        <v>559</v>
      </c>
      <c r="E34" s="101" t="s">
        <v>336</v>
      </c>
      <c r="F34" s="96" t="s">
        <v>560</v>
      </c>
      <c r="G34" s="102">
        <v>2</v>
      </c>
      <c r="H34" s="103" t="s">
        <v>420</v>
      </c>
      <c r="I34" s="103">
        <f>COUNTIF(CustomScript[[#All],[Related SC]],MasterTable[[#This Row],[WCAG guideline]])</f>
        <v>1</v>
      </c>
      <c r="J34" s="103">
        <v>1</v>
      </c>
      <c r="K34" s="103">
        <v>1</v>
      </c>
      <c r="L34" s="103">
        <v>0</v>
      </c>
      <c r="M34" s="103">
        <v>0</v>
      </c>
      <c r="N34" s="103">
        <v>1</v>
      </c>
      <c r="O34" s="103">
        <v>1</v>
      </c>
      <c r="P34" s="103">
        <v>0</v>
      </c>
      <c r="Q34" s="103" t="s">
        <v>105</v>
      </c>
      <c r="R34" s="103" t="s">
        <v>420</v>
      </c>
      <c r="S34" s="103" t="s">
        <v>105</v>
      </c>
      <c r="T34" s="103" t="s">
        <v>420</v>
      </c>
      <c r="U34" s="103" t="s">
        <v>105</v>
      </c>
      <c r="V34" s="103" t="s">
        <v>420</v>
      </c>
    </row>
    <row r="35" spans="1:22" ht="57.75" customHeight="1" x14ac:dyDescent="0.25">
      <c r="B35" s="103"/>
      <c r="C35" s="100" t="s">
        <v>561</v>
      </c>
      <c r="D35" s="29" t="s">
        <v>562</v>
      </c>
      <c r="E35" s="101" t="s">
        <v>337</v>
      </c>
      <c r="F35" s="96" t="s">
        <v>563</v>
      </c>
      <c r="G35" s="102">
        <v>2</v>
      </c>
      <c r="H35" s="103" t="s">
        <v>455</v>
      </c>
      <c r="I35" s="103">
        <f>COUNTIF(CustomScript[[#All],[Related SC]],MasterTable[[#This Row],[WCAG guideline]])</f>
        <v>1</v>
      </c>
      <c r="J35" s="103">
        <v>0</v>
      </c>
      <c r="K35" s="103">
        <v>0</v>
      </c>
      <c r="L35" s="103">
        <v>0</v>
      </c>
      <c r="M35" s="103">
        <v>0</v>
      </c>
      <c r="N35" s="103">
        <v>0</v>
      </c>
      <c r="O35" s="103">
        <v>1</v>
      </c>
      <c r="P35" s="103">
        <v>0</v>
      </c>
      <c r="Q35" s="103" t="s">
        <v>105</v>
      </c>
      <c r="R35" s="103" t="s">
        <v>455</v>
      </c>
      <c r="S35" s="103" t="s">
        <v>105</v>
      </c>
      <c r="T35" s="103" t="s">
        <v>455</v>
      </c>
      <c r="U35" s="103" t="s">
        <v>105</v>
      </c>
      <c r="V35" s="103" t="s">
        <v>455</v>
      </c>
    </row>
    <row r="36" spans="1:22" ht="69" x14ac:dyDescent="0.25">
      <c r="B36" s="103"/>
      <c r="C36" s="100" t="s">
        <v>564</v>
      </c>
      <c r="D36" s="29" t="s">
        <v>565</v>
      </c>
      <c r="E36" s="101" t="s">
        <v>380</v>
      </c>
      <c r="F36" s="96" t="s">
        <v>566</v>
      </c>
      <c r="G36" s="102">
        <v>2.1</v>
      </c>
      <c r="H36" s="103" t="s">
        <v>420</v>
      </c>
      <c r="I36" s="103">
        <f>COUNTIF(CustomScript[[#All],[Related SC]],MasterTable[[#This Row],[WCAG guideline]])</f>
        <v>1</v>
      </c>
      <c r="J36" s="103">
        <v>0</v>
      </c>
      <c r="K36" s="103">
        <v>0</v>
      </c>
      <c r="L36" s="103">
        <v>0</v>
      </c>
      <c r="M36" s="103">
        <v>0</v>
      </c>
      <c r="N36" s="103">
        <v>0</v>
      </c>
      <c r="O36" s="103">
        <v>1</v>
      </c>
      <c r="P36" s="103">
        <v>0</v>
      </c>
      <c r="Q36" s="103" t="s">
        <v>497</v>
      </c>
      <c r="R36" s="103" t="s">
        <v>498</v>
      </c>
      <c r="S36" s="103" t="s">
        <v>105</v>
      </c>
      <c r="T36" s="103" t="s">
        <v>420</v>
      </c>
      <c r="U36" s="103" t="s">
        <v>105</v>
      </c>
      <c r="V36" s="103" t="s">
        <v>420</v>
      </c>
    </row>
    <row r="37" spans="1:22" ht="55.2" x14ac:dyDescent="0.25">
      <c r="B37" s="103"/>
      <c r="C37" s="100" t="s">
        <v>567</v>
      </c>
      <c r="D37" s="29" t="s">
        <v>568</v>
      </c>
      <c r="E37" s="101" t="s">
        <v>338</v>
      </c>
      <c r="F37" s="96" t="s">
        <v>569</v>
      </c>
      <c r="G37" s="102">
        <v>2</v>
      </c>
      <c r="H37" s="103" t="s">
        <v>420</v>
      </c>
      <c r="I37" s="103">
        <f>COUNTIF(CustomScript[[#All],[Related SC]],MasterTable[[#This Row],[WCAG guideline]])</f>
        <v>3</v>
      </c>
      <c r="J37" s="103">
        <v>1</v>
      </c>
      <c r="K37" s="103">
        <v>1</v>
      </c>
      <c r="L37" s="103">
        <v>0</v>
      </c>
      <c r="M37" s="103">
        <v>0</v>
      </c>
      <c r="N37" s="103">
        <v>1</v>
      </c>
      <c r="O37" s="103">
        <v>1</v>
      </c>
      <c r="P37" s="103">
        <v>1</v>
      </c>
      <c r="Q37" s="103" t="s">
        <v>105</v>
      </c>
      <c r="R37" s="103" t="s">
        <v>420</v>
      </c>
      <c r="S37" s="103" t="s">
        <v>105</v>
      </c>
      <c r="T37" s="103" t="s">
        <v>420</v>
      </c>
      <c r="U37" s="103" t="s">
        <v>105</v>
      </c>
      <c r="V37" s="103" t="s">
        <v>420</v>
      </c>
    </row>
    <row r="38" spans="1:22" ht="69" x14ac:dyDescent="0.25">
      <c r="B38" s="103"/>
      <c r="C38" s="100" t="s">
        <v>570</v>
      </c>
      <c r="D38" s="29" t="s">
        <v>571</v>
      </c>
      <c r="E38" s="101" t="s">
        <v>339</v>
      </c>
      <c r="F38" s="96" t="s">
        <v>572</v>
      </c>
      <c r="G38" s="102">
        <v>2</v>
      </c>
      <c r="H38" s="103" t="s">
        <v>420</v>
      </c>
      <c r="I38" s="103">
        <f>COUNTIF(CustomScript[[#All],[Related SC]],MasterTable[[#This Row],[WCAG guideline]])</f>
        <v>2</v>
      </c>
      <c r="J38" s="103">
        <v>1</v>
      </c>
      <c r="K38" s="103">
        <v>1</v>
      </c>
      <c r="L38" s="103">
        <v>0</v>
      </c>
      <c r="M38" s="103">
        <v>0</v>
      </c>
      <c r="N38" s="103">
        <v>1</v>
      </c>
      <c r="O38" s="103">
        <v>1</v>
      </c>
      <c r="P38" s="103">
        <v>1</v>
      </c>
      <c r="Q38" s="103" t="s">
        <v>105</v>
      </c>
      <c r="R38" s="103" t="s">
        <v>420</v>
      </c>
      <c r="S38" s="103" t="s">
        <v>105</v>
      </c>
      <c r="T38" s="103" t="s">
        <v>420</v>
      </c>
      <c r="U38" s="103" t="s">
        <v>105</v>
      </c>
      <c r="V38" s="103" t="s">
        <v>420</v>
      </c>
    </row>
    <row r="39" spans="1:22" ht="67.2" customHeight="1" x14ac:dyDescent="0.25">
      <c r="B39" s="103"/>
      <c r="C39" s="100" t="s">
        <v>573</v>
      </c>
      <c r="D39" s="29" t="s">
        <v>574</v>
      </c>
      <c r="E39" s="101" t="s">
        <v>340</v>
      </c>
      <c r="F39" s="96" t="s">
        <v>575</v>
      </c>
      <c r="G39" s="102">
        <v>2</v>
      </c>
      <c r="H39" s="103" t="s">
        <v>455</v>
      </c>
      <c r="I39" s="103">
        <f>COUNTIF(CustomScript[[#All],[Related SC]],MasterTable[[#This Row],[WCAG guideline]])</f>
        <v>1</v>
      </c>
      <c r="J39" s="103">
        <v>0</v>
      </c>
      <c r="K39" s="103">
        <v>0</v>
      </c>
      <c r="L39" s="103">
        <v>0</v>
      </c>
      <c r="M39" s="103">
        <v>0</v>
      </c>
      <c r="N39" s="103">
        <v>0</v>
      </c>
      <c r="O39" s="103">
        <v>1</v>
      </c>
      <c r="P39" s="103">
        <v>0</v>
      </c>
      <c r="Q39" s="103" t="s">
        <v>105</v>
      </c>
      <c r="R39" s="103" t="s">
        <v>455</v>
      </c>
      <c r="S39" s="103" t="s">
        <v>105</v>
      </c>
      <c r="T39" s="103" t="s">
        <v>455</v>
      </c>
      <c r="U39" s="103" t="s">
        <v>105</v>
      </c>
      <c r="V39" s="103" t="s">
        <v>455</v>
      </c>
    </row>
    <row r="40" spans="1:22" ht="27.6" x14ac:dyDescent="0.25">
      <c r="B40" s="103"/>
      <c r="C40" s="100" t="s">
        <v>576</v>
      </c>
      <c r="D40" s="29" t="s">
        <v>577</v>
      </c>
      <c r="E40" s="101" t="s">
        <v>341</v>
      </c>
      <c r="F40" s="96" t="s">
        <v>578</v>
      </c>
      <c r="G40" s="102">
        <v>2</v>
      </c>
      <c r="H40" s="103" t="s">
        <v>455</v>
      </c>
      <c r="I40" s="103">
        <f>COUNTIF(CustomScript[[#All],[Related SC]],MasterTable[[#This Row],[WCAG guideline]])</f>
        <v>1</v>
      </c>
      <c r="J40" s="103">
        <v>0</v>
      </c>
      <c r="K40" s="103">
        <v>0</v>
      </c>
      <c r="L40" s="103">
        <v>0</v>
      </c>
      <c r="M40" s="103">
        <v>0</v>
      </c>
      <c r="N40" s="103">
        <v>0</v>
      </c>
      <c r="O40" s="103">
        <v>1</v>
      </c>
      <c r="P40" s="103">
        <v>0</v>
      </c>
      <c r="Q40" s="103" t="s">
        <v>105</v>
      </c>
      <c r="R40" s="103" t="s">
        <v>455</v>
      </c>
      <c r="S40" s="103" t="s">
        <v>105</v>
      </c>
      <c r="T40" s="103" t="s">
        <v>455</v>
      </c>
      <c r="U40" s="103" t="s">
        <v>105</v>
      </c>
      <c r="V40" s="103" t="s">
        <v>455</v>
      </c>
    </row>
    <row r="41" spans="1:22" ht="41.4" x14ac:dyDescent="0.25">
      <c r="B41" s="103"/>
      <c r="C41" s="100" t="s">
        <v>579</v>
      </c>
      <c r="D41" s="29" t="s">
        <v>580</v>
      </c>
      <c r="E41" s="101" t="s">
        <v>342</v>
      </c>
      <c r="F41" s="96" t="s">
        <v>581</v>
      </c>
      <c r="G41" s="102">
        <v>2</v>
      </c>
      <c r="H41" s="103" t="s">
        <v>455</v>
      </c>
      <c r="I41" s="103">
        <f>COUNTIF(CustomScript[[#All],[Related SC]],MasterTable[[#This Row],[WCAG guideline]])</f>
        <v>1</v>
      </c>
      <c r="J41" s="103">
        <v>0</v>
      </c>
      <c r="K41" s="103">
        <v>0</v>
      </c>
      <c r="L41" s="103">
        <v>0</v>
      </c>
      <c r="M41" s="103">
        <v>0</v>
      </c>
      <c r="N41" s="103">
        <v>0</v>
      </c>
      <c r="O41" s="103">
        <v>1</v>
      </c>
      <c r="P41" s="103">
        <v>0</v>
      </c>
      <c r="Q41" s="103" t="s">
        <v>105</v>
      </c>
      <c r="R41" s="103" t="s">
        <v>455</v>
      </c>
      <c r="S41" s="103" t="s">
        <v>105</v>
      </c>
      <c r="T41" s="103" t="s">
        <v>455</v>
      </c>
      <c r="U41" s="103" t="s">
        <v>105</v>
      </c>
      <c r="V41" s="103" t="s">
        <v>455</v>
      </c>
    </row>
    <row r="42" spans="1:22" ht="55.2" x14ac:dyDescent="0.25">
      <c r="B42" s="103"/>
      <c r="C42" s="100" t="s">
        <v>582</v>
      </c>
      <c r="D42" s="29" t="s">
        <v>583</v>
      </c>
      <c r="E42" s="101" t="s">
        <v>381</v>
      </c>
      <c r="F42" s="96" t="s">
        <v>584</v>
      </c>
      <c r="G42" s="102">
        <v>2.1</v>
      </c>
      <c r="H42" s="103" t="s">
        <v>455</v>
      </c>
      <c r="I42" s="103">
        <f>COUNTIF(CustomScript[[#All],[Related SC]],MasterTable[[#This Row],[WCAG guideline]])</f>
        <v>1</v>
      </c>
      <c r="J42" s="103">
        <v>0</v>
      </c>
      <c r="K42" s="103">
        <v>0</v>
      </c>
      <c r="L42" s="103">
        <v>0</v>
      </c>
      <c r="M42" s="103">
        <v>0</v>
      </c>
      <c r="N42" s="103">
        <v>0</v>
      </c>
      <c r="O42" s="103">
        <v>1</v>
      </c>
      <c r="P42" s="103">
        <v>0</v>
      </c>
      <c r="Q42" s="103" t="s">
        <v>497</v>
      </c>
      <c r="R42" s="103" t="s">
        <v>498</v>
      </c>
      <c r="S42" s="103" t="s">
        <v>105</v>
      </c>
      <c r="T42" s="103" t="s">
        <v>455</v>
      </c>
      <c r="U42" s="103" t="s">
        <v>105</v>
      </c>
      <c r="V42" s="103" t="s">
        <v>455</v>
      </c>
    </row>
    <row r="43" spans="1:22" ht="55.2" x14ac:dyDescent="0.25">
      <c r="B43" s="103"/>
      <c r="C43" s="100" t="s">
        <v>585</v>
      </c>
      <c r="D43" s="29" t="s">
        <v>586</v>
      </c>
      <c r="E43" s="101" t="s">
        <v>343</v>
      </c>
      <c r="F43" s="96" t="s">
        <v>587</v>
      </c>
      <c r="G43" s="102">
        <v>2</v>
      </c>
      <c r="H43" s="103" t="s">
        <v>420</v>
      </c>
      <c r="I43" s="103">
        <f>COUNTIF(CustomScript[[#All],[Related SC]],MasterTable[[#This Row],[WCAG guideline]])</f>
        <v>2</v>
      </c>
      <c r="J43" s="103">
        <v>0</v>
      </c>
      <c r="K43" s="103">
        <v>1</v>
      </c>
      <c r="L43" s="103">
        <v>0</v>
      </c>
      <c r="M43" s="103">
        <v>0</v>
      </c>
      <c r="N43" s="103">
        <v>1</v>
      </c>
      <c r="O43" s="103">
        <v>1</v>
      </c>
      <c r="P43" s="103">
        <v>1</v>
      </c>
      <c r="Q43" s="103" t="s">
        <v>105</v>
      </c>
      <c r="R43" s="103" t="s">
        <v>420</v>
      </c>
      <c r="S43" s="103" t="s">
        <v>105</v>
      </c>
      <c r="T43" s="103" t="s">
        <v>420</v>
      </c>
      <c r="U43" s="103" t="s">
        <v>105</v>
      </c>
      <c r="V43" s="103" t="s">
        <v>420</v>
      </c>
    </row>
    <row r="44" spans="1:22" ht="27.6" x14ac:dyDescent="0.25">
      <c r="B44" s="103"/>
      <c r="C44" s="100" t="s">
        <v>588</v>
      </c>
      <c r="D44" s="29" t="s">
        <v>589</v>
      </c>
      <c r="E44" s="101" t="s">
        <v>344</v>
      </c>
      <c r="F44" s="96" t="s">
        <v>590</v>
      </c>
      <c r="G44" s="102">
        <v>2</v>
      </c>
      <c r="H44" s="103" t="s">
        <v>455</v>
      </c>
      <c r="I44" s="103">
        <f>COUNTIF(CustomScript[[#All],[Related SC]],MasterTable[[#This Row],[WCAG guideline]])</f>
        <v>1</v>
      </c>
      <c r="J44" s="103">
        <v>0</v>
      </c>
      <c r="K44" s="103">
        <v>0</v>
      </c>
      <c r="L44" s="103">
        <v>0</v>
      </c>
      <c r="M44" s="103">
        <v>0</v>
      </c>
      <c r="N44" s="103">
        <v>0</v>
      </c>
      <c r="O44" s="103">
        <v>0</v>
      </c>
      <c r="P44" s="103">
        <v>1</v>
      </c>
      <c r="Q44" s="103" t="s">
        <v>105</v>
      </c>
      <c r="R44" s="103" t="s">
        <v>455</v>
      </c>
      <c r="S44" s="103" t="s">
        <v>105</v>
      </c>
      <c r="T44" s="103" t="s">
        <v>455</v>
      </c>
      <c r="U44" s="103" t="s">
        <v>105</v>
      </c>
      <c r="V44" s="103" t="s">
        <v>455</v>
      </c>
    </row>
    <row r="45" spans="1:22" ht="41.4" x14ac:dyDescent="0.25">
      <c r="B45" s="103"/>
      <c r="C45" s="100" t="s">
        <v>591</v>
      </c>
      <c r="D45" s="29" t="s">
        <v>592</v>
      </c>
      <c r="E45" s="101" t="s">
        <v>382</v>
      </c>
      <c r="F45" s="96" t="s">
        <v>593</v>
      </c>
      <c r="G45" s="102">
        <v>2.1</v>
      </c>
      <c r="H45" s="103" t="s">
        <v>455</v>
      </c>
      <c r="I45" s="103">
        <f>COUNTIF(CustomScript[[#All],[Related SC]],MasterTable[[#This Row],[WCAG guideline]])</f>
        <v>1</v>
      </c>
      <c r="J45" s="103">
        <v>0</v>
      </c>
      <c r="K45" s="103">
        <v>0</v>
      </c>
      <c r="L45" s="103">
        <v>0</v>
      </c>
      <c r="M45" s="103">
        <v>0</v>
      </c>
      <c r="N45" s="103">
        <v>1</v>
      </c>
      <c r="O45" s="103">
        <v>0</v>
      </c>
      <c r="P45" s="103">
        <v>0</v>
      </c>
      <c r="Q45" s="103" t="s">
        <v>497</v>
      </c>
      <c r="R45" s="103" t="s">
        <v>498</v>
      </c>
      <c r="S45" s="103" t="s">
        <v>105</v>
      </c>
      <c r="T45" s="103" t="s">
        <v>455</v>
      </c>
      <c r="U45" s="103" t="s">
        <v>105</v>
      </c>
      <c r="V45" s="103" t="s">
        <v>455</v>
      </c>
    </row>
    <row r="46" spans="1:22" ht="51.75" customHeight="1" x14ac:dyDescent="0.25">
      <c r="B46" s="103"/>
      <c r="C46" s="100" t="s">
        <v>594</v>
      </c>
      <c r="D46" s="29" t="s">
        <v>595</v>
      </c>
      <c r="E46" s="101" t="s">
        <v>345</v>
      </c>
      <c r="F46" s="96" t="s">
        <v>596</v>
      </c>
      <c r="G46" s="102">
        <v>2</v>
      </c>
      <c r="H46" s="103" t="s">
        <v>420</v>
      </c>
      <c r="I46" s="103">
        <f>COUNTIF(CustomScript[[#All],[Related SC]],MasterTable[[#This Row],[WCAG guideline]])</f>
        <v>2</v>
      </c>
      <c r="J46" s="103">
        <v>1</v>
      </c>
      <c r="K46" s="103">
        <v>1</v>
      </c>
      <c r="L46" s="103">
        <v>0</v>
      </c>
      <c r="M46" s="103">
        <v>0</v>
      </c>
      <c r="N46" s="103">
        <v>1</v>
      </c>
      <c r="O46" s="103">
        <v>1</v>
      </c>
      <c r="P46" s="103">
        <v>0</v>
      </c>
      <c r="Q46" s="103" t="s">
        <v>105</v>
      </c>
      <c r="R46" s="103" t="s">
        <v>420</v>
      </c>
      <c r="S46" s="103" t="s">
        <v>105</v>
      </c>
      <c r="T46" s="103" t="s">
        <v>420</v>
      </c>
      <c r="U46" s="103" t="s">
        <v>105</v>
      </c>
      <c r="V46" s="103" t="s">
        <v>420</v>
      </c>
    </row>
    <row r="47" spans="1:22" ht="48" customHeight="1" x14ac:dyDescent="0.25">
      <c r="B47" s="103"/>
      <c r="C47" s="100" t="s">
        <v>597</v>
      </c>
      <c r="D47" s="29" t="s">
        <v>598</v>
      </c>
      <c r="E47" s="101" t="s">
        <v>346</v>
      </c>
      <c r="F47" s="96" t="s">
        <v>599</v>
      </c>
      <c r="G47" s="102">
        <v>2</v>
      </c>
      <c r="H47" s="103" t="s">
        <v>420</v>
      </c>
      <c r="I47" s="103">
        <f>COUNTIF(CustomScript[[#All],[Related SC]],MasterTable[[#This Row],[WCAG guideline]])</f>
        <v>2</v>
      </c>
      <c r="J47" s="103">
        <v>1</v>
      </c>
      <c r="K47" s="103">
        <v>0</v>
      </c>
      <c r="L47" s="103">
        <v>0</v>
      </c>
      <c r="M47" s="103">
        <v>0</v>
      </c>
      <c r="N47" s="103">
        <v>1</v>
      </c>
      <c r="O47" s="103">
        <v>1</v>
      </c>
      <c r="P47" s="103">
        <v>0</v>
      </c>
      <c r="Q47" s="103" t="s">
        <v>105</v>
      </c>
      <c r="R47" s="103" t="s">
        <v>420</v>
      </c>
      <c r="S47" s="103" t="s">
        <v>105</v>
      </c>
      <c r="T47" s="103" t="s">
        <v>420</v>
      </c>
      <c r="U47" s="103" t="s">
        <v>105</v>
      </c>
      <c r="V47" s="103" t="s">
        <v>420</v>
      </c>
    </row>
    <row r="48" spans="1:22" ht="55.2" x14ac:dyDescent="0.25">
      <c r="B48" s="103"/>
      <c r="C48" s="100" t="s">
        <v>600</v>
      </c>
      <c r="D48" s="29" t="s">
        <v>601</v>
      </c>
      <c r="E48" s="101" t="s">
        <v>347</v>
      </c>
      <c r="F48" s="96" t="s">
        <v>602</v>
      </c>
      <c r="G48" s="102">
        <v>2</v>
      </c>
      <c r="H48" s="103" t="s">
        <v>420</v>
      </c>
      <c r="I48" s="103">
        <f>COUNTIF(CustomScript[[#All],[Related SC]],MasterTable[[#This Row],[WCAG guideline]])</f>
        <v>5</v>
      </c>
      <c r="J48" s="103">
        <v>1</v>
      </c>
      <c r="K48" s="103">
        <v>1</v>
      </c>
      <c r="L48" s="103">
        <v>0</v>
      </c>
      <c r="M48" s="103">
        <v>0</v>
      </c>
      <c r="N48" s="103">
        <v>1</v>
      </c>
      <c r="O48" s="103">
        <v>1</v>
      </c>
      <c r="P48" s="103">
        <v>0</v>
      </c>
      <c r="Q48" s="103" t="s">
        <v>105</v>
      </c>
      <c r="R48" s="103" t="s">
        <v>420</v>
      </c>
      <c r="S48" s="103" t="s">
        <v>105</v>
      </c>
      <c r="T48" s="103" t="s">
        <v>420</v>
      </c>
      <c r="U48" s="103" t="s">
        <v>105</v>
      </c>
      <c r="V48" s="103" t="s">
        <v>420</v>
      </c>
    </row>
    <row r="49" spans="2:22" ht="69" x14ac:dyDescent="0.25">
      <c r="B49" s="103"/>
      <c r="C49" s="100" t="s">
        <v>603</v>
      </c>
      <c r="D49" s="29" t="s">
        <v>604</v>
      </c>
      <c r="E49" s="101" t="s">
        <v>348</v>
      </c>
      <c r="F49" s="96" t="s">
        <v>605</v>
      </c>
      <c r="G49" s="102">
        <v>2</v>
      </c>
      <c r="H49" s="103" t="s">
        <v>420</v>
      </c>
      <c r="I49" s="103">
        <f>COUNTIF(CustomScript[[#All],[Related SC]],MasterTable[[#This Row],[WCAG guideline]])</f>
        <v>1</v>
      </c>
      <c r="J49" s="103">
        <v>1</v>
      </c>
      <c r="K49" s="103">
        <v>1</v>
      </c>
      <c r="L49" s="103">
        <v>0</v>
      </c>
      <c r="M49" s="103">
        <v>0</v>
      </c>
      <c r="N49" s="103">
        <v>1</v>
      </c>
      <c r="O49" s="103">
        <v>1</v>
      </c>
      <c r="P49" s="103">
        <v>0</v>
      </c>
      <c r="Q49" s="103" t="s">
        <v>105</v>
      </c>
      <c r="R49" s="103" t="s">
        <v>420</v>
      </c>
      <c r="S49" s="103" t="s">
        <v>105</v>
      </c>
      <c r="T49" s="103" t="s">
        <v>420</v>
      </c>
      <c r="U49" s="103" t="s">
        <v>105</v>
      </c>
      <c r="V49" s="103" t="s">
        <v>420</v>
      </c>
    </row>
    <row r="50" spans="2:22" ht="41.4" x14ac:dyDescent="0.25">
      <c r="B50" s="103"/>
      <c r="C50" s="100" t="s">
        <v>606</v>
      </c>
      <c r="D50" s="29" t="s">
        <v>607</v>
      </c>
      <c r="E50" s="101" t="s">
        <v>349</v>
      </c>
      <c r="F50" s="96" t="s">
        <v>608</v>
      </c>
      <c r="G50" s="102">
        <v>2</v>
      </c>
      <c r="H50" s="103" t="s">
        <v>443</v>
      </c>
      <c r="I50" s="103">
        <f>COUNTIF(CustomScript[[#All],[Related SC]],MasterTable[[#This Row],[WCAG guideline]])</f>
        <v>1</v>
      </c>
      <c r="J50" s="103">
        <v>1</v>
      </c>
      <c r="K50" s="103">
        <v>1</v>
      </c>
      <c r="L50" s="103">
        <v>0</v>
      </c>
      <c r="M50" s="103">
        <v>0</v>
      </c>
      <c r="N50" s="103">
        <v>1</v>
      </c>
      <c r="O50" s="103">
        <v>1</v>
      </c>
      <c r="P50" s="103">
        <v>0</v>
      </c>
      <c r="Q50" s="103" t="s">
        <v>105</v>
      </c>
      <c r="R50" s="103" t="s">
        <v>443</v>
      </c>
      <c r="S50" s="103" t="s">
        <v>105</v>
      </c>
      <c r="T50" s="103" t="s">
        <v>443</v>
      </c>
      <c r="U50" s="103" t="s">
        <v>105</v>
      </c>
      <c r="V50" s="103" t="s">
        <v>443</v>
      </c>
    </row>
    <row r="51" spans="2:22" x14ac:dyDescent="0.25">
      <c r="B51" s="103"/>
      <c r="C51" s="100" t="s">
        <v>609</v>
      </c>
      <c r="D51" s="29" t="s">
        <v>610</v>
      </c>
      <c r="E51" s="101" t="s">
        <v>350</v>
      </c>
      <c r="F51" s="96" t="s">
        <v>611</v>
      </c>
      <c r="G51" s="102">
        <v>2</v>
      </c>
      <c r="H51" s="103" t="s">
        <v>443</v>
      </c>
      <c r="I51" s="103">
        <f>COUNTIF(CustomScript[[#All],[Related SC]],MasterTable[[#This Row],[WCAG guideline]])</f>
        <v>2</v>
      </c>
      <c r="J51" s="103">
        <v>1</v>
      </c>
      <c r="K51" s="103">
        <v>1</v>
      </c>
      <c r="L51" s="103">
        <v>0</v>
      </c>
      <c r="M51" s="103">
        <v>0</v>
      </c>
      <c r="N51" s="103">
        <v>1</v>
      </c>
      <c r="O51" s="103">
        <v>0</v>
      </c>
      <c r="P51" s="103">
        <v>0</v>
      </c>
      <c r="Q51" s="103" t="s">
        <v>105</v>
      </c>
      <c r="R51" s="103" t="s">
        <v>443</v>
      </c>
      <c r="S51" s="103" t="s">
        <v>105</v>
      </c>
      <c r="T51" s="103" t="s">
        <v>443</v>
      </c>
      <c r="U51" s="103" t="s">
        <v>105</v>
      </c>
      <c r="V51" s="103" t="s">
        <v>443</v>
      </c>
    </row>
    <row r="52" spans="2:22" ht="41.4" x14ac:dyDescent="0.25">
      <c r="B52" s="103"/>
      <c r="C52" s="100" t="s">
        <v>612</v>
      </c>
      <c r="D52" s="29" t="s">
        <v>613</v>
      </c>
      <c r="E52" s="101" t="s">
        <v>351</v>
      </c>
      <c r="F52" s="96" t="s">
        <v>614</v>
      </c>
      <c r="G52" s="102">
        <v>2</v>
      </c>
      <c r="H52" s="103" t="s">
        <v>443</v>
      </c>
      <c r="I52" s="103">
        <f>COUNTIF(CustomScript[[#All],[Related SC]],MasterTable[[#This Row],[WCAG guideline]])</f>
        <v>2</v>
      </c>
      <c r="J52" s="103">
        <v>0</v>
      </c>
      <c r="K52" s="103">
        <v>1</v>
      </c>
      <c r="L52" s="103">
        <v>0</v>
      </c>
      <c r="M52" s="103">
        <v>0</v>
      </c>
      <c r="N52" s="103">
        <v>1</v>
      </c>
      <c r="O52" s="103">
        <v>0</v>
      </c>
      <c r="P52" s="103">
        <v>0</v>
      </c>
      <c r="Q52" s="103" t="s">
        <v>105</v>
      </c>
      <c r="R52" s="103" t="s">
        <v>443</v>
      </c>
      <c r="S52" s="103" t="s">
        <v>105</v>
      </c>
      <c r="T52" s="103" t="s">
        <v>443</v>
      </c>
      <c r="U52" s="103" t="s">
        <v>105</v>
      </c>
      <c r="V52" s="103" t="s">
        <v>443</v>
      </c>
    </row>
    <row r="53" spans="2:22" ht="27.6" x14ac:dyDescent="0.25">
      <c r="B53" s="103"/>
      <c r="C53" s="100" t="s">
        <v>615</v>
      </c>
      <c r="D53" s="29" t="s">
        <v>616</v>
      </c>
      <c r="E53" s="101" t="s">
        <v>352</v>
      </c>
      <c r="F53" s="96" t="s">
        <v>617</v>
      </c>
      <c r="G53" s="102">
        <v>2</v>
      </c>
      <c r="H53" s="103" t="s">
        <v>455</v>
      </c>
      <c r="I53" s="103">
        <f>COUNTIF(CustomScript[[#All],[Related SC]],MasterTable[[#This Row],[WCAG guideline]])</f>
        <v>1</v>
      </c>
      <c r="J53" s="103">
        <v>1</v>
      </c>
      <c r="K53" s="103">
        <v>1</v>
      </c>
      <c r="L53" s="103">
        <v>0</v>
      </c>
      <c r="M53" s="103">
        <v>0</v>
      </c>
      <c r="N53" s="103">
        <v>1</v>
      </c>
      <c r="O53" s="103">
        <v>0</v>
      </c>
      <c r="P53" s="103">
        <v>0</v>
      </c>
      <c r="Q53" s="103" t="s">
        <v>105</v>
      </c>
      <c r="R53" s="103" t="s">
        <v>455</v>
      </c>
      <c r="S53" s="103" t="s">
        <v>105</v>
      </c>
      <c r="T53" s="103" t="s">
        <v>455</v>
      </c>
      <c r="U53" s="103" t="s">
        <v>105</v>
      </c>
      <c r="V53" s="103" t="s">
        <v>455</v>
      </c>
    </row>
    <row r="54" spans="2:22" ht="72" customHeight="1" x14ac:dyDescent="0.25">
      <c r="B54" s="103"/>
      <c r="C54" s="100" t="s">
        <v>618</v>
      </c>
      <c r="D54" s="29" t="s">
        <v>619</v>
      </c>
      <c r="E54" s="101" t="s">
        <v>353</v>
      </c>
      <c r="F54" s="96" t="s">
        <v>620</v>
      </c>
      <c r="G54" s="102">
        <v>2</v>
      </c>
      <c r="H54" s="103" t="s">
        <v>455</v>
      </c>
      <c r="I54" s="103">
        <f>COUNTIF(CustomScript[[#All],[Related SC]],MasterTable[[#This Row],[WCAG guideline]])</f>
        <v>1</v>
      </c>
      <c r="J54" s="103">
        <v>1</v>
      </c>
      <c r="K54" s="103">
        <v>0</v>
      </c>
      <c r="L54" s="103">
        <v>0</v>
      </c>
      <c r="M54" s="103">
        <v>0</v>
      </c>
      <c r="N54" s="103">
        <v>1</v>
      </c>
      <c r="O54" s="103">
        <v>0</v>
      </c>
      <c r="P54" s="103">
        <v>0</v>
      </c>
      <c r="Q54" s="103" t="s">
        <v>105</v>
      </c>
      <c r="R54" s="103" t="s">
        <v>455</v>
      </c>
      <c r="S54" s="103" t="s">
        <v>105</v>
      </c>
      <c r="T54" s="103" t="s">
        <v>455</v>
      </c>
      <c r="U54" s="103" t="s">
        <v>105</v>
      </c>
      <c r="V54" s="103" t="s">
        <v>455</v>
      </c>
    </row>
    <row r="55" spans="2:22" ht="34.5" customHeight="1" x14ac:dyDescent="0.25">
      <c r="B55" s="103"/>
      <c r="C55" s="100" t="s">
        <v>621</v>
      </c>
      <c r="D55" s="29" t="s">
        <v>622</v>
      </c>
      <c r="E55" s="101" t="s">
        <v>354</v>
      </c>
      <c r="F55" s="96" t="s">
        <v>623</v>
      </c>
      <c r="G55" s="102">
        <v>2</v>
      </c>
      <c r="H55" s="103" t="s">
        <v>455</v>
      </c>
      <c r="I55" s="103">
        <f>COUNTIF(CustomScript[[#All],[Related SC]],MasterTable[[#This Row],[WCAG guideline]])</f>
        <v>1</v>
      </c>
      <c r="J55" s="103">
        <v>1</v>
      </c>
      <c r="K55" s="103">
        <v>0</v>
      </c>
      <c r="L55" s="103">
        <v>0</v>
      </c>
      <c r="M55" s="103">
        <v>0</v>
      </c>
      <c r="N55" s="103">
        <v>0</v>
      </c>
      <c r="O55" s="103">
        <v>0</v>
      </c>
      <c r="P55" s="103">
        <v>0</v>
      </c>
      <c r="Q55" s="103" t="s">
        <v>105</v>
      </c>
      <c r="R55" s="103" t="s">
        <v>455</v>
      </c>
      <c r="S55" s="103" t="s">
        <v>105</v>
      </c>
      <c r="T55" s="103" t="s">
        <v>455</v>
      </c>
      <c r="U55" s="103" t="s">
        <v>105</v>
      </c>
      <c r="V55" s="103" t="s">
        <v>455</v>
      </c>
    </row>
    <row r="56" spans="2:22" ht="62.25" customHeight="1" x14ac:dyDescent="0.25">
      <c r="B56" s="103"/>
      <c r="C56" s="100" t="s">
        <v>624</v>
      </c>
      <c r="D56" s="29" t="s">
        <v>625</v>
      </c>
      <c r="E56" s="101" t="s">
        <v>391</v>
      </c>
      <c r="F56" s="96" t="s">
        <v>626</v>
      </c>
      <c r="G56" s="102">
        <v>2.2000000000000002</v>
      </c>
      <c r="H56" s="103" t="s">
        <v>443</v>
      </c>
      <c r="I56" s="103">
        <f>COUNTIF(CustomScript[[#All],[Related SC]],MasterTable[[#This Row],[WCAG guideline]])</f>
        <v>1</v>
      </c>
      <c r="J56" s="103">
        <v>0</v>
      </c>
      <c r="K56" s="103">
        <v>1</v>
      </c>
      <c r="L56" s="103">
        <v>0</v>
      </c>
      <c r="M56" s="103">
        <v>0</v>
      </c>
      <c r="N56" s="103">
        <v>1</v>
      </c>
      <c r="O56" s="103">
        <v>1</v>
      </c>
      <c r="P56" s="103">
        <v>0</v>
      </c>
      <c r="Q56" s="103" t="s">
        <v>497</v>
      </c>
      <c r="R56" s="103" t="s">
        <v>498</v>
      </c>
      <c r="S56" s="103" t="s">
        <v>497</v>
      </c>
      <c r="T56" s="103" t="s">
        <v>498</v>
      </c>
      <c r="U56" s="103" t="s">
        <v>105</v>
      </c>
      <c r="V56" s="103" t="s">
        <v>443</v>
      </c>
    </row>
    <row r="57" spans="2:22" ht="66" customHeight="1" x14ac:dyDescent="0.25">
      <c r="B57" s="103"/>
      <c r="C57" s="100" t="s">
        <v>627</v>
      </c>
      <c r="D57" s="29" t="s">
        <v>628</v>
      </c>
      <c r="E57" s="101" t="s">
        <v>392</v>
      </c>
      <c r="F57" s="96" t="s">
        <v>629</v>
      </c>
      <c r="G57" s="102">
        <v>2.2000000000000002</v>
      </c>
      <c r="H57" s="103" t="s">
        <v>455</v>
      </c>
      <c r="I57" s="103">
        <f>COUNTIF(CustomScript[[#All],[Related SC]],MasterTable[[#This Row],[WCAG guideline]])</f>
        <v>1</v>
      </c>
      <c r="J57" s="103">
        <v>0</v>
      </c>
      <c r="K57" s="103">
        <v>1</v>
      </c>
      <c r="L57" s="103">
        <v>0</v>
      </c>
      <c r="M57" s="103">
        <v>0</v>
      </c>
      <c r="N57" s="103">
        <v>1</v>
      </c>
      <c r="O57" s="103">
        <v>1</v>
      </c>
      <c r="P57" s="103">
        <v>0</v>
      </c>
      <c r="Q57" s="103" t="s">
        <v>497</v>
      </c>
      <c r="R57" s="103" t="s">
        <v>498</v>
      </c>
      <c r="S57" s="103" t="s">
        <v>497</v>
      </c>
      <c r="T57" s="103" t="s">
        <v>498</v>
      </c>
      <c r="U57" s="103" t="s">
        <v>105</v>
      </c>
      <c r="V57" s="103" t="s">
        <v>455</v>
      </c>
    </row>
    <row r="58" spans="2:22" ht="108" customHeight="1" x14ac:dyDescent="0.25">
      <c r="B58" s="103"/>
      <c r="C58" s="100" t="s">
        <v>630</v>
      </c>
      <c r="D58" s="29" t="s">
        <v>631</v>
      </c>
      <c r="E58" s="101" t="s">
        <v>393</v>
      </c>
      <c r="F58" s="96" t="s">
        <v>632</v>
      </c>
      <c r="G58" s="102">
        <v>2.2000000000000002</v>
      </c>
      <c r="H58" s="103" t="s">
        <v>455</v>
      </c>
      <c r="I58" s="103">
        <f>COUNTIF(CustomScript[[#All],[Related SC]],MasterTable[[#This Row],[WCAG guideline]])</f>
        <v>1</v>
      </c>
      <c r="J58" s="103">
        <v>0</v>
      </c>
      <c r="K58" s="103">
        <v>1</v>
      </c>
      <c r="L58" s="103">
        <v>1</v>
      </c>
      <c r="M58" s="103">
        <v>0</v>
      </c>
      <c r="N58" s="103">
        <v>1</v>
      </c>
      <c r="O58" s="103">
        <v>0</v>
      </c>
      <c r="P58" s="103">
        <v>0</v>
      </c>
      <c r="Q58" s="103" t="s">
        <v>497</v>
      </c>
      <c r="R58" s="103" t="s">
        <v>498</v>
      </c>
      <c r="S58" s="103" t="s">
        <v>497</v>
      </c>
      <c r="T58" s="103" t="s">
        <v>498</v>
      </c>
      <c r="U58" s="103" t="s">
        <v>105</v>
      </c>
      <c r="V58" s="103" t="s">
        <v>455</v>
      </c>
    </row>
    <row r="59" spans="2:22" ht="55.2" x14ac:dyDescent="0.25">
      <c r="B59" s="103"/>
      <c r="C59" s="100" t="s">
        <v>633</v>
      </c>
      <c r="D59" s="29" t="s">
        <v>634</v>
      </c>
      <c r="E59" s="101" t="s">
        <v>383</v>
      </c>
      <c r="F59" s="96" t="s">
        <v>635</v>
      </c>
      <c r="G59" s="102">
        <v>2.1</v>
      </c>
      <c r="H59" s="103" t="s">
        <v>420</v>
      </c>
      <c r="I59" s="103">
        <f>COUNTIF(CustomScript[[#All],[Related SC]],MasterTable[[#This Row],[WCAG guideline]])</f>
        <v>1</v>
      </c>
      <c r="J59" s="103">
        <v>0</v>
      </c>
      <c r="K59" s="103">
        <v>0</v>
      </c>
      <c r="L59" s="103">
        <v>0</v>
      </c>
      <c r="M59" s="103">
        <v>0</v>
      </c>
      <c r="N59" s="103">
        <v>1</v>
      </c>
      <c r="O59" s="103">
        <v>1</v>
      </c>
      <c r="P59" s="103">
        <v>0</v>
      </c>
      <c r="Q59" s="103" t="s">
        <v>497</v>
      </c>
      <c r="R59" s="103" t="s">
        <v>498</v>
      </c>
      <c r="S59" s="103" t="s">
        <v>105</v>
      </c>
      <c r="T59" s="103" t="s">
        <v>420</v>
      </c>
      <c r="U59" s="103" t="s">
        <v>105</v>
      </c>
      <c r="V59" s="103" t="s">
        <v>420</v>
      </c>
    </row>
    <row r="60" spans="2:22" ht="41.4" x14ac:dyDescent="0.25">
      <c r="B60" s="103"/>
      <c r="C60" s="100" t="s">
        <v>636</v>
      </c>
      <c r="D60" s="29" t="s">
        <v>637</v>
      </c>
      <c r="E60" s="101" t="s">
        <v>384</v>
      </c>
      <c r="F60" s="96" t="s">
        <v>638</v>
      </c>
      <c r="G60" s="102">
        <v>2.1</v>
      </c>
      <c r="H60" s="103" t="s">
        <v>420</v>
      </c>
      <c r="I60" s="103">
        <f>COUNTIF(CustomScript[[#All],[Related SC]],MasterTable[[#This Row],[WCAG guideline]])</f>
        <v>1</v>
      </c>
      <c r="J60" s="103">
        <v>0</v>
      </c>
      <c r="K60" s="103">
        <v>0</v>
      </c>
      <c r="L60" s="103">
        <v>0</v>
      </c>
      <c r="M60" s="103">
        <v>0</v>
      </c>
      <c r="N60" s="103">
        <v>1</v>
      </c>
      <c r="O60" s="103">
        <v>1</v>
      </c>
      <c r="P60" s="103">
        <v>0</v>
      </c>
      <c r="Q60" s="103" t="s">
        <v>497</v>
      </c>
      <c r="R60" s="103" t="s">
        <v>498</v>
      </c>
      <c r="S60" s="103" t="s">
        <v>105</v>
      </c>
      <c r="T60" s="103" t="s">
        <v>420</v>
      </c>
      <c r="U60" s="103" t="s">
        <v>105</v>
      </c>
      <c r="V60" s="103" t="s">
        <v>420</v>
      </c>
    </row>
    <row r="61" spans="2:22" ht="41.4" x14ac:dyDescent="0.25">
      <c r="B61" s="103"/>
      <c r="C61" s="100" t="s">
        <v>639</v>
      </c>
      <c r="D61" s="29" t="s">
        <v>640</v>
      </c>
      <c r="E61" s="101" t="s">
        <v>385</v>
      </c>
      <c r="F61" s="96" t="s">
        <v>641</v>
      </c>
      <c r="G61" s="102">
        <v>2.1</v>
      </c>
      <c r="H61" s="103" t="s">
        <v>420</v>
      </c>
      <c r="I61" s="103">
        <f>COUNTIF(CustomScript[[#All],[Related SC]],MasterTable[[#This Row],[WCAG guideline]])</f>
        <v>1</v>
      </c>
      <c r="J61" s="103">
        <v>0</v>
      </c>
      <c r="K61" s="103">
        <v>0</v>
      </c>
      <c r="L61" s="103">
        <v>0</v>
      </c>
      <c r="M61" s="103">
        <v>0</v>
      </c>
      <c r="N61" s="103">
        <v>1</v>
      </c>
      <c r="O61" s="103">
        <v>0</v>
      </c>
      <c r="P61" s="103">
        <v>0</v>
      </c>
      <c r="Q61" s="103" t="s">
        <v>497</v>
      </c>
      <c r="R61" s="103" t="s">
        <v>498</v>
      </c>
      <c r="S61" s="103" t="s">
        <v>105</v>
      </c>
      <c r="T61" s="103" t="s">
        <v>420</v>
      </c>
      <c r="U61" s="103" t="s">
        <v>105</v>
      </c>
      <c r="V61" s="103" t="s">
        <v>420</v>
      </c>
    </row>
    <row r="62" spans="2:22" ht="69" x14ac:dyDescent="0.25">
      <c r="B62" s="103"/>
      <c r="C62" s="100" t="s">
        <v>642</v>
      </c>
      <c r="D62" s="29" t="s">
        <v>643</v>
      </c>
      <c r="E62" s="101" t="s">
        <v>386</v>
      </c>
      <c r="F62" s="96" t="s">
        <v>644</v>
      </c>
      <c r="G62" s="102">
        <v>2.1</v>
      </c>
      <c r="H62" s="103" t="s">
        <v>420</v>
      </c>
      <c r="I62" s="103">
        <f>COUNTIF(CustomScript[[#All],[Related SC]],MasterTable[[#This Row],[WCAG guideline]])</f>
        <v>3</v>
      </c>
      <c r="J62" s="103">
        <v>0</v>
      </c>
      <c r="K62" s="103">
        <v>0</v>
      </c>
      <c r="L62" s="103">
        <v>0</v>
      </c>
      <c r="M62" s="103">
        <v>0</v>
      </c>
      <c r="N62" s="103">
        <v>1</v>
      </c>
      <c r="O62" s="103">
        <v>0</v>
      </c>
      <c r="P62" s="103">
        <v>0</v>
      </c>
      <c r="Q62" s="103" t="s">
        <v>497</v>
      </c>
      <c r="R62" s="103" t="s">
        <v>498</v>
      </c>
      <c r="S62" s="103" t="s">
        <v>105</v>
      </c>
      <c r="T62" s="103" t="s">
        <v>420</v>
      </c>
      <c r="U62" s="103" t="s">
        <v>105</v>
      </c>
      <c r="V62" s="103" t="s">
        <v>420</v>
      </c>
    </row>
    <row r="63" spans="2:22" ht="41.4" x14ac:dyDescent="0.25">
      <c r="B63" s="103"/>
      <c r="C63" s="100" t="s">
        <v>645</v>
      </c>
      <c r="D63" s="29" t="s">
        <v>646</v>
      </c>
      <c r="E63" s="101" t="s">
        <v>387</v>
      </c>
      <c r="F63" s="96" t="s">
        <v>647</v>
      </c>
      <c r="G63" s="102">
        <v>2.1</v>
      </c>
      <c r="H63" s="103" t="s">
        <v>455</v>
      </c>
      <c r="I63" s="103">
        <f>COUNTIF(CustomScript[[#All],[Related SC]],MasterTable[[#This Row],[WCAG guideline]])</f>
        <v>1</v>
      </c>
      <c r="J63" s="103">
        <v>0</v>
      </c>
      <c r="K63" s="103">
        <v>1</v>
      </c>
      <c r="L63" s="103">
        <v>0</v>
      </c>
      <c r="M63" s="103">
        <v>0</v>
      </c>
      <c r="N63" s="103">
        <v>0</v>
      </c>
      <c r="O63" s="103">
        <v>1</v>
      </c>
      <c r="P63" s="103">
        <v>0</v>
      </c>
      <c r="Q63" s="103" t="s">
        <v>497</v>
      </c>
      <c r="R63" s="103" t="s">
        <v>498</v>
      </c>
      <c r="S63" s="103" t="s">
        <v>105</v>
      </c>
      <c r="T63" s="103" t="s">
        <v>455</v>
      </c>
      <c r="U63" s="103" t="s">
        <v>105</v>
      </c>
      <c r="V63" s="103" t="s">
        <v>455</v>
      </c>
    </row>
    <row r="64" spans="2:22" ht="55.2" x14ac:dyDescent="0.25">
      <c r="B64" s="103"/>
      <c r="C64" s="100" t="s">
        <v>648</v>
      </c>
      <c r="D64" s="29" t="s">
        <v>649</v>
      </c>
      <c r="E64" s="101" t="s">
        <v>388</v>
      </c>
      <c r="F64" s="96" t="s">
        <v>650</v>
      </c>
      <c r="G64" s="102">
        <v>2.1</v>
      </c>
      <c r="H64" s="103" t="s">
        <v>455</v>
      </c>
      <c r="I64" s="103">
        <f>COUNTIF(CustomScript[[#All],[Related SC]],MasterTable[[#This Row],[WCAG guideline]])</f>
        <v>1</v>
      </c>
      <c r="J64" s="103">
        <v>1</v>
      </c>
      <c r="K64" s="103">
        <v>0</v>
      </c>
      <c r="L64" s="103">
        <v>0</v>
      </c>
      <c r="M64" s="103">
        <v>1</v>
      </c>
      <c r="N64" s="103">
        <v>1</v>
      </c>
      <c r="O64" s="103">
        <v>1</v>
      </c>
      <c r="P64" s="103">
        <v>0</v>
      </c>
      <c r="Q64" s="103" t="s">
        <v>497</v>
      </c>
      <c r="R64" s="103" t="s">
        <v>498</v>
      </c>
      <c r="S64" s="103" t="s">
        <v>105</v>
      </c>
      <c r="T64" s="103" t="s">
        <v>455</v>
      </c>
      <c r="U64" s="103" t="s">
        <v>105</v>
      </c>
      <c r="V64" s="103" t="s">
        <v>455</v>
      </c>
    </row>
    <row r="65" spans="1:22" ht="45.75" customHeight="1" x14ac:dyDescent="0.25">
      <c r="B65" s="103"/>
      <c r="C65" s="100" t="s">
        <v>651</v>
      </c>
      <c r="D65" s="29" t="s">
        <v>652</v>
      </c>
      <c r="E65" s="101" t="s">
        <v>394</v>
      </c>
      <c r="F65" s="96" t="s">
        <v>653</v>
      </c>
      <c r="G65" s="102">
        <v>2.2000000000000002</v>
      </c>
      <c r="H65" s="103" t="s">
        <v>443</v>
      </c>
      <c r="I65" s="103">
        <f>COUNTIF(CustomScript[[#All],[Related SC]],MasterTable[[#This Row],[WCAG guideline]])</f>
        <v>1</v>
      </c>
      <c r="J65" s="103">
        <v>1</v>
      </c>
      <c r="K65" s="103">
        <v>0</v>
      </c>
      <c r="L65" s="103">
        <v>0</v>
      </c>
      <c r="M65" s="103">
        <v>0</v>
      </c>
      <c r="N65" s="103">
        <v>1</v>
      </c>
      <c r="O65" s="103">
        <v>1</v>
      </c>
      <c r="P65" s="103">
        <v>0</v>
      </c>
      <c r="Q65" s="103" t="s">
        <v>497</v>
      </c>
      <c r="R65" s="103" t="s">
        <v>498</v>
      </c>
      <c r="S65" s="103" t="s">
        <v>497</v>
      </c>
      <c r="T65" s="103" t="s">
        <v>498</v>
      </c>
      <c r="U65" s="103" t="s">
        <v>105</v>
      </c>
      <c r="V65" s="103" t="s">
        <v>443</v>
      </c>
    </row>
    <row r="66" spans="1:22" ht="45.75" customHeight="1" x14ac:dyDescent="0.25">
      <c r="B66" s="103"/>
      <c r="C66" s="100" t="s">
        <v>654</v>
      </c>
      <c r="D66" s="29" t="s">
        <v>655</v>
      </c>
      <c r="E66" s="101" t="s">
        <v>395</v>
      </c>
      <c r="F66" s="96" t="s">
        <v>656</v>
      </c>
      <c r="G66" s="102">
        <v>2.2000000000000002</v>
      </c>
      <c r="H66" s="103" t="s">
        <v>443</v>
      </c>
      <c r="I66" s="103">
        <f>COUNTIF(CustomScript[[#All],[Related SC]],MasterTable[[#This Row],[WCAG guideline]])</f>
        <v>1</v>
      </c>
      <c r="J66" s="103">
        <v>0</v>
      </c>
      <c r="K66" s="103">
        <v>0</v>
      </c>
      <c r="L66" s="103">
        <v>0</v>
      </c>
      <c r="M66" s="103">
        <v>0</v>
      </c>
      <c r="N66" s="103">
        <v>0</v>
      </c>
      <c r="O66" s="103">
        <v>1</v>
      </c>
      <c r="P66" s="103">
        <v>0</v>
      </c>
      <c r="Q66" s="103" t="s">
        <v>497</v>
      </c>
      <c r="R66" s="103" t="s">
        <v>498</v>
      </c>
      <c r="S66" s="103" t="s">
        <v>497</v>
      </c>
      <c r="T66" s="103" t="s">
        <v>498</v>
      </c>
      <c r="U66" s="103" t="s">
        <v>105</v>
      </c>
      <c r="V66" s="103" t="s">
        <v>443</v>
      </c>
    </row>
    <row r="67" spans="1:22" ht="27.6" x14ac:dyDescent="0.25">
      <c r="A67" s="109"/>
      <c r="B67" s="38" t="s">
        <v>657</v>
      </c>
      <c r="C67" s="100" t="s">
        <v>658</v>
      </c>
      <c r="D67" s="29" t="s">
        <v>659</v>
      </c>
      <c r="E67" s="101" t="s">
        <v>286</v>
      </c>
      <c r="F67" s="96" t="s">
        <v>660</v>
      </c>
      <c r="G67" s="102">
        <v>2</v>
      </c>
      <c r="H67" s="103" t="s">
        <v>420</v>
      </c>
      <c r="I67" s="103">
        <f>COUNTIF(CustomScript[[#All],[Related SC]],MasterTable[[#This Row],[WCAG guideline]])</f>
        <v>1</v>
      </c>
      <c r="J67" s="103">
        <v>1</v>
      </c>
      <c r="K67" s="103">
        <v>0</v>
      </c>
      <c r="L67" s="103">
        <v>0</v>
      </c>
      <c r="M67" s="103">
        <v>0</v>
      </c>
      <c r="N67" s="103">
        <v>1</v>
      </c>
      <c r="O67" s="103">
        <v>1</v>
      </c>
      <c r="P67" s="103">
        <v>0</v>
      </c>
      <c r="Q67" s="103" t="s">
        <v>105</v>
      </c>
      <c r="R67" s="103" t="s">
        <v>420</v>
      </c>
      <c r="S67" s="103" t="s">
        <v>105</v>
      </c>
      <c r="T67" s="103" t="s">
        <v>420</v>
      </c>
      <c r="U67" s="103" t="s">
        <v>105</v>
      </c>
      <c r="V67" s="103" t="s">
        <v>420</v>
      </c>
    </row>
    <row r="68" spans="1:22" ht="84" x14ac:dyDescent="0.35">
      <c r="A68" s="108"/>
      <c r="B68" s="103"/>
      <c r="C68" s="100" t="s">
        <v>661</v>
      </c>
      <c r="D68" s="29" t="s">
        <v>662</v>
      </c>
      <c r="E68" s="101" t="s">
        <v>355</v>
      </c>
      <c r="F68" s="96" t="s">
        <v>663</v>
      </c>
      <c r="G68" s="102">
        <v>2</v>
      </c>
      <c r="H68" s="103" t="s">
        <v>443</v>
      </c>
      <c r="I68" s="103">
        <f>COUNTIF(CustomScript[[#All],[Related SC]],MasterTable[[#This Row],[WCAG guideline]])</f>
        <v>1</v>
      </c>
      <c r="J68" s="103">
        <v>1</v>
      </c>
      <c r="K68" s="103">
        <v>1</v>
      </c>
      <c r="L68" s="103">
        <v>0</v>
      </c>
      <c r="M68" s="103">
        <v>0</v>
      </c>
      <c r="N68" s="103">
        <v>1</v>
      </c>
      <c r="O68" s="103">
        <v>1</v>
      </c>
      <c r="P68" s="103">
        <v>0</v>
      </c>
      <c r="Q68" s="103" t="s">
        <v>105</v>
      </c>
      <c r="R68" s="103" t="s">
        <v>443</v>
      </c>
      <c r="S68" s="103" t="s">
        <v>105</v>
      </c>
      <c r="T68" s="103" t="s">
        <v>443</v>
      </c>
      <c r="U68" s="103" t="s">
        <v>105</v>
      </c>
      <c r="V68" s="103" t="s">
        <v>443</v>
      </c>
    </row>
    <row r="69" spans="1:22" ht="41.4" x14ac:dyDescent="0.25">
      <c r="B69" s="103"/>
      <c r="C69" s="100" t="s">
        <v>664</v>
      </c>
      <c r="D69" s="29" t="s">
        <v>665</v>
      </c>
      <c r="E69" s="101" t="s">
        <v>356</v>
      </c>
      <c r="F69" s="96" t="s">
        <v>666</v>
      </c>
      <c r="G69" s="102">
        <v>2</v>
      </c>
      <c r="H69" s="103" t="s">
        <v>455</v>
      </c>
      <c r="I69" s="103">
        <f>COUNTIF(CustomScript[[#All],[Related SC]],MasterTable[[#This Row],[WCAG guideline]])</f>
        <v>1</v>
      </c>
      <c r="J69" s="103">
        <v>0</v>
      </c>
      <c r="K69" s="103">
        <v>0</v>
      </c>
      <c r="L69" s="103">
        <v>0</v>
      </c>
      <c r="M69" s="103">
        <v>0</v>
      </c>
      <c r="N69" s="103">
        <v>1</v>
      </c>
      <c r="O69" s="103">
        <v>0</v>
      </c>
      <c r="P69" s="103">
        <v>0</v>
      </c>
      <c r="Q69" s="103" t="s">
        <v>105</v>
      </c>
      <c r="R69" s="103" t="s">
        <v>455</v>
      </c>
      <c r="S69" s="103" t="s">
        <v>105</v>
      </c>
      <c r="T69" s="103" t="s">
        <v>455</v>
      </c>
      <c r="U69" s="103" t="s">
        <v>105</v>
      </c>
      <c r="V69" s="103" t="s">
        <v>455</v>
      </c>
    </row>
    <row r="70" spans="1:22" ht="27.6" x14ac:dyDescent="0.25">
      <c r="B70" s="103"/>
      <c r="C70" s="100" t="s">
        <v>667</v>
      </c>
      <c r="D70" s="29" t="s">
        <v>668</v>
      </c>
      <c r="E70" s="101" t="s">
        <v>357</v>
      </c>
      <c r="F70" s="96" t="s">
        <v>669</v>
      </c>
      <c r="G70" s="102">
        <v>2</v>
      </c>
      <c r="H70" s="103" t="s">
        <v>455</v>
      </c>
      <c r="I70" s="103">
        <f>COUNTIF(CustomScript[[#All],[Related SC]],MasterTable[[#This Row],[WCAG guideline]])</f>
        <v>1</v>
      </c>
      <c r="J70" s="103">
        <v>0</v>
      </c>
      <c r="K70" s="103">
        <v>0</v>
      </c>
      <c r="L70" s="103">
        <v>0</v>
      </c>
      <c r="M70" s="103">
        <v>0</v>
      </c>
      <c r="N70" s="103">
        <v>1</v>
      </c>
      <c r="O70" s="103">
        <v>0</v>
      </c>
      <c r="P70" s="103">
        <v>0</v>
      </c>
      <c r="Q70" s="103" t="s">
        <v>105</v>
      </c>
      <c r="R70" s="103" t="s">
        <v>455</v>
      </c>
      <c r="S70" s="103" t="s">
        <v>105</v>
      </c>
      <c r="T70" s="103" t="s">
        <v>455</v>
      </c>
      <c r="U70" s="103" t="s">
        <v>105</v>
      </c>
      <c r="V70" s="103" t="s">
        <v>455</v>
      </c>
    </row>
    <row r="71" spans="1:22" ht="82.8" x14ac:dyDescent="0.25">
      <c r="B71" s="103"/>
      <c r="C71" s="100" t="s">
        <v>670</v>
      </c>
      <c r="D71" s="29" t="s">
        <v>671</v>
      </c>
      <c r="E71" s="101" t="s">
        <v>358</v>
      </c>
      <c r="F71" s="96" t="s">
        <v>672</v>
      </c>
      <c r="G71" s="102">
        <v>2</v>
      </c>
      <c r="H71" s="103" t="s">
        <v>455</v>
      </c>
      <c r="I71" s="103">
        <f>COUNTIF(CustomScript[[#All],[Related SC]],MasterTable[[#This Row],[WCAG guideline]])</f>
        <v>1</v>
      </c>
      <c r="J71" s="103">
        <v>0</v>
      </c>
      <c r="K71" s="103">
        <v>0</v>
      </c>
      <c r="L71" s="103">
        <v>0</v>
      </c>
      <c r="M71" s="103">
        <v>0</v>
      </c>
      <c r="N71" s="103">
        <v>1</v>
      </c>
      <c r="O71" s="103">
        <v>0</v>
      </c>
      <c r="P71" s="103">
        <v>0</v>
      </c>
      <c r="Q71" s="103" t="s">
        <v>105</v>
      </c>
      <c r="R71" s="103" t="s">
        <v>455</v>
      </c>
      <c r="S71" s="103" t="s">
        <v>105</v>
      </c>
      <c r="T71" s="103" t="s">
        <v>455</v>
      </c>
      <c r="U71" s="103" t="s">
        <v>105</v>
      </c>
      <c r="V71" s="103" t="s">
        <v>455</v>
      </c>
    </row>
    <row r="72" spans="1:22" ht="55.2" x14ac:dyDescent="0.25">
      <c r="B72" s="103"/>
      <c r="C72" s="100" t="s">
        <v>673</v>
      </c>
      <c r="D72" s="29" t="s">
        <v>674</v>
      </c>
      <c r="E72" s="101" t="s">
        <v>359</v>
      </c>
      <c r="F72" s="96" t="s">
        <v>675</v>
      </c>
      <c r="G72" s="102">
        <v>2</v>
      </c>
      <c r="H72" s="103" t="s">
        <v>455</v>
      </c>
      <c r="I72" s="103">
        <f>COUNTIF(CustomScript[[#All],[Related SC]],MasterTable[[#This Row],[WCAG guideline]])</f>
        <v>1</v>
      </c>
      <c r="J72" s="103">
        <v>0</v>
      </c>
      <c r="K72" s="103">
        <v>0</v>
      </c>
      <c r="L72" s="103">
        <v>0</v>
      </c>
      <c r="M72" s="103">
        <v>0</v>
      </c>
      <c r="N72" s="103">
        <v>1</v>
      </c>
      <c r="O72" s="103">
        <v>0</v>
      </c>
      <c r="P72" s="103">
        <v>0</v>
      </c>
      <c r="Q72" s="103" t="s">
        <v>105</v>
      </c>
      <c r="R72" s="103" t="s">
        <v>455</v>
      </c>
      <c r="S72" s="103" t="s">
        <v>105</v>
      </c>
      <c r="T72" s="103" t="s">
        <v>455</v>
      </c>
      <c r="U72" s="103" t="s">
        <v>105</v>
      </c>
      <c r="V72" s="103" t="s">
        <v>455</v>
      </c>
    </row>
    <row r="73" spans="1:22" ht="27.6" x14ac:dyDescent="0.25">
      <c r="B73" s="103"/>
      <c r="C73" s="100" t="s">
        <v>676</v>
      </c>
      <c r="D73" s="29" t="s">
        <v>677</v>
      </c>
      <c r="E73" s="101" t="s">
        <v>360</v>
      </c>
      <c r="F73" s="96" t="s">
        <v>678</v>
      </c>
      <c r="G73" s="102">
        <v>2</v>
      </c>
      <c r="H73" s="103" t="s">
        <v>420</v>
      </c>
      <c r="I73" s="103">
        <f>COUNTIF(CustomScript[[#All],[Related SC]],MasterTable[[#This Row],[WCAG guideline]])</f>
        <v>1</v>
      </c>
      <c r="J73" s="103">
        <v>1</v>
      </c>
      <c r="K73" s="103">
        <v>1</v>
      </c>
      <c r="L73" s="103">
        <v>0</v>
      </c>
      <c r="M73" s="103">
        <v>0</v>
      </c>
      <c r="N73" s="103">
        <v>1</v>
      </c>
      <c r="O73" s="103">
        <v>1</v>
      </c>
      <c r="P73" s="103">
        <v>0</v>
      </c>
      <c r="Q73" s="103" t="s">
        <v>105</v>
      </c>
      <c r="R73" s="103" t="s">
        <v>420</v>
      </c>
      <c r="S73" s="103" t="s">
        <v>105</v>
      </c>
      <c r="T73" s="103" t="s">
        <v>420</v>
      </c>
      <c r="U73" s="103" t="s">
        <v>105</v>
      </c>
      <c r="V73" s="103" t="s">
        <v>420</v>
      </c>
    </row>
    <row r="74" spans="1:22" ht="55.2" x14ac:dyDescent="0.25">
      <c r="B74" s="103"/>
      <c r="C74" s="100" t="s">
        <v>679</v>
      </c>
      <c r="D74" s="29" t="s">
        <v>680</v>
      </c>
      <c r="E74" s="101" t="s">
        <v>361</v>
      </c>
      <c r="F74" s="96" t="s">
        <v>681</v>
      </c>
      <c r="G74" s="102">
        <v>2</v>
      </c>
      <c r="H74" s="103" t="s">
        <v>420</v>
      </c>
      <c r="I74" s="103">
        <f>COUNTIF(CustomScript[[#All],[Related SC]],MasterTable[[#This Row],[WCAG guideline]])</f>
        <v>1</v>
      </c>
      <c r="J74" s="103">
        <v>1</v>
      </c>
      <c r="K74" s="103">
        <v>1</v>
      </c>
      <c r="L74" s="103">
        <v>0</v>
      </c>
      <c r="M74" s="103">
        <v>0</v>
      </c>
      <c r="N74" s="103">
        <v>1</v>
      </c>
      <c r="O74" s="103">
        <v>1</v>
      </c>
      <c r="P74" s="103">
        <v>0</v>
      </c>
      <c r="Q74" s="103" t="s">
        <v>105</v>
      </c>
      <c r="R74" s="103" t="s">
        <v>420</v>
      </c>
      <c r="S74" s="103" t="s">
        <v>105</v>
      </c>
      <c r="T74" s="103" t="s">
        <v>420</v>
      </c>
      <c r="U74" s="103" t="s">
        <v>105</v>
      </c>
      <c r="V74" s="103" t="s">
        <v>420</v>
      </c>
    </row>
    <row r="75" spans="1:22" ht="55.2" x14ac:dyDescent="0.25">
      <c r="B75" s="103"/>
      <c r="C75" s="100" t="s">
        <v>682</v>
      </c>
      <c r="D75" s="29" t="s">
        <v>683</v>
      </c>
      <c r="E75" s="101" t="s">
        <v>362</v>
      </c>
      <c r="F75" s="96" t="s">
        <v>684</v>
      </c>
      <c r="G75" s="102">
        <v>2</v>
      </c>
      <c r="H75" s="103" t="s">
        <v>443</v>
      </c>
      <c r="I75" s="103">
        <f>COUNTIF(CustomScript[[#All],[Related SC]],MasterTable[[#This Row],[WCAG guideline]])</f>
        <v>1</v>
      </c>
      <c r="J75" s="103">
        <v>1</v>
      </c>
      <c r="K75" s="103">
        <v>1</v>
      </c>
      <c r="L75" s="103">
        <v>1</v>
      </c>
      <c r="M75" s="103">
        <v>0</v>
      </c>
      <c r="N75" s="103">
        <v>1</v>
      </c>
      <c r="O75" s="103">
        <v>1</v>
      </c>
      <c r="P75" s="103">
        <v>0</v>
      </c>
      <c r="Q75" s="103" t="s">
        <v>105</v>
      </c>
      <c r="R75" s="103" t="s">
        <v>443</v>
      </c>
      <c r="S75" s="103" t="s">
        <v>105</v>
      </c>
      <c r="T75" s="103" t="s">
        <v>443</v>
      </c>
      <c r="U75" s="103" t="s">
        <v>105</v>
      </c>
      <c r="V75" s="103" t="s">
        <v>443</v>
      </c>
    </row>
    <row r="76" spans="1:22" ht="27.6" x14ac:dyDescent="0.25">
      <c r="B76" s="103"/>
      <c r="C76" s="100" t="s">
        <v>685</v>
      </c>
      <c r="D76" s="29" t="s">
        <v>686</v>
      </c>
      <c r="E76" s="101" t="s">
        <v>287</v>
      </c>
      <c r="F76" s="96" t="s">
        <v>687</v>
      </c>
      <c r="G76" s="102">
        <v>2</v>
      </c>
      <c r="H76" s="103" t="s">
        <v>443</v>
      </c>
      <c r="I76" s="103">
        <f>COUNTIF(CustomScript[[#All],[Related SC]],MasterTable[[#This Row],[WCAG guideline]])</f>
        <v>2</v>
      </c>
      <c r="J76" s="103">
        <v>1</v>
      </c>
      <c r="K76" s="103">
        <v>1</v>
      </c>
      <c r="L76" s="103">
        <v>1</v>
      </c>
      <c r="M76" s="103">
        <v>0</v>
      </c>
      <c r="N76" s="103">
        <v>1</v>
      </c>
      <c r="O76" s="103">
        <v>1</v>
      </c>
      <c r="P76" s="103">
        <v>0</v>
      </c>
      <c r="Q76" s="103" t="s">
        <v>105</v>
      </c>
      <c r="R76" s="103" t="s">
        <v>443</v>
      </c>
      <c r="S76" s="103" t="s">
        <v>105</v>
      </c>
      <c r="T76" s="103" t="s">
        <v>443</v>
      </c>
      <c r="U76" s="103" t="s">
        <v>105</v>
      </c>
      <c r="V76" s="103" t="s">
        <v>443</v>
      </c>
    </row>
    <row r="77" spans="1:22" ht="48" customHeight="1" x14ac:dyDescent="0.25">
      <c r="B77" s="103"/>
      <c r="C77" s="100" t="s">
        <v>688</v>
      </c>
      <c r="D77" s="29" t="s">
        <v>689</v>
      </c>
      <c r="E77" s="101" t="s">
        <v>363</v>
      </c>
      <c r="F77" s="96" t="s">
        <v>690</v>
      </c>
      <c r="G77" s="102">
        <v>2</v>
      </c>
      <c r="H77" s="103" t="s">
        <v>455</v>
      </c>
      <c r="I77" s="103">
        <f>COUNTIF(CustomScript[[#All],[Related SC]],MasterTable[[#This Row],[WCAG guideline]])</f>
        <v>1</v>
      </c>
      <c r="J77" s="103">
        <v>1</v>
      </c>
      <c r="K77" s="103">
        <v>0</v>
      </c>
      <c r="L77" s="103">
        <v>0</v>
      </c>
      <c r="M77" s="103">
        <v>0</v>
      </c>
      <c r="N77" s="103">
        <v>1</v>
      </c>
      <c r="O77" s="103">
        <v>0</v>
      </c>
      <c r="P77" s="103">
        <v>0</v>
      </c>
      <c r="Q77" s="103" t="s">
        <v>105</v>
      </c>
      <c r="R77" s="103" t="s">
        <v>455</v>
      </c>
      <c r="S77" s="103" t="s">
        <v>105</v>
      </c>
      <c r="T77" s="103" t="s">
        <v>455</v>
      </c>
      <c r="U77" s="103" t="s">
        <v>105</v>
      </c>
      <c r="V77" s="103" t="s">
        <v>455</v>
      </c>
    </row>
    <row r="78" spans="1:22" ht="117.75" customHeight="1" x14ac:dyDescent="0.25">
      <c r="B78" s="103"/>
      <c r="C78" s="100" t="s">
        <v>691</v>
      </c>
      <c r="D78" s="29" t="s">
        <v>692</v>
      </c>
      <c r="E78" s="101" t="s">
        <v>396</v>
      </c>
      <c r="F78" s="96" t="s">
        <v>693</v>
      </c>
      <c r="G78" s="102">
        <v>2.2000000000000002</v>
      </c>
      <c r="H78" s="103" t="s">
        <v>420</v>
      </c>
      <c r="I78" s="103">
        <f>COUNTIF(CustomScript[[#All],[Related SC]],MasterTable[[#This Row],[WCAG guideline]])</f>
        <v>1</v>
      </c>
      <c r="J78" s="103">
        <v>0</v>
      </c>
      <c r="K78" s="103">
        <v>0</v>
      </c>
      <c r="L78" s="103">
        <v>0</v>
      </c>
      <c r="M78" s="103">
        <v>0</v>
      </c>
      <c r="N78" s="103">
        <v>1</v>
      </c>
      <c r="O78" s="103">
        <v>0</v>
      </c>
      <c r="P78" s="103">
        <v>0</v>
      </c>
      <c r="Q78" s="103" t="s">
        <v>497</v>
      </c>
      <c r="R78" s="103" t="s">
        <v>498</v>
      </c>
      <c r="S78" s="103" t="s">
        <v>497</v>
      </c>
      <c r="T78" s="103" t="s">
        <v>498</v>
      </c>
      <c r="U78" s="103" t="s">
        <v>105</v>
      </c>
      <c r="V78" s="103" t="s">
        <v>420</v>
      </c>
    </row>
    <row r="79" spans="1:22" ht="41.4" x14ac:dyDescent="0.25">
      <c r="B79" s="103"/>
      <c r="C79" s="100" t="s">
        <v>694</v>
      </c>
      <c r="D79" s="29" t="s">
        <v>695</v>
      </c>
      <c r="E79" s="101" t="s">
        <v>364</v>
      </c>
      <c r="F79" s="96" t="s">
        <v>696</v>
      </c>
      <c r="G79" s="102">
        <v>2</v>
      </c>
      <c r="H79" s="103" t="s">
        <v>420</v>
      </c>
      <c r="I79" s="103">
        <f>COUNTIF(CustomScript[[#All],[Related SC]],MasterTable[[#This Row],[WCAG guideline]])</f>
        <v>3</v>
      </c>
      <c r="J79" s="103">
        <v>1</v>
      </c>
      <c r="K79" s="103">
        <v>1</v>
      </c>
      <c r="L79" s="103">
        <v>1</v>
      </c>
      <c r="M79" s="103">
        <v>0</v>
      </c>
      <c r="N79" s="103">
        <v>1</v>
      </c>
      <c r="O79" s="103">
        <v>1</v>
      </c>
      <c r="P79" s="103">
        <v>0</v>
      </c>
      <c r="Q79" s="103" t="s">
        <v>105</v>
      </c>
      <c r="R79" s="103" t="s">
        <v>420</v>
      </c>
      <c r="S79" s="103" t="s">
        <v>105</v>
      </c>
      <c r="T79" s="103" t="s">
        <v>420</v>
      </c>
      <c r="U79" s="103" t="s">
        <v>105</v>
      </c>
      <c r="V79" s="103" t="s">
        <v>420</v>
      </c>
    </row>
    <row r="80" spans="1:22" ht="27.6" x14ac:dyDescent="0.25">
      <c r="B80" s="103"/>
      <c r="C80" s="100" t="s">
        <v>697</v>
      </c>
      <c r="D80" s="29" t="s">
        <v>698</v>
      </c>
      <c r="E80" s="101" t="s">
        <v>365</v>
      </c>
      <c r="F80" s="96" t="s">
        <v>699</v>
      </c>
      <c r="G80" s="102">
        <v>2</v>
      </c>
      <c r="H80" s="103" t="s">
        <v>420</v>
      </c>
      <c r="I80" s="103">
        <f>COUNTIF(CustomScript[[#All],[Related SC]],MasterTable[[#This Row],[WCAG guideline]])</f>
        <v>3</v>
      </c>
      <c r="J80" s="103">
        <v>1</v>
      </c>
      <c r="K80" s="103">
        <v>1</v>
      </c>
      <c r="L80" s="103">
        <v>1</v>
      </c>
      <c r="M80" s="103">
        <v>0</v>
      </c>
      <c r="N80" s="103">
        <v>1</v>
      </c>
      <c r="O80" s="103">
        <v>1</v>
      </c>
      <c r="P80" s="103">
        <v>0</v>
      </c>
      <c r="Q80" s="103" t="s">
        <v>105</v>
      </c>
      <c r="R80" s="103" t="s">
        <v>420</v>
      </c>
      <c r="S80" s="103" t="s">
        <v>105</v>
      </c>
      <c r="T80" s="103" t="s">
        <v>420</v>
      </c>
      <c r="U80" s="103" t="s">
        <v>105</v>
      </c>
      <c r="V80" s="103" t="s">
        <v>420</v>
      </c>
    </row>
    <row r="81" spans="1:22" ht="55.2" x14ac:dyDescent="0.25">
      <c r="B81" s="103"/>
      <c r="C81" s="100" t="s">
        <v>700</v>
      </c>
      <c r="D81" s="29" t="s">
        <v>701</v>
      </c>
      <c r="E81" s="101" t="s">
        <v>366</v>
      </c>
      <c r="F81" s="96" t="s">
        <v>702</v>
      </c>
      <c r="G81" s="102">
        <v>2</v>
      </c>
      <c r="H81" s="103" t="s">
        <v>443</v>
      </c>
      <c r="I81" s="103">
        <f>COUNTIF(CustomScript[[#All],[Related SC]],MasterTable[[#This Row],[WCAG guideline]])</f>
        <v>2</v>
      </c>
      <c r="J81" s="103">
        <v>1</v>
      </c>
      <c r="K81" s="103">
        <v>1</v>
      </c>
      <c r="L81" s="103">
        <v>1</v>
      </c>
      <c r="M81" s="103">
        <v>0</v>
      </c>
      <c r="N81" s="103">
        <v>1</v>
      </c>
      <c r="O81" s="103">
        <v>1</v>
      </c>
      <c r="P81" s="103">
        <v>0</v>
      </c>
      <c r="Q81" s="103" t="s">
        <v>105</v>
      </c>
      <c r="R81" s="103" t="s">
        <v>443</v>
      </c>
      <c r="S81" s="103" t="s">
        <v>105</v>
      </c>
      <c r="T81" s="103" t="s">
        <v>443</v>
      </c>
      <c r="U81" s="103" t="s">
        <v>105</v>
      </c>
      <c r="V81" s="103" t="s">
        <v>443</v>
      </c>
    </row>
    <row r="82" spans="1:22" ht="104.25" customHeight="1" x14ac:dyDescent="0.25">
      <c r="B82" s="103"/>
      <c r="C82" s="100" t="s">
        <v>703</v>
      </c>
      <c r="D82" s="29" t="s">
        <v>704</v>
      </c>
      <c r="E82" s="110" t="s">
        <v>367</v>
      </c>
      <c r="F82" s="96" t="s">
        <v>705</v>
      </c>
      <c r="G82" s="102">
        <v>2</v>
      </c>
      <c r="H82" s="103" t="s">
        <v>443</v>
      </c>
      <c r="I82" s="103">
        <f>COUNTIF(CustomScript[[#All],[Related SC]],MasterTable[[#This Row],[WCAG guideline]])</f>
        <v>1</v>
      </c>
      <c r="J82" s="103">
        <v>1</v>
      </c>
      <c r="K82" s="103">
        <v>1</v>
      </c>
      <c r="L82" s="103">
        <v>1</v>
      </c>
      <c r="M82" s="103">
        <v>0</v>
      </c>
      <c r="N82" s="103">
        <v>1</v>
      </c>
      <c r="O82" s="103">
        <v>1</v>
      </c>
      <c r="P82" s="103">
        <v>0</v>
      </c>
      <c r="Q82" s="103" t="s">
        <v>105</v>
      </c>
      <c r="R82" s="103" t="s">
        <v>443</v>
      </c>
      <c r="S82" s="103" t="s">
        <v>105</v>
      </c>
      <c r="T82" s="103" t="s">
        <v>443</v>
      </c>
      <c r="U82" s="103" t="s">
        <v>105</v>
      </c>
      <c r="V82" s="103" t="s">
        <v>443</v>
      </c>
    </row>
    <row r="83" spans="1:22" ht="37.5" customHeight="1" x14ac:dyDescent="0.25">
      <c r="B83" s="103"/>
      <c r="C83" s="100" t="s">
        <v>706</v>
      </c>
      <c r="D83" s="29" t="s">
        <v>707</v>
      </c>
      <c r="E83" s="110" t="s">
        <v>368</v>
      </c>
      <c r="F83" s="96" t="s">
        <v>708</v>
      </c>
      <c r="G83" s="102">
        <v>2</v>
      </c>
      <c r="H83" s="103" t="s">
        <v>455</v>
      </c>
      <c r="I83" s="103">
        <f>COUNTIF(CustomScript[[#All],[Related SC]],MasterTable[[#This Row],[WCAG guideline]])</f>
        <v>1</v>
      </c>
      <c r="J83" s="103">
        <v>0</v>
      </c>
      <c r="K83" s="103">
        <v>0</v>
      </c>
      <c r="L83" s="103">
        <v>0</v>
      </c>
      <c r="M83" s="103">
        <v>0</v>
      </c>
      <c r="N83" s="103">
        <v>1</v>
      </c>
      <c r="O83" s="103">
        <v>0</v>
      </c>
      <c r="P83" s="103">
        <v>0</v>
      </c>
      <c r="Q83" s="103" t="s">
        <v>105</v>
      </c>
      <c r="R83" s="103" t="s">
        <v>455</v>
      </c>
      <c r="S83" s="103" t="s">
        <v>105</v>
      </c>
      <c r="T83" s="103" t="s">
        <v>455</v>
      </c>
      <c r="U83" s="103" t="s">
        <v>105</v>
      </c>
      <c r="V83" s="103" t="s">
        <v>455</v>
      </c>
    </row>
    <row r="84" spans="1:22" ht="59.25" customHeight="1" x14ac:dyDescent="0.25">
      <c r="B84" s="103"/>
      <c r="C84" s="100" t="s">
        <v>709</v>
      </c>
      <c r="D84" s="29" t="s">
        <v>710</v>
      </c>
      <c r="E84" s="110" t="s">
        <v>369</v>
      </c>
      <c r="F84" s="96" t="s">
        <v>711</v>
      </c>
      <c r="G84" s="102">
        <v>2</v>
      </c>
      <c r="H84" s="103" t="s">
        <v>455</v>
      </c>
      <c r="I84" s="103">
        <f>COUNTIF(CustomScript[[#All],[Related SC]],MasterTable[[#This Row],[WCAG guideline]])</f>
        <v>1</v>
      </c>
      <c r="J84" s="103">
        <v>0</v>
      </c>
      <c r="K84" s="103">
        <v>0</v>
      </c>
      <c r="L84" s="103">
        <v>0</v>
      </c>
      <c r="M84" s="103">
        <v>0</v>
      </c>
      <c r="N84" s="103">
        <v>1</v>
      </c>
      <c r="O84" s="103">
        <v>0</v>
      </c>
      <c r="P84" s="103">
        <v>0</v>
      </c>
      <c r="Q84" s="103" t="s">
        <v>105</v>
      </c>
      <c r="R84" s="103" t="s">
        <v>455</v>
      </c>
      <c r="S84" s="103" t="s">
        <v>105</v>
      </c>
      <c r="T84" s="103" t="s">
        <v>455</v>
      </c>
      <c r="U84" s="103" t="s">
        <v>105</v>
      </c>
      <c r="V84" s="103" t="s">
        <v>455</v>
      </c>
    </row>
    <row r="85" spans="1:22" ht="77.25" customHeight="1" x14ac:dyDescent="0.25">
      <c r="B85" s="103"/>
      <c r="C85" s="100" t="s">
        <v>712</v>
      </c>
      <c r="D85" s="29" t="s">
        <v>713</v>
      </c>
      <c r="E85" s="110" t="s">
        <v>288</v>
      </c>
      <c r="F85" s="96" t="s">
        <v>714</v>
      </c>
      <c r="G85" s="102">
        <v>2.2000000000000002</v>
      </c>
      <c r="H85" s="103" t="s">
        <v>420</v>
      </c>
      <c r="I85" s="103">
        <f>COUNTIF(CustomScript[[#All],[Related SC]],MasterTable[[#This Row],[WCAG guideline]])</f>
        <v>1</v>
      </c>
      <c r="J85" s="103">
        <v>1</v>
      </c>
      <c r="K85" s="103">
        <v>1</v>
      </c>
      <c r="L85" s="103">
        <v>0</v>
      </c>
      <c r="M85" s="103">
        <v>0</v>
      </c>
      <c r="N85" s="103">
        <v>1</v>
      </c>
      <c r="O85" s="103">
        <v>0</v>
      </c>
      <c r="P85" s="103">
        <v>0</v>
      </c>
      <c r="Q85" s="103" t="s">
        <v>497</v>
      </c>
      <c r="R85" s="103" t="s">
        <v>498</v>
      </c>
      <c r="S85" s="103" t="s">
        <v>497</v>
      </c>
      <c r="T85" s="103" t="s">
        <v>498</v>
      </c>
      <c r="U85" s="103" t="s">
        <v>105</v>
      </c>
      <c r="V85" s="103" t="s">
        <v>420</v>
      </c>
    </row>
    <row r="86" spans="1:22" ht="96" customHeight="1" x14ac:dyDescent="0.25">
      <c r="B86" s="103"/>
      <c r="C86" s="100" t="s">
        <v>715</v>
      </c>
      <c r="D86" s="29" t="s">
        <v>716</v>
      </c>
      <c r="E86" s="110" t="s">
        <v>397</v>
      </c>
      <c r="F86" s="96" t="s">
        <v>717</v>
      </c>
      <c r="G86" s="102">
        <v>2.2000000000000002</v>
      </c>
      <c r="H86" s="103" t="s">
        <v>443</v>
      </c>
      <c r="I86" s="103">
        <f>COUNTIF(CustomScript[[#All],[Related SC]],MasterTable[[#This Row],[WCAG guideline]])</f>
        <v>2</v>
      </c>
      <c r="J86" s="103">
        <v>0</v>
      </c>
      <c r="K86" s="103">
        <v>0</v>
      </c>
      <c r="L86" s="103">
        <v>0</v>
      </c>
      <c r="M86" s="103">
        <v>0</v>
      </c>
      <c r="N86" s="103">
        <v>1</v>
      </c>
      <c r="O86" s="103">
        <v>0</v>
      </c>
      <c r="P86" s="103">
        <v>0</v>
      </c>
      <c r="Q86" s="103" t="s">
        <v>497</v>
      </c>
      <c r="R86" s="103" t="s">
        <v>498</v>
      </c>
      <c r="S86" s="103" t="s">
        <v>497</v>
      </c>
      <c r="T86" s="103" t="s">
        <v>498</v>
      </c>
      <c r="U86" s="103" t="s">
        <v>105</v>
      </c>
      <c r="V86" s="103" t="s">
        <v>443</v>
      </c>
    </row>
    <row r="87" spans="1:22" ht="82.5" customHeight="1" x14ac:dyDescent="0.25">
      <c r="B87" s="103"/>
      <c r="C87" s="100" t="s">
        <v>718</v>
      </c>
      <c r="D87" s="29" t="s">
        <v>719</v>
      </c>
      <c r="E87" s="110" t="s">
        <v>398</v>
      </c>
      <c r="F87" s="96" t="s">
        <v>720</v>
      </c>
      <c r="G87" s="102">
        <v>2.2000000000000002</v>
      </c>
      <c r="H87" s="103" t="s">
        <v>455</v>
      </c>
      <c r="I87" s="103">
        <f>COUNTIF(CustomScript[[#All],[Related SC]],MasterTable[[#This Row],[WCAG guideline]])</f>
        <v>1</v>
      </c>
      <c r="J87" s="103">
        <v>0</v>
      </c>
      <c r="K87" s="103">
        <v>0</v>
      </c>
      <c r="L87" s="103">
        <v>0</v>
      </c>
      <c r="M87" s="103">
        <v>0</v>
      </c>
      <c r="N87" s="103">
        <v>1</v>
      </c>
      <c r="O87" s="103">
        <v>0</v>
      </c>
      <c r="P87" s="103">
        <v>0</v>
      </c>
      <c r="Q87" s="103" t="s">
        <v>497</v>
      </c>
      <c r="R87" s="103" t="s">
        <v>498</v>
      </c>
      <c r="S87" s="103" t="s">
        <v>497</v>
      </c>
      <c r="T87" s="103" t="s">
        <v>498</v>
      </c>
      <c r="U87" s="103" t="s">
        <v>105</v>
      </c>
      <c r="V87" s="103" t="s">
        <v>455</v>
      </c>
    </row>
    <row r="88" spans="1:22" ht="120" customHeight="1" x14ac:dyDescent="0.25">
      <c r="B88" s="38" t="s">
        <v>721</v>
      </c>
      <c r="C88" s="100" t="s">
        <v>722</v>
      </c>
      <c r="D88" s="29" t="s">
        <v>723</v>
      </c>
      <c r="E88" s="110" t="s">
        <v>370</v>
      </c>
      <c r="F88" s="96" t="s">
        <v>724</v>
      </c>
      <c r="G88" s="102">
        <v>2</v>
      </c>
      <c r="H88" s="103" t="s">
        <v>420</v>
      </c>
      <c r="I88" s="103">
        <f>COUNTIF(CustomScript[[#All],[Related SC]],MasterTable[[#This Row],[WCAG guideline]])</f>
        <v>3</v>
      </c>
      <c r="J88" s="103">
        <v>1</v>
      </c>
      <c r="K88" s="103">
        <v>1</v>
      </c>
      <c r="L88" s="103">
        <v>1</v>
      </c>
      <c r="M88" s="103">
        <v>1</v>
      </c>
      <c r="N88" s="103">
        <v>1</v>
      </c>
      <c r="O88" s="103">
        <v>1</v>
      </c>
      <c r="P88" s="103">
        <v>0</v>
      </c>
      <c r="Q88" s="103" t="s">
        <v>105</v>
      </c>
      <c r="R88" s="103" t="s">
        <v>420</v>
      </c>
      <c r="S88" s="103" t="s">
        <v>105</v>
      </c>
      <c r="T88" s="103" t="s">
        <v>420</v>
      </c>
      <c r="U88" s="103" t="s">
        <v>497</v>
      </c>
      <c r="V88" s="103" t="s">
        <v>498</v>
      </c>
    </row>
    <row r="89" spans="1:22" ht="130.19999999999999" customHeight="1" x14ac:dyDescent="0.35">
      <c r="A89" s="108"/>
      <c r="B89" s="103"/>
      <c r="C89" s="100" t="s">
        <v>725</v>
      </c>
      <c r="D89" s="29" t="s">
        <v>726</v>
      </c>
      <c r="E89" s="110" t="s">
        <v>371</v>
      </c>
      <c r="F89" s="96" t="s">
        <v>727</v>
      </c>
      <c r="G89" s="102">
        <v>2</v>
      </c>
      <c r="H89" s="103" t="s">
        <v>420</v>
      </c>
      <c r="I89" s="103">
        <f>COUNTIF(CustomScript[[#All],[Related SC]],MasterTable[[#This Row],[WCAG guideline]])</f>
        <v>3</v>
      </c>
      <c r="J89" s="103">
        <v>1</v>
      </c>
      <c r="K89" s="103">
        <v>1</v>
      </c>
      <c r="L89" s="103">
        <v>0</v>
      </c>
      <c r="M89" s="103">
        <v>0</v>
      </c>
      <c r="N89" s="103">
        <v>1</v>
      </c>
      <c r="O89" s="103">
        <v>1</v>
      </c>
      <c r="P89" s="103">
        <v>0</v>
      </c>
      <c r="Q89" s="103" t="s">
        <v>105</v>
      </c>
      <c r="R89" s="103" t="s">
        <v>420</v>
      </c>
      <c r="S89" s="103" t="s">
        <v>105</v>
      </c>
      <c r="T89" s="103" t="s">
        <v>420</v>
      </c>
      <c r="U89" s="103" t="s">
        <v>105</v>
      </c>
      <c r="V89" s="103" t="s">
        <v>420</v>
      </c>
    </row>
    <row r="90" spans="1:22" ht="91.2" customHeight="1" x14ac:dyDescent="0.25">
      <c r="B90" s="103"/>
      <c r="C90" s="100" t="s">
        <v>728</v>
      </c>
      <c r="D90" s="29" t="s">
        <v>729</v>
      </c>
      <c r="E90" s="110" t="s">
        <v>389</v>
      </c>
      <c r="F90" s="96" t="s">
        <v>730</v>
      </c>
      <c r="G90" s="102">
        <v>2.1</v>
      </c>
      <c r="H90" s="103" t="s">
        <v>443</v>
      </c>
      <c r="I90" s="103">
        <f>COUNTIF(CustomScript[[#All],[Related SC]],MasterTable[[#This Row],[WCAG guideline]])</f>
        <v>1</v>
      </c>
      <c r="J90" s="103">
        <v>1</v>
      </c>
      <c r="K90" s="103">
        <v>1</v>
      </c>
      <c r="L90" s="103">
        <v>0</v>
      </c>
      <c r="M90" s="103">
        <v>1</v>
      </c>
      <c r="N90" s="103">
        <v>1</v>
      </c>
      <c r="O90" s="103">
        <v>0</v>
      </c>
      <c r="P90" s="103">
        <v>0</v>
      </c>
      <c r="Q90" s="103" t="s">
        <v>497</v>
      </c>
      <c r="R90" s="103" t="s">
        <v>498</v>
      </c>
      <c r="S90" s="103" t="s">
        <v>105</v>
      </c>
      <c r="T90" s="103" t="s">
        <v>443</v>
      </c>
      <c r="U90" s="103" t="s">
        <v>105</v>
      </c>
      <c r="V90" s="103" t="s">
        <v>443</v>
      </c>
    </row>
    <row r="91" spans="1:22" x14ac:dyDescent="0.25">
      <c r="B91" s="103"/>
    </row>
    <row r="92" spans="1:22" ht="22.8" x14ac:dyDescent="0.4">
      <c r="B92" s="170" t="s">
        <v>731</v>
      </c>
      <c r="C92" s="170"/>
      <c r="D92" s="170"/>
      <c r="E92" s="170"/>
      <c r="F92" s="170"/>
      <c r="G92" s="170"/>
      <c r="H92" s="170"/>
      <c r="I92" s="170"/>
      <c r="J92" s="170"/>
      <c r="K92" s="170"/>
      <c r="L92" s="170"/>
      <c r="M92" s="170"/>
      <c r="N92" s="170"/>
      <c r="O92" s="170"/>
      <c r="P92" s="170"/>
      <c r="Q92" s="170"/>
      <c r="R92" s="170"/>
      <c r="S92" s="170"/>
      <c r="T92" s="170"/>
      <c r="U92" s="170"/>
      <c r="V92" s="170"/>
    </row>
    <row r="95" spans="1:22" ht="22.8" x14ac:dyDescent="0.4">
      <c r="A95" s="29" t="s">
        <v>732</v>
      </c>
      <c r="E95" s="163" t="s">
        <v>733</v>
      </c>
      <c r="F95" s="163"/>
      <c r="G95" s="163"/>
    </row>
    <row r="96" spans="1:22" ht="81.599999999999994" x14ac:dyDescent="0.3">
      <c r="A96" s="29" t="s">
        <v>734</v>
      </c>
      <c r="E96" s="111" t="s">
        <v>112</v>
      </c>
      <c r="F96" s="112" t="s">
        <v>58</v>
      </c>
      <c r="G96" s="112" t="s">
        <v>114</v>
      </c>
      <c r="H96" s="112" t="s">
        <v>58</v>
      </c>
      <c r="I96" s="112" t="s">
        <v>116</v>
      </c>
      <c r="J96" s="112" t="s">
        <v>58</v>
      </c>
      <c r="K96" s="112" t="s">
        <v>735</v>
      </c>
      <c r="L96" s="113" t="s">
        <v>58</v>
      </c>
      <c r="M96" s="113" t="s">
        <v>736</v>
      </c>
      <c r="N96" s="113" t="s">
        <v>737</v>
      </c>
      <c r="O96" s="160" t="s">
        <v>122</v>
      </c>
      <c r="P96" s="113" t="s">
        <v>58</v>
      </c>
      <c r="Q96" s="160" t="s">
        <v>738</v>
      </c>
      <c r="R96" s="113" t="s">
        <v>58</v>
      </c>
      <c r="S96" s="114"/>
    </row>
    <row r="97" spans="1:19" ht="156" customHeight="1" x14ac:dyDescent="0.3">
      <c r="E97" s="116" t="s">
        <v>113</v>
      </c>
      <c r="F97" s="115">
        <v>50</v>
      </c>
      <c r="G97" s="116" t="s">
        <v>115</v>
      </c>
      <c r="H97" s="115">
        <v>50</v>
      </c>
      <c r="I97" s="116" t="s">
        <v>117</v>
      </c>
      <c r="J97" s="117">
        <v>50</v>
      </c>
      <c r="K97" s="116" t="s">
        <v>119</v>
      </c>
      <c r="L97" s="115">
        <v>50</v>
      </c>
      <c r="M97" s="116" t="s">
        <v>121</v>
      </c>
      <c r="N97" s="115">
        <v>50</v>
      </c>
      <c r="O97" s="116" t="s">
        <v>123</v>
      </c>
      <c r="P97" s="115">
        <v>50</v>
      </c>
      <c r="Q97" s="116" t="s">
        <v>125</v>
      </c>
      <c r="R97" s="115">
        <v>50</v>
      </c>
      <c r="S97" s="114"/>
    </row>
    <row r="98" spans="1:19" ht="93.6" x14ac:dyDescent="0.3">
      <c r="E98" s="116" t="s">
        <v>739</v>
      </c>
      <c r="F98" s="115">
        <v>40</v>
      </c>
      <c r="G98" s="116" t="s">
        <v>740</v>
      </c>
      <c r="H98" s="115">
        <v>40</v>
      </c>
      <c r="I98" s="116" t="s">
        <v>741</v>
      </c>
      <c r="J98" s="117">
        <v>40</v>
      </c>
      <c r="K98" s="116" t="s">
        <v>742</v>
      </c>
      <c r="L98" s="115">
        <v>40</v>
      </c>
      <c r="M98" s="116" t="s">
        <v>743</v>
      </c>
      <c r="N98" s="115">
        <v>40</v>
      </c>
      <c r="O98" s="116" t="s">
        <v>744</v>
      </c>
      <c r="P98" s="115">
        <v>40</v>
      </c>
      <c r="Q98" s="116" t="s">
        <v>745</v>
      </c>
      <c r="R98" s="115">
        <v>40</v>
      </c>
      <c r="S98" s="114"/>
    </row>
    <row r="99" spans="1:19" ht="92.4" customHeight="1" x14ac:dyDescent="0.3">
      <c r="A99" s="29" t="s">
        <v>69</v>
      </c>
      <c r="B99" s="29" t="s">
        <v>746</v>
      </c>
      <c r="E99" s="116" t="s">
        <v>747</v>
      </c>
      <c r="F99" s="115">
        <v>15</v>
      </c>
      <c r="G99" s="116" t="s">
        <v>748</v>
      </c>
      <c r="H99" s="115">
        <v>15</v>
      </c>
      <c r="I99" s="116" t="s">
        <v>749</v>
      </c>
      <c r="J99" s="117">
        <v>15</v>
      </c>
      <c r="K99" s="116" t="s">
        <v>750</v>
      </c>
      <c r="L99" s="115">
        <v>15</v>
      </c>
      <c r="M99" s="116" t="s">
        <v>751</v>
      </c>
      <c r="N99" s="115">
        <v>15</v>
      </c>
      <c r="O99" s="116" t="s">
        <v>752</v>
      </c>
      <c r="P99" s="115">
        <v>15</v>
      </c>
      <c r="Q99" s="116" t="s">
        <v>753</v>
      </c>
      <c r="R99" s="115">
        <v>15</v>
      </c>
      <c r="S99" s="114"/>
    </row>
    <row r="100" spans="1:19" ht="78" x14ac:dyDescent="0.3">
      <c r="A100" s="29" t="s">
        <v>68</v>
      </c>
      <c r="B100" s="29" t="s">
        <v>754</v>
      </c>
      <c r="E100" s="116" t="s">
        <v>755</v>
      </c>
      <c r="F100" s="115">
        <v>0</v>
      </c>
      <c r="G100" s="117" t="s">
        <v>756</v>
      </c>
      <c r="H100" s="115">
        <v>0</v>
      </c>
      <c r="I100" s="116" t="s">
        <v>757</v>
      </c>
      <c r="J100" s="117">
        <v>0</v>
      </c>
      <c r="K100" s="116" t="s">
        <v>757</v>
      </c>
      <c r="L100" s="115">
        <v>0</v>
      </c>
      <c r="M100" s="116" t="s">
        <v>756</v>
      </c>
      <c r="N100" s="115">
        <v>0</v>
      </c>
      <c r="O100" s="116" t="s">
        <v>758</v>
      </c>
      <c r="P100" s="115">
        <v>0</v>
      </c>
      <c r="Q100" s="116" t="s">
        <v>759</v>
      </c>
      <c r="R100" s="115">
        <v>0</v>
      </c>
      <c r="S100" s="114"/>
    </row>
    <row r="101" spans="1:19" x14ac:dyDescent="0.25">
      <c r="A101" s="29" t="s">
        <v>67</v>
      </c>
      <c r="B101" s="29" t="s">
        <v>760</v>
      </c>
    </row>
    <row r="102" spans="1:19" x14ac:dyDescent="0.25">
      <c r="A102" s="29" t="s">
        <v>761</v>
      </c>
      <c r="B102" s="29" t="s">
        <v>762</v>
      </c>
    </row>
    <row r="103" spans="1:19" x14ac:dyDescent="0.25">
      <c r="A103" s="29" t="s">
        <v>70</v>
      </c>
      <c r="B103" s="29" t="s">
        <v>763</v>
      </c>
    </row>
    <row r="105" spans="1:19" x14ac:dyDescent="0.25">
      <c r="A105" s="29" t="s">
        <v>74</v>
      </c>
      <c r="B105" s="29" t="s">
        <v>764</v>
      </c>
    </row>
    <row r="106" spans="1:19" x14ac:dyDescent="0.25">
      <c r="A106" s="29" t="s">
        <v>73</v>
      </c>
      <c r="B106" s="29" t="s">
        <v>765</v>
      </c>
    </row>
    <row r="107" spans="1:19" x14ac:dyDescent="0.25">
      <c r="A107" s="29" t="s">
        <v>72</v>
      </c>
      <c r="B107" s="29" t="s">
        <v>766</v>
      </c>
    </row>
    <row r="108" spans="1:19" x14ac:dyDescent="0.25">
      <c r="A108" s="29" t="s">
        <v>75</v>
      </c>
      <c r="B108" s="29" t="s">
        <v>767</v>
      </c>
    </row>
    <row r="109" spans="1:19" x14ac:dyDescent="0.25">
      <c r="A109" s="29" t="s">
        <v>76</v>
      </c>
      <c r="B109" s="29" t="s">
        <v>768</v>
      </c>
    </row>
    <row r="112" spans="1:19" ht="15.6" x14ac:dyDescent="0.25">
      <c r="A112" s="119" t="s">
        <v>769</v>
      </c>
      <c r="B112" s="120" t="s">
        <v>770</v>
      </c>
      <c r="C112" s="120" t="s">
        <v>771</v>
      </c>
      <c r="D112" s="121" t="s">
        <v>772</v>
      </c>
    </row>
    <row r="113" spans="1:23" ht="15.6" x14ac:dyDescent="0.25">
      <c r="A113" s="10" t="s">
        <v>71</v>
      </c>
      <c r="B113" s="115">
        <v>0</v>
      </c>
      <c r="C113" s="122">
        <v>150</v>
      </c>
      <c r="D113" s="115">
        <v>300</v>
      </c>
    </row>
    <row r="114" spans="1:23" ht="15.6" x14ac:dyDescent="0.25">
      <c r="A114" s="10" t="s">
        <v>56</v>
      </c>
      <c r="B114" s="115">
        <v>0</v>
      </c>
      <c r="C114" s="122">
        <v>50</v>
      </c>
      <c r="D114" s="115">
        <v>100</v>
      </c>
    </row>
    <row r="115" spans="1:23" ht="15.6" x14ac:dyDescent="0.25">
      <c r="A115" s="10" t="s">
        <v>57</v>
      </c>
      <c r="B115" s="115">
        <v>0</v>
      </c>
      <c r="C115" s="122">
        <v>25</v>
      </c>
      <c r="D115" s="115">
        <v>50</v>
      </c>
    </row>
    <row r="118" spans="1:23" ht="49.5" customHeight="1" x14ac:dyDescent="0.4">
      <c r="A118" s="167" t="s">
        <v>773</v>
      </c>
      <c r="B118" s="168"/>
      <c r="C118" s="168"/>
      <c r="D118" s="168"/>
      <c r="E118" s="123" t="s">
        <v>774</v>
      </c>
      <c r="F118" s="124"/>
      <c r="G118" s="124"/>
      <c r="H118" s="124"/>
      <c r="I118" s="124"/>
      <c r="J118" s="124"/>
      <c r="K118" s="124"/>
      <c r="L118" s="124"/>
      <c r="M118" s="124"/>
      <c r="N118" s="124"/>
      <c r="O118" s="124"/>
      <c r="P118" s="124"/>
      <c r="Q118" s="124"/>
      <c r="R118" s="124"/>
      <c r="S118" s="124"/>
      <c r="T118" s="124"/>
      <c r="U118" s="124"/>
      <c r="V118" s="124"/>
      <c r="W118" s="124"/>
    </row>
    <row r="119" spans="1:23" ht="39" customHeight="1" x14ac:dyDescent="0.35">
      <c r="A119" s="125">
        <f>IFERROR(COUNTIFS(A121:A143, "*"), "Nothing found")</f>
        <v>14</v>
      </c>
      <c r="B119" s="126">
        <f>IFERROR(COUNTIFS(B121:B143, "*"), "Nothing found")</f>
        <v>10</v>
      </c>
      <c r="C119" s="127">
        <f>IFERROR(COUNTIFS(C121:C143, "*"), "Nothing found")</f>
        <v>14</v>
      </c>
      <c r="D119" s="128">
        <f>IFERROR(COUNTIFS(D121:D143, "*"), "Nothing found")</f>
        <v>23</v>
      </c>
      <c r="E119" s="129">
        <f>SUM(A119:D119)</f>
        <v>61</v>
      </c>
      <c r="F119" s="130"/>
      <c r="G119" s="130"/>
      <c r="H119" s="130"/>
      <c r="I119" s="130"/>
      <c r="J119" s="130"/>
      <c r="K119" s="130"/>
      <c r="L119" s="130"/>
      <c r="M119" s="130"/>
      <c r="N119" s="130"/>
      <c r="O119" s="130"/>
      <c r="P119" s="130"/>
      <c r="Q119" s="130"/>
      <c r="R119" s="130"/>
      <c r="S119" s="130"/>
      <c r="T119" s="130"/>
      <c r="U119" s="130"/>
      <c r="V119" s="130"/>
      <c r="W119" s="130"/>
    </row>
    <row r="120" spans="1:23" ht="15.6" x14ac:dyDescent="0.25">
      <c r="A120" s="131" t="s">
        <v>55</v>
      </c>
      <c r="B120" s="132" t="s">
        <v>56</v>
      </c>
      <c r="C120" s="133" t="s">
        <v>57</v>
      </c>
      <c r="D120" s="134" t="s">
        <v>775</v>
      </c>
      <c r="F120" s="130"/>
      <c r="G120" s="130"/>
      <c r="H120" s="130"/>
      <c r="I120" s="130"/>
      <c r="J120" s="130"/>
      <c r="K120" s="130"/>
      <c r="L120" s="130"/>
      <c r="M120" s="130"/>
      <c r="N120" s="130"/>
      <c r="O120" s="130"/>
      <c r="P120" s="130"/>
      <c r="Q120" s="130"/>
      <c r="R120" s="130"/>
      <c r="S120" s="130"/>
      <c r="T120" s="130"/>
      <c r="U120" s="130"/>
      <c r="V120" s="130"/>
      <c r="W120" s="130"/>
    </row>
    <row r="121" spans="1:23" ht="49.5" customHeight="1" x14ac:dyDescent="0.25">
      <c r="A121" s="29" t="s">
        <v>314</v>
      </c>
      <c r="B121" s="96" t="s">
        <v>315</v>
      </c>
      <c r="C121" s="29" t="s">
        <v>283</v>
      </c>
      <c r="D121" s="29" t="s">
        <v>320</v>
      </c>
      <c r="F121" s="130"/>
      <c r="G121" s="130"/>
      <c r="H121" s="130"/>
      <c r="I121" s="130"/>
      <c r="J121" s="130"/>
      <c r="K121" s="130"/>
      <c r="L121" s="130"/>
      <c r="M121" s="130"/>
      <c r="N121" s="130"/>
      <c r="O121" s="130"/>
      <c r="P121" s="130"/>
      <c r="Q121" s="130"/>
      <c r="R121" s="130"/>
      <c r="S121" s="130"/>
      <c r="T121" s="130"/>
      <c r="U121" s="130"/>
      <c r="V121" s="130"/>
      <c r="W121" s="130"/>
    </row>
    <row r="122" spans="1:23" ht="27.6" x14ac:dyDescent="0.25">
      <c r="A122" s="29" t="s">
        <v>316</v>
      </c>
      <c r="B122" s="96" t="s">
        <v>317</v>
      </c>
      <c r="C122" s="29" t="s">
        <v>325</v>
      </c>
      <c r="D122" s="29" t="s">
        <v>321</v>
      </c>
    </row>
    <row r="123" spans="1:23" x14ac:dyDescent="0.25">
      <c r="A123" s="29" t="s">
        <v>318</v>
      </c>
      <c r="B123" s="29" t="s">
        <v>319</v>
      </c>
      <c r="C123" s="29" t="s">
        <v>339</v>
      </c>
      <c r="D123" s="29" t="s">
        <v>322</v>
      </c>
    </row>
    <row r="124" spans="1:23" x14ac:dyDescent="0.25">
      <c r="A124" s="29" t="s">
        <v>324</v>
      </c>
      <c r="B124" s="29" t="s">
        <v>327</v>
      </c>
      <c r="C124" s="29" t="s">
        <v>346</v>
      </c>
      <c r="D124" s="29" t="s">
        <v>323</v>
      </c>
    </row>
    <row r="125" spans="1:23" x14ac:dyDescent="0.25">
      <c r="A125" s="29" t="s">
        <v>326</v>
      </c>
      <c r="B125" s="29" t="s">
        <v>330</v>
      </c>
      <c r="C125" s="29" t="s">
        <v>349</v>
      </c>
      <c r="D125" s="29" t="s">
        <v>331</v>
      </c>
    </row>
    <row r="126" spans="1:23" x14ac:dyDescent="0.25">
      <c r="A126" s="29" t="s">
        <v>328</v>
      </c>
      <c r="B126" s="29" t="s">
        <v>338</v>
      </c>
      <c r="C126" s="29" t="s">
        <v>350</v>
      </c>
      <c r="D126" s="29" t="s">
        <v>332</v>
      </c>
    </row>
    <row r="127" spans="1:23" x14ac:dyDescent="0.25">
      <c r="A127" s="29" t="s">
        <v>329</v>
      </c>
      <c r="B127" s="29" t="s">
        <v>360</v>
      </c>
      <c r="C127" s="29" t="s">
        <v>286</v>
      </c>
      <c r="D127" s="29" t="s">
        <v>333</v>
      </c>
    </row>
    <row r="128" spans="1:23" x14ac:dyDescent="0.25">
      <c r="A128" s="29" t="s">
        <v>335</v>
      </c>
      <c r="B128" s="29" t="s">
        <v>361</v>
      </c>
      <c r="C128" s="29" t="s">
        <v>355</v>
      </c>
      <c r="D128" s="29" t="s">
        <v>334</v>
      </c>
    </row>
    <row r="129" spans="1:4" x14ac:dyDescent="0.25">
      <c r="A129" s="29" t="s">
        <v>336</v>
      </c>
      <c r="B129" s="29" t="s">
        <v>364</v>
      </c>
      <c r="C129" s="29" t="s">
        <v>362</v>
      </c>
      <c r="D129" s="29" t="s">
        <v>337</v>
      </c>
    </row>
    <row r="130" spans="1:4" x14ac:dyDescent="0.25">
      <c r="A130" s="29" t="s">
        <v>343</v>
      </c>
      <c r="B130" s="29" t="s">
        <v>365</v>
      </c>
      <c r="C130" s="29" t="s">
        <v>287</v>
      </c>
      <c r="D130" s="29" t="s">
        <v>340</v>
      </c>
    </row>
    <row r="131" spans="1:4" x14ac:dyDescent="0.25">
      <c r="A131" s="29" t="s">
        <v>345</v>
      </c>
      <c r="C131" s="29" t="s">
        <v>366</v>
      </c>
      <c r="D131" s="29" t="s">
        <v>341</v>
      </c>
    </row>
    <row r="132" spans="1:4" x14ac:dyDescent="0.25">
      <c r="A132" s="29" t="s">
        <v>347</v>
      </c>
      <c r="C132" s="29" t="s">
        <v>367</v>
      </c>
      <c r="D132" s="29" t="s">
        <v>342</v>
      </c>
    </row>
    <row r="133" spans="1:4" x14ac:dyDescent="0.25">
      <c r="A133" s="29" t="s">
        <v>348</v>
      </c>
      <c r="C133" s="29" t="s">
        <v>370</v>
      </c>
      <c r="D133" s="29" t="s">
        <v>344</v>
      </c>
    </row>
    <row r="134" spans="1:4" x14ac:dyDescent="0.25">
      <c r="A134" s="29" t="s">
        <v>351</v>
      </c>
      <c r="C134" s="29" t="s">
        <v>371</v>
      </c>
      <c r="D134" s="29" t="s">
        <v>352</v>
      </c>
    </row>
    <row r="135" spans="1:4" x14ac:dyDescent="0.25">
      <c r="D135" s="29" t="s">
        <v>353</v>
      </c>
    </row>
    <row r="136" spans="1:4" x14ac:dyDescent="0.25">
      <c r="D136" s="29" t="s">
        <v>354</v>
      </c>
    </row>
    <row r="137" spans="1:4" x14ac:dyDescent="0.25">
      <c r="D137" s="29" t="s">
        <v>356</v>
      </c>
    </row>
    <row r="138" spans="1:4" x14ac:dyDescent="0.25">
      <c r="D138" s="29" t="s">
        <v>357</v>
      </c>
    </row>
    <row r="139" spans="1:4" x14ac:dyDescent="0.25">
      <c r="D139" s="29" t="s">
        <v>358</v>
      </c>
    </row>
    <row r="140" spans="1:4" x14ac:dyDescent="0.25">
      <c r="D140" s="29" t="s">
        <v>359</v>
      </c>
    </row>
    <row r="141" spans="1:4" x14ac:dyDescent="0.25">
      <c r="D141" s="29" t="s">
        <v>363</v>
      </c>
    </row>
    <row r="142" spans="1:4" x14ac:dyDescent="0.25">
      <c r="D142" s="29" t="s">
        <v>368</v>
      </c>
    </row>
    <row r="143" spans="1:4" x14ac:dyDescent="0.25">
      <c r="D143" s="29" t="s">
        <v>369</v>
      </c>
    </row>
    <row r="144" spans="1:4" ht="20.399999999999999" x14ac:dyDescent="0.35">
      <c r="A144" s="169" t="s">
        <v>731</v>
      </c>
      <c r="B144" s="169"/>
      <c r="C144" s="169"/>
      <c r="D144" s="169"/>
    </row>
    <row r="149" spans="1:5" ht="12.9" customHeight="1" x14ac:dyDescent="0.25"/>
    <row r="150" spans="1:5" ht="52.5" customHeight="1" x14ac:dyDescent="0.4">
      <c r="A150" s="167" t="s">
        <v>776</v>
      </c>
      <c r="B150" s="168"/>
      <c r="C150" s="168"/>
      <c r="D150" s="168"/>
      <c r="E150" s="123" t="s">
        <v>774</v>
      </c>
    </row>
    <row r="151" spans="1:5" ht="26.4" customHeight="1" x14ac:dyDescent="0.35">
      <c r="A151" s="125">
        <f>IFERROR(COUNTIFS(A153:A181, "*"), "Nothing found")</f>
        <v>16</v>
      </c>
      <c r="B151" s="126">
        <f>IFERROR(COUNTIFS(B153:B181, "*"), "Nothing found")</f>
        <v>14</v>
      </c>
      <c r="C151" s="127">
        <f>IFERROR(COUNTIFS(C153:C181, "*"), "Nothing found")</f>
        <v>20</v>
      </c>
      <c r="D151" s="128">
        <f>IFERROR(COUNTIFS(D153:D181, "*"), "Nothing found")</f>
        <v>28</v>
      </c>
      <c r="E151" s="129">
        <f>SUM(A151:D151)</f>
        <v>78</v>
      </c>
    </row>
    <row r="152" spans="1:5" ht="42.9" customHeight="1" x14ac:dyDescent="0.25">
      <c r="A152" s="131" t="s">
        <v>55</v>
      </c>
      <c r="B152" s="132" t="s">
        <v>56</v>
      </c>
      <c r="C152" s="133" t="s">
        <v>57</v>
      </c>
      <c r="D152" s="134" t="s">
        <v>777</v>
      </c>
    </row>
    <row r="153" spans="1:5" ht="27.6" x14ac:dyDescent="0.25">
      <c r="A153" s="29" t="s">
        <v>314</v>
      </c>
      <c r="B153" s="96" t="s">
        <v>315</v>
      </c>
      <c r="C153" s="29" t="s">
        <v>283</v>
      </c>
      <c r="D153" s="29" t="s">
        <v>320</v>
      </c>
      <c r="E153" s="96"/>
    </row>
    <row r="154" spans="1:5" ht="27.6" x14ac:dyDescent="0.25">
      <c r="A154" s="29" t="s">
        <v>316</v>
      </c>
      <c r="B154" s="96" t="s">
        <v>317</v>
      </c>
      <c r="C154" s="29" t="s">
        <v>325</v>
      </c>
      <c r="D154" s="29" t="s">
        <v>321</v>
      </c>
      <c r="E154" s="96"/>
    </row>
    <row r="155" spans="1:5" x14ac:dyDescent="0.25">
      <c r="A155" s="29" t="s">
        <v>318</v>
      </c>
      <c r="B155" s="29" t="s">
        <v>319</v>
      </c>
      <c r="C155" s="29" t="s">
        <v>375</v>
      </c>
      <c r="D155" s="29" t="s">
        <v>322</v>
      </c>
    </row>
    <row r="156" spans="1:5" x14ac:dyDescent="0.25">
      <c r="A156" s="29" t="s">
        <v>324</v>
      </c>
      <c r="B156" s="29" t="s">
        <v>376</v>
      </c>
      <c r="C156" s="29" t="s">
        <v>378</v>
      </c>
      <c r="D156" s="29" t="s">
        <v>323</v>
      </c>
    </row>
    <row r="157" spans="1:5" x14ac:dyDescent="0.25">
      <c r="A157" s="29" t="s">
        <v>326</v>
      </c>
      <c r="B157" s="29" t="s">
        <v>327</v>
      </c>
      <c r="C157" s="29" t="s">
        <v>379</v>
      </c>
      <c r="D157" s="29" t="s">
        <v>377</v>
      </c>
    </row>
    <row r="158" spans="1:5" x14ac:dyDescent="0.25">
      <c r="A158" s="29" t="s">
        <v>328</v>
      </c>
      <c r="B158" s="29" t="s">
        <v>330</v>
      </c>
      <c r="C158" s="29" t="s">
        <v>380</v>
      </c>
      <c r="D158" s="29" t="s">
        <v>331</v>
      </c>
    </row>
    <row r="159" spans="1:5" x14ac:dyDescent="0.25">
      <c r="A159" s="29" t="s">
        <v>329</v>
      </c>
      <c r="B159" s="29" t="s">
        <v>284</v>
      </c>
      <c r="C159" s="29" t="s">
        <v>339</v>
      </c>
      <c r="D159" s="29" t="s">
        <v>332</v>
      </c>
    </row>
    <row r="160" spans="1:5" x14ac:dyDescent="0.25">
      <c r="A160" s="29" t="s">
        <v>335</v>
      </c>
      <c r="B160" s="29" t="s">
        <v>285</v>
      </c>
      <c r="C160" s="29" t="s">
        <v>346</v>
      </c>
      <c r="D160" s="29" t="s">
        <v>333</v>
      </c>
    </row>
    <row r="161" spans="1:4" x14ac:dyDescent="0.25">
      <c r="A161" s="29" t="s">
        <v>336</v>
      </c>
      <c r="B161" s="29" t="s">
        <v>338</v>
      </c>
      <c r="C161" s="29" t="s">
        <v>349</v>
      </c>
      <c r="D161" s="29" t="s">
        <v>334</v>
      </c>
    </row>
    <row r="162" spans="1:4" x14ac:dyDescent="0.25">
      <c r="A162" s="29" t="s">
        <v>343</v>
      </c>
      <c r="B162" s="29" t="s">
        <v>383</v>
      </c>
      <c r="C162" s="29" t="s">
        <v>350</v>
      </c>
      <c r="D162" s="29" t="s">
        <v>337</v>
      </c>
    </row>
    <row r="163" spans="1:4" x14ac:dyDescent="0.25">
      <c r="A163" s="29" t="s">
        <v>345</v>
      </c>
      <c r="B163" s="29" t="s">
        <v>360</v>
      </c>
      <c r="C163" s="29" t="s">
        <v>385</v>
      </c>
      <c r="D163" s="29" t="s">
        <v>340</v>
      </c>
    </row>
    <row r="164" spans="1:4" x14ac:dyDescent="0.25">
      <c r="A164" s="29" t="s">
        <v>347</v>
      </c>
      <c r="B164" s="29" t="s">
        <v>361</v>
      </c>
      <c r="C164" s="29" t="s">
        <v>386</v>
      </c>
      <c r="D164" s="29" t="s">
        <v>341</v>
      </c>
    </row>
    <row r="165" spans="1:4" x14ac:dyDescent="0.25">
      <c r="A165" s="29" t="s">
        <v>348</v>
      </c>
      <c r="B165" s="29" t="s">
        <v>364</v>
      </c>
      <c r="C165" s="29" t="s">
        <v>286</v>
      </c>
      <c r="D165" s="29" t="s">
        <v>342</v>
      </c>
    </row>
    <row r="166" spans="1:4" x14ac:dyDescent="0.25">
      <c r="A166" s="29" t="s">
        <v>351</v>
      </c>
      <c r="B166" s="29" t="s">
        <v>365</v>
      </c>
      <c r="C166" s="29" t="s">
        <v>355</v>
      </c>
      <c r="D166" s="29" t="s">
        <v>381</v>
      </c>
    </row>
    <row r="167" spans="1:4" x14ac:dyDescent="0.25">
      <c r="A167" s="29" t="s">
        <v>384</v>
      </c>
      <c r="C167" s="29" t="s">
        <v>362</v>
      </c>
      <c r="D167" s="29" t="s">
        <v>344</v>
      </c>
    </row>
    <row r="168" spans="1:4" x14ac:dyDescent="0.25">
      <c r="A168" s="29" t="s">
        <v>389</v>
      </c>
      <c r="C168" s="29" t="s">
        <v>287</v>
      </c>
      <c r="D168" s="29" t="s">
        <v>382</v>
      </c>
    </row>
    <row r="169" spans="1:4" x14ac:dyDescent="0.25">
      <c r="C169" s="29" t="s">
        <v>366</v>
      </c>
      <c r="D169" s="29" t="s">
        <v>352</v>
      </c>
    </row>
    <row r="170" spans="1:4" x14ac:dyDescent="0.25">
      <c r="C170" s="29" t="s">
        <v>367</v>
      </c>
      <c r="D170" s="29" t="s">
        <v>353</v>
      </c>
    </row>
    <row r="171" spans="1:4" x14ac:dyDescent="0.25">
      <c r="C171" s="29" t="s">
        <v>370</v>
      </c>
      <c r="D171" s="29" t="s">
        <v>354</v>
      </c>
    </row>
    <row r="172" spans="1:4" x14ac:dyDescent="0.25">
      <c r="C172" s="29" t="s">
        <v>371</v>
      </c>
      <c r="D172" s="29" t="s">
        <v>387</v>
      </c>
    </row>
    <row r="173" spans="1:4" x14ac:dyDescent="0.25">
      <c r="D173" s="29" t="s">
        <v>388</v>
      </c>
    </row>
    <row r="174" spans="1:4" x14ac:dyDescent="0.25">
      <c r="D174" s="29" t="s">
        <v>356</v>
      </c>
    </row>
    <row r="175" spans="1:4" x14ac:dyDescent="0.25">
      <c r="D175" s="29" t="s">
        <v>357</v>
      </c>
    </row>
    <row r="176" spans="1:4" x14ac:dyDescent="0.25">
      <c r="D176" s="29" t="s">
        <v>358</v>
      </c>
    </row>
    <row r="177" spans="1:5" x14ac:dyDescent="0.25">
      <c r="D177" s="29" t="s">
        <v>359</v>
      </c>
    </row>
    <row r="178" spans="1:5" x14ac:dyDescent="0.25">
      <c r="D178" s="29" t="s">
        <v>363</v>
      </c>
    </row>
    <row r="179" spans="1:5" x14ac:dyDescent="0.25">
      <c r="D179" s="29" t="s">
        <v>368</v>
      </c>
    </row>
    <row r="180" spans="1:5" x14ac:dyDescent="0.25">
      <c r="D180" s="29" t="s">
        <v>369</v>
      </c>
    </row>
    <row r="182" spans="1:5" ht="20.399999999999999" x14ac:dyDescent="0.35">
      <c r="A182" s="169" t="s">
        <v>731</v>
      </c>
      <c r="B182" s="169"/>
      <c r="C182" s="169"/>
      <c r="D182" s="169"/>
    </row>
    <row r="187" spans="1:5" ht="50.25" customHeight="1" x14ac:dyDescent="0.4">
      <c r="A187" s="167" t="s">
        <v>778</v>
      </c>
      <c r="B187" s="168"/>
      <c r="C187" s="168"/>
      <c r="D187" s="168"/>
      <c r="E187" s="123" t="s">
        <v>774</v>
      </c>
    </row>
    <row r="188" spans="1:5" ht="20.399999999999999" x14ac:dyDescent="0.35">
      <c r="A188" s="125">
        <f>IFERROR(COUNTIFS(A190:A221, "*"), "Nothing found")</f>
        <v>16</v>
      </c>
      <c r="B188" s="126">
        <f>IFERROR(COUNTIFS(B190:B221, "*"), "Nothing found")</f>
        <v>17</v>
      </c>
      <c r="C188" s="127">
        <f>IFERROR(COUNTIFS(C190:C221, "*"), "Nothing found")</f>
        <v>22</v>
      </c>
      <c r="D188" s="128">
        <f>IFERROR(COUNTIFS(D190:D221, "*"), "Nothing found")</f>
        <v>32</v>
      </c>
      <c r="E188" s="129">
        <f>SUM(A188:D188)-1</f>
        <v>86</v>
      </c>
    </row>
    <row r="189" spans="1:5" ht="29.25" customHeight="1" x14ac:dyDescent="0.25">
      <c r="A189" s="131" t="s">
        <v>55</v>
      </c>
      <c r="B189" s="132" t="s">
        <v>56</v>
      </c>
      <c r="C189" s="133" t="s">
        <v>57</v>
      </c>
      <c r="D189" s="134" t="s">
        <v>777</v>
      </c>
    </row>
    <row r="190" spans="1:5" ht="50.25" customHeight="1" x14ac:dyDescent="0.25">
      <c r="A190" s="29" t="s">
        <v>314</v>
      </c>
      <c r="B190" s="96" t="s">
        <v>315</v>
      </c>
      <c r="C190" s="29" t="s">
        <v>283</v>
      </c>
      <c r="D190" s="29" t="s">
        <v>320</v>
      </c>
    </row>
    <row r="191" spans="1:5" ht="27.6" x14ac:dyDescent="0.25">
      <c r="A191" s="29" t="s">
        <v>316</v>
      </c>
      <c r="B191" s="96" t="s">
        <v>317</v>
      </c>
      <c r="C191" s="29" t="s">
        <v>325</v>
      </c>
      <c r="D191" s="29" t="s">
        <v>321</v>
      </c>
    </row>
    <row r="192" spans="1:5" x14ac:dyDescent="0.25">
      <c r="A192" s="29" t="s">
        <v>318</v>
      </c>
      <c r="B192" s="29" t="s">
        <v>319</v>
      </c>
      <c r="C192" s="29" t="s">
        <v>375</v>
      </c>
      <c r="D192" s="29" t="s">
        <v>322</v>
      </c>
    </row>
    <row r="193" spans="1:4" x14ac:dyDescent="0.25">
      <c r="A193" s="29" t="s">
        <v>324</v>
      </c>
      <c r="B193" s="29" t="s">
        <v>376</v>
      </c>
      <c r="C193" s="29" t="s">
        <v>378</v>
      </c>
      <c r="D193" s="29" t="s">
        <v>323</v>
      </c>
    </row>
    <row r="194" spans="1:4" x14ac:dyDescent="0.25">
      <c r="A194" s="29" t="s">
        <v>326</v>
      </c>
      <c r="B194" s="29" t="s">
        <v>327</v>
      </c>
      <c r="C194" s="29" t="s">
        <v>379</v>
      </c>
      <c r="D194" s="29" t="s">
        <v>377</v>
      </c>
    </row>
    <row r="195" spans="1:4" x14ac:dyDescent="0.25">
      <c r="A195" s="29" t="s">
        <v>328</v>
      </c>
      <c r="B195" s="29" t="s">
        <v>330</v>
      </c>
      <c r="C195" s="29" t="s">
        <v>380</v>
      </c>
      <c r="D195" s="29" t="s">
        <v>331</v>
      </c>
    </row>
    <row r="196" spans="1:4" x14ac:dyDescent="0.25">
      <c r="A196" s="29" t="s">
        <v>329</v>
      </c>
      <c r="B196" s="29" t="s">
        <v>284</v>
      </c>
      <c r="C196" s="29" t="s">
        <v>339</v>
      </c>
      <c r="D196" s="29" t="s">
        <v>332</v>
      </c>
    </row>
    <row r="197" spans="1:4" x14ac:dyDescent="0.25">
      <c r="A197" s="29" t="s">
        <v>335</v>
      </c>
      <c r="B197" s="29" t="s">
        <v>285</v>
      </c>
      <c r="C197" s="29" t="s">
        <v>346</v>
      </c>
      <c r="D197" s="29" t="s">
        <v>333</v>
      </c>
    </row>
    <row r="198" spans="1:4" x14ac:dyDescent="0.25">
      <c r="A198" s="29" t="s">
        <v>336</v>
      </c>
      <c r="B198" s="29" t="s">
        <v>338</v>
      </c>
      <c r="C198" s="29" t="s">
        <v>349</v>
      </c>
      <c r="D198" s="29" t="s">
        <v>334</v>
      </c>
    </row>
    <row r="199" spans="1:4" x14ac:dyDescent="0.25">
      <c r="A199" s="29" t="s">
        <v>343</v>
      </c>
      <c r="B199" s="29" t="s">
        <v>383</v>
      </c>
      <c r="C199" s="29" t="s">
        <v>350</v>
      </c>
      <c r="D199" s="29" t="s">
        <v>337</v>
      </c>
    </row>
    <row r="200" spans="1:4" x14ac:dyDescent="0.25">
      <c r="A200" s="29" t="s">
        <v>345</v>
      </c>
      <c r="B200" s="29" t="s">
        <v>394</v>
      </c>
      <c r="C200" s="29" t="s">
        <v>391</v>
      </c>
      <c r="D200" s="29" t="s">
        <v>340</v>
      </c>
    </row>
    <row r="201" spans="1:4" x14ac:dyDescent="0.25">
      <c r="A201" s="29" t="s">
        <v>347</v>
      </c>
      <c r="B201" s="29" t="s">
        <v>395</v>
      </c>
      <c r="C201" s="29" t="s">
        <v>385</v>
      </c>
      <c r="D201" s="29" t="s">
        <v>341</v>
      </c>
    </row>
    <row r="202" spans="1:4" x14ac:dyDescent="0.25">
      <c r="A202" s="29" t="s">
        <v>348</v>
      </c>
      <c r="B202" s="29" t="s">
        <v>360</v>
      </c>
      <c r="C202" s="29" t="s">
        <v>386</v>
      </c>
      <c r="D202" s="29" t="s">
        <v>342</v>
      </c>
    </row>
    <row r="203" spans="1:4" x14ac:dyDescent="0.25">
      <c r="A203" s="29" t="s">
        <v>351</v>
      </c>
      <c r="B203" s="29" t="s">
        <v>361</v>
      </c>
      <c r="C203" s="29" t="s">
        <v>286</v>
      </c>
      <c r="D203" s="29" t="s">
        <v>381</v>
      </c>
    </row>
    <row r="204" spans="1:4" x14ac:dyDescent="0.25">
      <c r="A204" s="29" t="s">
        <v>384</v>
      </c>
      <c r="B204" s="29" t="s">
        <v>364</v>
      </c>
      <c r="C204" s="29" t="s">
        <v>355</v>
      </c>
      <c r="D204" s="29" t="s">
        <v>344</v>
      </c>
    </row>
    <row r="205" spans="1:4" x14ac:dyDescent="0.25">
      <c r="A205" s="29" t="s">
        <v>389</v>
      </c>
      <c r="B205" s="29" t="s">
        <v>365</v>
      </c>
      <c r="C205" s="29" t="s">
        <v>362</v>
      </c>
      <c r="D205" s="29" t="s">
        <v>382</v>
      </c>
    </row>
    <row r="206" spans="1:4" x14ac:dyDescent="0.25">
      <c r="B206" s="29" t="s">
        <v>397</v>
      </c>
      <c r="C206" s="29" t="s">
        <v>287</v>
      </c>
      <c r="D206" s="29" t="s">
        <v>352</v>
      </c>
    </row>
    <row r="207" spans="1:4" x14ac:dyDescent="0.25">
      <c r="C207" s="29" t="s">
        <v>396</v>
      </c>
      <c r="D207" s="29" t="s">
        <v>353</v>
      </c>
    </row>
    <row r="208" spans="1:4" x14ac:dyDescent="0.25">
      <c r="C208" s="29" t="s">
        <v>366</v>
      </c>
      <c r="D208" s="29" t="s">
        <v>354</v>
      </c>
    </row>
    <row r="209" spans="1:5" x14ac:dyDescent="0.25">
      <c r="C209" s="29" t="s">
        <v>367</v>
      </c>
      <c r="D209" s="29" t="s">
        <v>392</v>
      </c>
    </row>
    <row r="210" spans="1:5" x14ac:dyDescent="0.25">
      <c r="C210" s="29" t="s">
        <v>288</v>
      </c>
      <c r="D210" s="29" t="s">
        <v>393</v>
      </c>
    </row>
    <row r="211" spans="1:5" x14ac:dyDescent="0.25">
      <c r="C211" s="29" t="s">
        <v>371</v>
      </c>
      <c r="D211" s="29" t="s">
        <v>387</v>
      </c>
    </row>
    <row r="212" spans="1:5" x14ac:dyDescent="0.25">
      <c r="D212" s="29" t="s">
        <v>388</v>
      </c>
    </row>
    <row r="213" spans="1:5" x14ac:dyDescent="0.25">
      <c r="D213" s="29" t="s">
        <v>356</v>
      </c>
    </row>
    <row r="214" spans="1:5" x14ac:dyDescent="0.25">
      <c r="D214" s="29" t="s">
        <v>357</v>
      </c>
    </row>
    <row r="215" spans="1:5" x14ac:dyDescent="0.25">
      <c r="D215" s="29" t="s">
        <v>358</v>
      </c>
    </row>
    <row r="216" spans="1:5" x14ac:dyDescent="0.25">
      <c r="D216" s="29" t="s">
        <v>359</v>
      </c>
    </row>
    <row r="217" spans="1:5" x14ac:dyDescent="0.25">
      <c r="D217" s="29" t="s">
        <v>363</v>
      </c>
    </row>
    <row r="218" spans="1:5" x14ac:dyDescent="0.25">
      <c r="D218" s="29" t="s">
        <v>368</v>
      </c>
    </row>
    <row r="219" spans="1:5" x14ac:dyDescent="0.25">
      <c r="D219" s="29" t="s">
        <v>369</v>
      </c>
    </row>
    <row r="220" spans="1:5" x14ac:dyDescent="0.25">
      <c r="D220" s="29" t="s">
        <v>398</v>
      </c>
    </row>
    <row r="221" spans="1:5" x14ac:dyDescent="0.25">
      <c r="D221" s="29" t="s">
        <v>370</v>
      </c>
      <c r="E221" s="29" t="s">
        <v>779</v>
      </c>
    </row>
    <row r="222" spans="1:5" ht="20.399999999999999" x14ac:dyDescent="0.35">
      <c r="A222" s="169" t="s">
        <v>731</v>
      </c>
      <c r="B222" s="169"/>
      <c r="C222" s="169"/>
      <c r="D222" s="169"/>
    </row>
    <row r="224" spans="1:5" ht="20.399999999999999" x14ac:dyDescent="0.35">
      <c r="A224" s="154" t="s">
        <v>780</v>
      </c>
      <c r="B224" s="155" t="s">
        <v>781</v>
      </c>
    </row>
    <row r="226" spans="1:7" ht="24.6" x14ac:dyDescent="0.4">
      <c r="A226" s="60" t="s">
        <v>782</v>
      </c>
      <c r="B226" s="60" t="s">
        <v>138</v>
      </c>
      <c r="C226" s="60" t="s">
        <v>139</v>
      </c>
      <c r="D226" s="60" t="s">
        <v>140</v>
      </c>
      <c r="E226" s="60" t="s">
        <v>136</v>
      </c>
      <c r="F226" s="60" t="s">
        <v>137</v>
      </c>
      <c r="G226" s="152"/>
    </row>
    <row r="227" spans="1:7" ht="72.599999999999994" customHeight="1" x14ac:dyDescent="0.3">
      <c r="A227" s="77">
        <v>1</v>
      </c>
      <c r="B227" s="61" t="s">
        <v>144</v>
      </c>
      <c r="C227" s="44" t="s">
        <v>783</v>
      </c>
      <c r="D227" s="62" t="s">
        <v>784</v>
      </c>
      <c r="E227" s="47">
        <f>IFERROR(VLOOKUP(C227,MasterTable[[#All],[WCAG guideline]:[2.2 Level]],3,FALSE), "Not found")</f>
        <v>2</v>
      </c>
      <c r="F227" s="46" t="str">
        <f>IFERROR(VLOOKUP(C227,MasterTable[[#All],[WCAG guideline]:[2.2 Level]],4,FALSE), "Not found")</f>
        <v>A</v>
      </c>
      <c r="G227" s="103"/>
    </row>
    <row r="228" spans="1:7" ht="81.599999999999994" customHeight="1" x14ac:dyDescent="0.3">
      <c r="A228" s="44">
        <v>2</v>
      </c>
      <c r="B228" s="61" t="s">
        <v>145</v>
      </c>
      <c r="C228" s="44" t="s">
        <v>783</v>
      </c>
      <c r="D228" s="62" t="s">
        <v>785</v>
      </c>
      <c r="E228" s="47">
        <f>IFERROR(VLOOKUP(C228,MasterTable[[#All],[WCAG guideline]:[2.2 Level]],3,FALSE), "Not found")</f>
        <v>2</v>
      </c>
      <c r="F228" s="46" t="str">
        <f>IFERROR(VLOOKUP(C228,MasterTable[[#All],[WCAG guideline]:[2.2 Level]],4,FALSE), "Not found")</f>
        <v>A</v>
      </c>
      <c r="G228" s="103"/>
    </row>
    <row r="229" spans="1:7" ht="70.2" customHeight="1" x14ac:dyDescent="0.3">
      <c r="A229" s="44">
        <v>3</v>
      </c>
      <c r="B229" s="61" t="s">
        <v>146</v>
      </c>
      <c r="C229" s="44" t="s">
        <v>783</v>
      </c>
      <c r="D229" s="62" t="s">
        <v>786</v>
      </c>
      <c r="E229" s="47">
        <f>IFERROR(VLOOKUP(C229,MasterTable[[#All],[WCAG guideline]:[2.2 Level]],3,FALSE), "Not found")</f>
        <v>2</v>
      </c>
      <c r="F229" s="46" t="str">
        <f>IFERROR(VLOOKUP(C229,MasterTable[[#All],[WCAG guideline]:[2.2 Level]],4,FALSE), "Not found")</f>
        <v>A</v>
      </c>
      <c r="G229" s="103"/>
    </row>
    <row r="230" spans="1:7" ht="67.2" customHeight="1" x14ac:dyDescent="0.3">
      <c r="A230" s="44">
        <v>4</v>
      </c>
      <c r="B230" s="61" t="s">
        <v>147</v>
      </c>
      <c r="C230" s="44" t="s">
        <v>783</v>
      </c>
      <c r="D230" s="62" t="s">
        <v>787</v>
      </c>
      <c r="E230" s="47">
        <f>IFERROR(VLOOKUP(C230,MasterTable[[#All],[WCAG guideline]:[2.2 Level]],3,FALSE), "Not found")</f>
        <v>2</v>
      </c>
      <c r="F230" s="46" t="str">
        <f>IFERROR(VLOOKUP(C230,MasterTable[[#All],[WCAG guideline]:[2.2 Level]],4,FALSE), "Not found")</f>
        <v>A</v>
      </c>
      <c r="G230" s="103"/>
    </row>
    <row r="231" spans="1:7" ht="78" customHeight="1" x14ac:dyDescent="0.3">
      <c r="A231" s="44">
        <v>5</v>
      </c>
      <c r="B231" s="61" t="s">
        <v>148</v>
      </c>
      <c r="C231" s="44" t="s">
        <v>783</v>
      </c>
      <c r="D231" s="62" t="s">
        <v>788</v>
      </c>
      <c r="E231" s="47">
        <f>IFERROR(VLOOKUP(C231,MasterTable[[#All],[WCAG guideline]:[2.2 Level]],3,FALSE), "Not found")</f>
        <v>2</v>
      </c>
      <c r="F231" s="46" t="str">
        <f>IFERROR(VLOOKUP(C231,MasterTable[[#All],[WCAG guideline]:[2.2 Level]],4,FALSE), "Not found")</f>
        <v>A</v>
      </c>
      <c r="G231" s="103"/>
    </row>
    <row r="232" spans="1:7" ht="46.8" x14ac:dyDescent="0.3">
      <c r="A232" s="44">
        <v>6</v>
      </c>
      <c r="B232" s="61" t="s">
        <v>149</v>
      </c>
      <c r="C232" s="44" t="s">
        <v>314</v>
      </c>
      <c r="D232" s="118" t="s">
        <v>789</v>
      </c>
      <c r="E232" s="47">
        <f>IFERROR(VLOOKUP(C232,MasterTable[[#All],[WCAG guideline]:[2.2 Level]],3,FALSE), "Not found")</f>
        <v>2</v>
      </c>
      <c r="F232" s="46" t="str">
        <f>IFERROR(VLOOKUP(C232,MasterTable[[#All],[WCAG guideline]:[2.2 Level]],4,FALSE), "Not found")</f>
        <v>A</v>
      </c>
      <c r="G232" s="103"/>
    </row>
    <row r="233" spans="1:7" ht="68.400000000000006" customHeight="1" x14ac:dyDescent="0.3">
      <c r="A233" s="44">
        <v>7</v>
      </c>
      <c r="B233" s="61" t="s">
        <v>150</v>
      </c>
      <c r="C233" s="44" t="s">
        <v>314</v>
      </c>
      <c r="D233" s="118" t="s">
        <v>790</v>
      </c>
      <c r="E233" s="47">
        <f>IFERROR(VLOOKUP(C233,MasterTable[[#All],[WCAG guideline]:[2.2 Level]],3,FALSE), "Not found")</f>
        <v>2</v>
      </c>
      <c r="F233" s="46" t="str">
        <f>IFERROR(VLOOKUP(C233,MasterTable[[#All],[WCAG guideline]:[2.2 Level]],4,FALSE), "Not found")</f>
        <v>A</v>
      </c>
      <c r="G233" s="103"/>
    </row>
    <row r="234" spans="1:7" ht="68.400000000000006" customHeight="1" x14ac:dyDescent="0.3">
      <c r="A234" s="44">
        <v>8</v>
      </c>
      <c r="B234" s="61" t="s">
        <v>151</v>
      </c>
      <c r="C234" s="44" t="s">
        <v>783</v>
      </c>
      <c r="D234" s="62" t="s">
        <v>791</v>
      </c>
      <c r="E234" s="47">
        <f>IFERROR(VLOOKUP(C234,MasterTable[[#All],[WCAG guideline]:[2.2 Level]],3,FALSE), "Not found")</f>
        <v>2</v>
      </c>
      <c r="F234" s="46" t="str">
        <f>IFERROR(VLOOKUP(C234,MasterTable[[#All],[WCAG guideline]:[2.2 Level]],4,FALSE), "Not found")</f>
        <v>A</v>
      </c>
      <c r="G234" s="103"/>
    </row>
    <row r="235" spans="1:7" ht="76.95" customHeight="1" x14ac:dyDescent="0.3">
      <c r="A235" s="44">
        <v>9</v>
      </c>
      <c r="B235" s="61" t="s">
        <v>152</v>
      </c>
      <c r="C235" s="44" t="s">
        <v>783</v>
      </c>
      <c r="D235" s="62" t="s">
        <v>792</v>
      </c>
      <c r="E235" s="47">
        <f>IFERROR(VLOOKUP(C235,MasterTable[[#All],[WCAG guideline]:[2.2 Level]],3,FALSE), "Not found")</f>
        <v>2</v>
      </c>
      <c r="F235" s="46" t="str">
        <f>IFERROR(VLOOKUP(C235,MasterTable[[#All],[WCAG guideline]:[2.2 Level]],4,FALSE), "Not found")</f>
        <v>A</v>
      </c>
      <c r="G235" s="103"/>
    </row>
    <row r="236" spans="1:7" ht="46.8" x14ac:dyDescent="0.3">
      <c r="A236" s="44">
        <v>10</v>
      </c>
      <c r="B236" s="61" t="s">
        <v>153</v>
      </c>
      <c r="C236" s="44" t="s">
        <v>783</v>
      </c>
      <c r="D236" s="62" t="s">
        <v>793</v>
      </c>
      <c r="E236" s="47">
        <f>IFERROR(VLOOKUP(C236,MasterTable[[#All],[WCAG guideline]:[2.2 Level]],3,FALSE), "Not found")</f>
        <v>2</v>
      </c>
      <c r="F236" s="46" t="str">
        <f>IFERROR(VLOOKUP(C236,MasterTable[[#All],[WCAG guideline]:[2.2 Level]],4,FALSE), "Not found")</f>
        <v>A</v>
      </c>
      <c r="G236" s="103"/>
    </row>
    <row r="237" spans="1:7" ht="31.2" x14ac:dyDescent="0.3">
      <c r="A237" s="44">
        <v>11</v>
      </c>
      <c r="B237" s="61" t="s">
        <v>154</v>
      </c>
      <c r="C237" s="44" t="s">
        <v>783</v>
      </c>
      <c r="D237" s="62" t="s">
        <v>794</v>
      </c>
      <c r="E237" s="47">
        <f>IFERROR(VLOOKUP(C237,MasterTable[[#All],[WCAG guideline]:[2.2 Level]],3,FALSE), "Not found")</f>
        <v>2</v>
      </c>
      <c r="F237" s="46" t="str">
        <f>IFERROR(VLOOKUP(C237,MasterTable[[#All],[WCAG guideline]:[2.2 Level]],4,FALSE), "Not found")</f>
        <v>A</v>
      </c>
      <c r="G237" s="103"/>
    </row>
    <row r="238" spans="1:7" ht="46.8" x14ac:dyDescent="0.3">
      <c r="A238" s="44">
        <v>12</v>
      </c>
      <c r="B238" s="61" t="s">
        <v>155</v>
      </c>
      <c r="C238" s="62" t="s">
        <v>315</v>
      </c>
      <c r="D238" s="118" t="s">
        <v>795</v>
      </c>
      <c r="E238" s="47">
        <f>IFERROR(VLOOKUP(C238,MasterTable[[#All],[WCAG guideline]:[2.2 Level]],3,FALSE), "Not found")</f>
        <v>2</v>
      </c>
      <c r="F238" s="46" t="str">
        <f>IFERROR(VLOOKUP(C238,MasterTable[[#All],[WCAG guideline]:[2.2 Level]],4,FALSE), "Not found")</f>
        <v>A</v>
      </c>
      <c r="G238" s="103"/>
    </row>
    <row r="239" spans="1:7" ht="31.2" x14ac:dyDescent="0.3">
      <c r="A239" s="44">
        <v>13</v>
      </c>
      <c r="B239" s="61" t="s">
        <v>156</v>
      </c>
      <c r="C239" s="62" t="s">
        <v>315</v>
      </c>
      <c r="D239" s="118" t="s">
        <v>796</v>
      </c>
      <c r="E239" s="47">
        <f>IFERROR(VLOOKUP(C239,MasterTable[[#All],[WCAG guideline]:[2.2 Level]],3,FALSE), "Not found")</f>
        <v>2</v>
      </c>
      <c r="F239" s="46" t="str">
        <f>IFERROR(VLOOKUP(C239,MasterTable[[#All],[WCAG guideline]:[2.2 Level]],4,FALSE), "Not found")</f>
        <v>A</v>
      </c>
      <c r="G239" s="103"/>
    </row>
    <row r="240" spans="1:7" ht="62.4" x14ac:dyDescent="0.3">
      <c r="A240" s="44">
        <v>14</v>
      </c>
      <c r="B240" s="61" t="s">
        <v>157</v>
      </c>
      <c r="C240" s="62" t="s">
        <v>315</v>
      </c>
      <c r="D240" s="118" t="s">
        <v>797</v>
      </c>
      <c r="E240" s="47">
        <f>IFERROR(VLOOKUP(C240,MasterTable[[#All],[WCAG guideline]:[2.2 Level]],3,FALSE), "Not found")</f>
        <v>2</v>
      </c>
      <c r="F240" s="46" t="str">
        <f>IFERROR(VLOOKUP(C240,MasterTable[[#All],[WCAG guideline]:[2.2 Level]],4,FALSE), "Not found")</f>
        <v>A</v>
      </c>
      <c r="G240" s="103"/>
    </row>
    <row r="241" spans="1:7" ht="31.2" x14ac:dyDescent="0.3">
      <c r="A241" s="44">
        <v>15</v>
      </c>
      <c r="B241" s="61" t="s">
        <v>158</v>
      </c>
      <c r="C241" s="62" t="s">
        <v>315</v>
      </c>
      <c r="D241" s="118" t="s">
        <v>798</v>
      </c>
      <c r="E241" s="47">
        <f>IFERROR(VLOOKUP(C241,MasterTable[[#All],[WCAG guideline]:[2.2 Level]],3,FALSE), "Not found")</f>
        <v>2</v>
      </c>
      <c r="F241" s="46" t="str">
        <f>IFERROR(VLOOKUP(C241,MasterTable[[#All],[WCAG guideline]:[2.2 Level]],4,FALSE), "Not found")</f>
        <v>A</v>
      </c>
      <c r="G241" s="103"/>
    </row>
    <row r="242" spans="1:7" ht="64.95" customHeight="1" x14ac:dyDescent="0.3">
      <c r="A242" s="44">
        <v>16</v>
      </c>
      <c r="B242" s="61" t="s">
        <v>159</v>
      </c>
      <c r="C242" s="62" t="s">
        <v>315</v>
      </c>
      <c r="D242" s="118" t="s">
        <v>799</v>
      </c>
      <c r="E242" s="47">
        <f>IFERROR(VLOOKUP(C242,MasterTable[[#All],[WCAG guideline]:[2.2 Level]],3,FALSE), "Not found")</f>
        <v>2</v>
      </c>
      <c r="F242" s="46" t="str">
        <f>IFERROR(VLOOKUP(C242,MasterTable[[#All],[WCAG guideline]:[2.2 Level]],4,FALSE), "Not found")</f>
        <v>A</v>
      </c>
      <c r="G242" s="103"/>
    </row>
    <row r="243" spans="1:7" ht="89.4" customHeight="1" x14ac:dyDescent="0.3">
      <c r="A243" s="44">
        <v>17</v>
      </c>
      <c r="B243" s="61" t="s">
        <v>160</v>
      </c>
      <c r="C243" s="62" t="s">
        <v>315</v>
      </c>
      <c r="D243" s="118" t="s">
        <v>800</v>
      </c>
      <c r="E243" s="47">
        <f>IFERROR(VLOOKUP(C243,MasterTable[[#All],[WCAG guideline]:[2.2 Level]],3,FALSE), "Not found")</f>
        <v>2</v>
      </c>
      <c r="F243" s="46" t="str">
        <f>IFERROR(VLOOKUP(C243,MasterTable[[#All],[WCAG guideline]:[2.2 Level]],4,FALSE), "Not found")</f>
        <v>A</v>
      </c>
      <c r="G243" s="103"/>
    </row>
    <row r="244" spans="1:7" ht="57.6" customHeight="1" x14ac:dyDescent="0.3">
      <c r="A244" s="44">
        <v>18</v>
      </c>
      <c r="B244" s="61" t="s">
        <v>161</v>
      </c>
      <c r="C244" s="62" t="s">
        <v>315</v>
      </c>
      <c r="D244" s="118" t="s">
        <v>801</v>
      </c>
      <c r="E244" s="47">
        <f>IFERROR(VLOOKUP(C244,MasterTable[[#All],[WCAG guideline]:[2.2 Level]],3,FALSE), "Not found")</f>
        <v>2</v>
      </c>
      <c r="F244" s="46" t="str">
        <f>IFERROR(VLOOKUP(C244,MasterTable[[#All],[WCAG guideline]:[2.2 Level]],4,FALSE), "Not found")</f>
        <v>A</v>
      </c>
      <c r="G244" s="103"/>
    </row>
    <row r="245" spans="1:7" ht="84" customHeight="1" x14ac:dyDescent="0.3">
      <c r="A245" s="44">
        <v>19</v>
      </c>
      <c r="B245" s="61" t="s">
        <v>162</v>
      </c>
      <c r="C245" s="62" t="s">
        <v>316</v>
      </c>
      <c r="D245" s="118" t="s">
        <v>802</v>
      </c>
      <c r="E245" s="47">
        <f>IFERROR(VLOOKUP(C245,MasterTable[[#All],[WCAG guideline]:[2.2 Level]],3,FALSE), "Not found")</f>
        <v>2</v>
      </c>
      <c r="F245" s="46" t="str">
        <f>IFERROR(VLOOKUP(C245,MasterTable[[#All],[WCAG guideline]:[2.2 Level]],4,FALSE), "Not found")</f>
        <v>A</v>
      </c>
      <c r="G245" s="103"/>
    </row>
    <row r="246" spans="1:7" ht="103.95" customHeight="1" x14ac:dyDescent="0.3">
      <c r="A246" s="44">
        <v>20</v>
      </c>
      <c r="B246" s="61" t="s">
        <v>163</v>
      </c>
      <c r="C246" s="62" t="s">
        <v>316</v>
      </c>
      <c r="D246" s="118" t="s">
        <v>803</v>
      </c>
      <c r="E246" s="47">
        <f>IFERROR(VLOOKUP(C246,MasterTable[[#All],[WCAG guideline]:[2.2 Level]],3,FALSE), "Not found")</f>
        <v>2</v>
      </c>
      <c r="F246" s="46" t="str">
        <f>IFERROR(VLOOKUP(C246,MasterTable[[#All],[WCAG guideline]:[2.2 Level]],4,FALSE), "Not found")</f>
        <v>A</v>
      </c>
      <c r="G246" s="103"/>
    </row>
    <row r="247" spans="1:7" ht="84.6" customHeight="1" x14ac:dyDescent="0.3">
      <c r="A247" s="44">
        <v>21</v>
      </c>
      <c r="B247" s="61" t="s">
        <v>164</v>
      </c>
      <c r="C247" s="62" t="s">
        <v>316</v>
      </c>
      <c r="D247" s="118" t="s">
        <v>804</v>
      </c>
      <c r="E247" s="47">
        <f>IFERROR(VLOOKUP(C247,MasterTable[[#All],[WCAG guideline]:[2.2 Level]],3,FALSE), "Not found")</f>
        <v>2</v>
      </c>
      <c r="F247" s="46" t="str">
        <f>IFERROR(VLOOKUP(C247,MasterTable[[#All],[WCAG guideline]:[2.2 Level]],4,FALSE), "Not found")</f>
        <v>A</v>
      </c>
      <c r="G247" s="103"/>
    </row>
    <row r="248" spans="1:7" ht="57.6" customHeight="1" x14ac:dyDescent="0.3">
      <c r="A248" s="44">
        <v>22</v>
      </c>
      <c r="B248" s="61" t="s">
        <v>165</v>
      </c>
      <c r="C248" s="62" t="s">
        <v>317</v>
      </c>
      <c r="D248" s="118" t="s">
        <v>805</v>
      </c>
      <c r="E248" s="47">
        <f>IFERROR(VLOOKUP(C248,MasterTable[[#All],[WCAG guideline]:[2.2 Level]],3,FALSE), "Not found")</f>
        <v>2</v>
      </c>
      <c r="F248" s="46" t="str">
        <f>IFERROR(VLOOKUP(C248,MasterTable[[#All],[WCAG guideline]:[2.2 Level]],4,FALSE), "Not found")</f>
        <v>A</v>
      </c>
      <c r="G248" s="103"/>
    </row>
    <row r="249" spans="1:7" ht="46.8" x14ac:dyDescent="0.3">
      <c r="A249" s="44">
        <v>23</v>
      </c>
      <c r="B249" s="61" t="s">
        <v>166</v>
      </c>
      <c r="C249" s="62" t="s">
        <v>317</v>
      </c>
      <c r="D249" s="118" t="s">
        <v>806</v>
      </c>
      <c r="E249" s="47">
        <f>IFERROR(VLOOKUP(C249,MasterTable[[#All],[WCAG guideline]:[2.2 Level]],3,FALSE), "Not found")</f>
        <v>2</v>
      </c>
      <c r="F249" s="46" t="str">
        <f>IFERROR(VLOOKUP(C249,MasterTable[[#All],[WCAG guideline]:[2.2 Level]],4,FALSE), "Not found")</f>
        <v>A</v>
      </c>
      <c r="G249" s="103"/>
    </row>
    <row r="250" spans="1:7" ht="81.599999999999994" customHeight="1" x14ac:dyDescent="0.3">
      <c r="A250" s="44">
        <v>24</v>
      </c>
      <c r="B250" s="61" t="s">
        <v>167</v>
      </c>
      <c r="C250" s="62" t="s">
        <v>317</v>
      </c>
      <c r="D250" s="118" t="s">
        <v>807</v>
      </c>
      <c r="E250" s="47">
        <f>IFERROR(VLOOKUP(C250,MasterTable[[#All],[WCAG guideline]:[2.2 Level]],3,FALSE), "Not found")</f>
        <v>2</v>
      </c>
      <c r="F250" s="46" t="str">
        <f>IFERROR(VLOOKUP(C250,MasterTable[[#All],[WCAG guideline]:[2.2 Level]],4,FALSE), "Not found")</f>
        <v>A</v>
      </c>
      <c r="G250" s="103"/>
    </row>
    <row r="251" spans="1:7" ht="62.4" x14ac:dyDescent="0.3">
      <c r="A251" s="44">
        <v>25</v>
      </c>
      <c r="B251" s="61" t="s">
        <v>168</v>
      </c>
      <c r="C251" s="62" t="s">
        <v>318</v>
      </c>
      <c r="D251" s="118" t="s">
        <v>808</v>
      </c>
      <c r="E251" s="47">
        <f>IFERROR(VLOOKUP(C251,MasterTable[[#All],[WCAG guideline]:[2.2 Level]],3,FALSE), "Not found")</f>
        <v>2</v>
      </c>
      <c r="F251" s="46" t="str">
        <f>IFERROR(VLOOKUP(C251,MasterTable[[#All],[WCAG guideline]:[2.2 Level]],4,FALSE), "Not found")</f>
        <v>AA</v>
      </c>
      <c r="G251" s="103"/>
    </row>
    <row r="252" spans="1:7" ht="75.599999999999994" customHeight="1" x14ac:dyDescent="0.3">
      <c r="A252" s="44">
        <v>26</v>
      </c>
      <c r="B252" s="61" t="s">
        <v>169</v>
      </c>
      <c r="C252" s="44" t="s">
        <v>319</v>
      </c>
      <c r="D252" s="118" t="s">
        <v>809</v>
      </c>
      <c r="E252" s="47">
        <f>IFERROR(VLOOKUP(C252,MasterTable[[#All],[WCAG guideline]:[2.2 Level]],3,FALSE), "Not found")</f>
        <v>2</v>
      </c>
      <c r="F252" s="46" t="str">
        <f>IFERROR(VLOOKUP(C252,MasterTable[[#All],[WCAG guideline]:[2.2 Level]],4,FALSE), "Not found")</f>
        <v>AA</v>
      </c>
      <c r="G252" s="103"/>
    </row>
    <row r="253" spans="1:7" ht="75.599999999999994" customHeight="1" x14ac:dyDescent="0.3">
      <c r="A253" s="44">
        <v>27</v>
      </c>
      <c r="B253" s="61" t="s">
        <v>810</v>
      </c>
      <c r="C253" s="44" t="s">
        <v>320</v>
      </c>
      <c r="D253" s="118" t="s">
        <v>454</v>
      </c>
      <c r="E253" s="47">
        <f>IFERROR(VLOOKUP(C253,MasterTable[[#All],[WCAG guideline]:[2.2 Level]],3,FALSE), "Not found")</f>
        <v>2</v>
      </c>
      <c r="F253" s="46" t="str">
        <f>IFERROR(VLOOKUP(C253,MasterTable[[#All],[WCAG guideline]:[2.2 Level]],4,FALSE), "Not found")</f>
        <v>AAA</v>
      </c>
      <c r="G253" s="103"/>
    </row>
    <row r="254" spans="1:7" ht="104.4" customHeight="1" x14ac:dyDescent="0.3">
      <c r="A254" s="44">
        <v>28</v>
      </c>
      <c r="B254" s="61" t="s">
        <v>811</v>
      </c>
      <c r="C254" s="44" t="s">
        <v>321</v>
      </c>
      <c r="D254" s="118" t="s">
        <v>461</v>
      </c>
      <c r="E254" s="47">
        <f>IFERROR(VLOOKUP(C254,MasterTable[[#All],[WCAG guideline]:[2.2 Level]],3,FALSE), "Not found")</f>
        <v>2</v>
      </c>
      <c r="F254" s="46" t="str">
        <f>IFERROR(VLOOKUP(C254,MasterTable[[#All],[WCAG guideline]:[2.2 Level]],4,FALSE), "Not found")</f>
        <v>AAA</v>
      </c>
      <c r="G254" s="103"/>
    </row>
    <row r="255" spans="1:7" ht="104.4" customHeight="1" x14ac:dyDescent="0.3">
      <c r="A255" s="44">
        <v>29</v>
      </c>
      <c r="B255" s="61" t="s">
        <v>812</v>
      </c>
      <c r="C255" s="44" t="s">
        <v>322</v>
      </c>
      <c r="D255" s="118" t="s">
        <v>467</v>
      </c>
      <c r="E255" s="47">
        <f>IFERROR(VLOOKUP(C255,MasterTable[[#All],[WCAG guideline]:[2.2 Level]],3,FALSE), "Not found")</f>
        <v>2</v>
      </c>
      <c r="F255" s="46" t="str">
        <f>IFERROR(VLOOKUP(C255,MasterTable[[#All],[WCAG guideline]:[2.2 Level]],4,FALSE), "Not found")</f>
        <v>AAA</v>
      </c>
      <c r="G255" s="103"/>
    </row>
    <row r="256" spans="1:7" ht="104.4" customHeight="1" x14ac:dyDescent="0.3">
      <c r="A256" s="44">
        <v>30</v>
      </c>
      <c r="B256" s="61" t="s">
        <v>813</v>
      </c>
      <c r="C256" s="44" t="s">
        <v>323</v>
      </c>
      <c r="D256" s="118" t="s">
        <v>473</v>
      </c>
      <c r="E256" s="47">
        <f>IFERROR(VLOOKUP(C256,MasterTable[[#All],[WCAG guideline]:[2.2 Level]],3,FALSE), "Not found")</f>
        <v>2</v>
      </c>
      <c r="F256" s="46" t="str">
        <f>IFERROR(VLOOKUP(C256,MasterTable[[#All],[WCAG guideline]:[2.2 Level]],4,FALSE), "Not found")</f>
        <v>AAA</v>
      </c>
      <c r="G256" s="103"/>
    </row>
    <row r="257" spans="1:7" ht="75.599999999999994" customHeight="1" x14ac:dyDescent="0.3">
      <c r="A257" s="44">
        <v>31</v>
      </c>
      <c r="B257" s="61" t="s">
        <v>170</v>
      </c>
      <c r="C257" s="44" t="s">
        <v>283</v>
      </c>
      <c r="D257" s="62" t="s">
        <v>814</v>
      </c>
      <c r="E257" s="47">
        <f>IFERROR(VLOOKUP(C257,MasterTable[[#All],[WCAG guideline]:[2.2 Level]],3,FALSE), "Not found")</f>
        <v>2</v>
      </c>
      <c r="F257" s="46" t="str">
        <f>IFERROR(VLOOKUP(C257,MasterTable[[#All],[WCAG guideline]:[2.2 Level]],4,FALSE), "Not found")</f>
        <v>A</v>
      </c>
      <c r="G257" s="103"/>
    </row>
    <row r="258" spans="1:7" ht="46.8" x14ac:dyDescent="0.3">
      <c r="A258" s="44">
        <v>32</v>
      </c>
      <c r="B258" s="61" t="s">
        <v>171</v>
      </c>
      <c r="C258" s="44" t="s">
        <v>283</v>
      </c>
      <c r="D258" s="62" t="s">
        <v>815</v>
      </c>
      <c r="E258" s="47">
        <f>IFERROR(VLOOKUP(C258,MasterTable[[#All],[WCAG guideline]:[2.2 Level]],3,FALSE), "Not found")</f>
        <v>2</v>
      </c>
      <c r="F258" s="46" t="str">
        <f>IFERROR(VLOOKUP(C258,MasterTable[[#All],[WCAG guideline]:[2.2 Level]],4,FALSE), "Not found")</f>
        <v>A</v>
      </c>
      <c r="G258" s="103"/>
    </row>
    <row r="259" spans="1:7" ht="62.4" x14ac:dyDescent="0.3">
      <c r="A259" s="44">
        <v>33</v>
      </c>
      <c r="B259" s="61" t="s">
        <v>172</v>
      </c>
      <c r="C259" s="44" t="s">
        <v>283</v>
      </c>
      <c r="D259" s="62" t="s">
        <v>816</v>
      </c>
      <c r="E259" s="47">
        <f>IFERROR(VLOOKUP(C259,MasterTable[[#All],[WCAG guideline]:[2.2 Level]],3,FALSE), "Not found")</f>
        <v>2</v>
      </c>
      <c r="F259" s="46" t="str">
        <f>IFERROR(VLOOKUP(C259,MasterTable[[#All],[WCAG guideline]:[2.2 Level]],4,FALSE), "Not found")</f>
        <v>A</v>
      </c>
      <c r="G259" s="103"/>
    </row>
    <row r="260" spans="1:7" ht="59.4" customHeight="1" x14ac:dyDescent="0.3">
      <c r="A260" s="44">
        <v>34</v>
      </c>
      <c r="B260" s="61" t="s">
        <v>173</v>
      </c>
      <c r="C260" s="44" t="s">
        <v>283</v>
      </c>
      <c r="D260" s="62" t="s">
        <v>817</v>
      </c>
      <c r="E260" s="47">
        <f>IFERROR(VLOOKUP(C260,MasterTable[[#All],[WCAG guideline]:[2.2 Level]],3,FALSE), "Not found")</f>
        <v>2</v>
      </c>
      <c r="F260" s="46" t="str">
        <f>IFERROR(VLOOKUP(C260,MasterTable[[#All],[WCAG guideline]:[2.2 Level]],4,FALSE), "Not found")</f>
        <v>A</v>
      </c>
      <c r="G260" s="103"/>
    </row>
    <row r="261" spans="1:7" ht="82.2" customHeight="1" x14ac:dyDescent="0.3">
      <c r="A261" s="44">
        <v>35</v>
      </c>
      <c r="B261" s="61" t="s">
        <v>174</v>
      </c>
      <c r="C261" s="44" t="s">
        <v>283</v>
      </c>
      <c r="D261" s="62" t="s">
        <v>818</v>
      </c>
      <c r="E261" s="47">
        <f>IFERROR(VLOOKUP(C261,MasterTable[[#All],[WCAG guideline]:[2.2 Level]],3,FALSE), "Not found")</f>
        <v>2</v>
      </c>
      <c r="F261" s="46" t="str">
        <f>IFERROR(VLOOKUP(C261,MasterTable[[#All],[WCAG guideline]:[2.2 Level]],4,FALSE), "Not found")</f>
        <v>A</v>
      </c>
      <c r="G261" s="103"/>
    </row>
    <row r="262" spans="1:7" ht="46.8" x14ac:dyDescent="0.3">
      <c r="A262" s="44">
        <v>36</v>
      </c>
      <c r="B262" s="61" t="s">
        <v>175</v>
      </c>
      <c r="C262" s="44" t="s">
        <v>283</v>
      </c>
      <c r="D262" s="62" t="s">
        <v>819</v>
      </c>
      <c r="E262" s="47">
        <f>IFERROR(VLOOKUP(C262,MasterTable[[#All],[WCAG guideline]:[2.2 Level]],3,FALSE), "Not found")</f>
        <v>2</v>
      </c>
      <c r="F262" s="46" t="str">
        <f>IFERROR(VLOOKUP(C262,MasterTable[[#All],[WCAG guideline]:[2.2 Level]],4,FALSE), "Not found")</f>
        <v>A</v>
      </c>
      <c r="G262" s="103"/>
    </row>
    <row r="263" spans="1:7" ht="75.599999999999994" customHeight="1" x14ac:dyDescent="0.3">
      <c r="A263" s="44">
        <v>37</v>
      </c>
      <c r="B263" s="61" t="s">
        <v>176</v>
      </c>
      <c r="C263" s="44" t="s">
        <v>283</v>
      </c>
      <c r="D263" s="62" t="s">
        <v>820</v>
      </c>
      <c r="E263" s="47">
        <f>IFERROR(VLOOKUP(C263,MasterTable[[#All],[WCAG guideline]:[2.2 Level]],3,FALSE), "Not found")</f>
        <v>2</v>
      </c>
      <c r="F263" s="46" t="str">
        <f>IFERROR(VLOOKUP(C263,MasterTable[[#All],[WCAG guideline]:[2.2 Level]],4,FALSE), "Not found")</f>
        <v>A</v>
      </c>
      <c r="G263" s="103"/>
    </row>
    <row r="264" spans="1:7" ht="62.4" x14ac:dyDescent="0.3">
      <c r="A264" s="44">
        <v>38</v>
      </c>
      <c r="B264" s="61" t="s">
        <v>177</v>
      </c>
      <c r="C264" s="44" t="s">
        <v>283</v>
      </c>
      <c r="D264" s="62" t="s">
        <v>821</v>
      </c>
      <c r="E264" s="47">
        <f>IFERROR(VLOOKUP(C264,MasterTable[[#All],[WCAG guideline]:[2.2 Level]],3,FALSE), "Not found")</f>
        <v>2</v>
      </c>
      <c r="F264" s="46" t="str">
        <f>IFERROR(VLOOKUP(C264,MasterTable[[#All],[WCAG guideline]:[2.2 Level]],4,FALSE), "Not found")</f>
        <v>A</v>
      </c>
      <c r="G264" s="103"/>
    </row>
    <row r="265" spans="1:7" ht="73.2" customHeight="1" x14ac:dyDescent="0.3">
      <c r="A265" s="44">
        <v>39</v>
      </c>
      <c r="B265" s="61" t="s">
        <v>178</v>
      </c>
      <c r="C265" s="44" t="s">
        <v>283</v>
      </c>
      <c r="D265" s="62" t="s">
        <v>822</v>
      </c>
      <c r="E265" s="47">
        <f>IFERROR(VLOOKUP(C265,MasterTable[[#All],[WCAG guideline]:[2.2 Level]],3,FALSE), "Not found")</f>
        <v>2</v>
      </c>
      <c r="F265" s="46" t="str">
        <f>IFERROR(VLOOKUP(C265,MasterTable[[#All],[WCAG guideline]:[2.2 Level]],4,FALSE), "Not found")</f>
        <v>A</v>
      </c>
      <c r="G265" s="103"/>
    </row>
    <row r="266" spans="1:7" ht="46.8" x14ac:dyDescent="0.3">
      <c r="A266" s="44">
        <v>40</v>
      </c>
      <c r="B266" s="61" t="s">
        <v>179</v>
      </c>
      <c r="C266" s="44" t="s">
        <v>283</v>
      </c>
      <c r="D266" s="62" t="s">
        <v>823</v>
      </c>
      <c r="E266" s="47">
        <f>IFERROR(VLOOKUP(C266,MasterTable[[#All],[WCAG guideline]:[2.2 Level]],3,FALSE), "Not found")</f>
        <v>2</v>
      </c>
      <c r="F266" s="46" t="str">
        <f>IFERROR(VLOOKUP(C266,MasterTable[[#All],[WCAG guideline]:[2.2 Level]],4,FALSE), "Not found")</f>
        <v>A</v>
      </c>
      <c r="G266" s="103"/>
    </row>
    <row r="267" spans="1:7" ht="57.6" customHeight="1" x14ac:dyDescent="0.3">
      <c r="A267" s="44">
        <v>41</v>
      </c>
      <c r="B267" s="61" t="s">
        <v>180</v>
      </c>
      <c r="C267" s="44" t="s">
        <v>283</v>
      </c>
      <c r="D267" s="62" t="s">
        <v>824</v>
      </c>
      <c r="E267" s="47">
        <f>IFERROR(VLOOKUP(C267,MasterTable[[#All],[WCAG guideline]:[2.2 Level]],3,FALSE), "Not found")</f>
        <v>2</v>
      </c>
      <c r="F267" s="46" t="str">
        <f>IFERROR(VLOOKUP(C267,MasterTable[[#All],[WCAG guideline]:[2.2 Level]],4,FALSE), "Not found")</f>
        <v>A</v>
      </c>
      <c r="G267" s="103"/>
    </row>
    <row r="268" spans="1:7" ht="46.8" x14ac:dyDescent="0.3">
      <c r="A268" s="44">
        <v>42</v>
      </c>
      <c r="B268" s="61" t="s">
        <v>181</v>
      </c>
      <c r="C268" s="44" t="s">
        <v>283</v>
      </c>
      <c r="D268" s="62" t="s">
        <v>825</v>
      </c>
      <c r="E268" s="47">
        <f>IFERROR(VLOOKUP(C268,MasterTable[[#All],[WCAG guideline]:[2.2 Level]],3,FALSE), "Not found")</f>
        <v>2</v>
      </c>
      <c r="F268" s="46" t="str">
        <f>IFERROR(VLOOKUP(C268,MasterTable[[#All],[WCAG guideline]:[2.2 Level]],4,FALSE), "Not found")</f>
        <v>A</v>
      </c>
      <c r="G268" s="103"/>
    </row>
    <row r="269" spans="1:7" ht="46.8" x14ac:dyDescent="0.3">
      <c r="A269" s="44">
        <v>43</v>
      </c>
      <c r="B269" s="61" t="s">
        <v>182</v>
      </c>
      <c r="C269" s="44" t="s">
        <v>283</v>
      </c>
      <c r="D269" s="62" t="s">
        <v>826</v>
      </c>
      <c r="E269" s="47">
        <f>IFERROR(VLOOKUP(C269,MasterTable[[#All],[WCAG guideline]:[2.2 Level]],3,FALSE), "Not found")</f>
        <v>2</v>
      </c>
      <c r="F269" s="46" t="str">
        <f>IFERROR(VLOOKUP(C269,MasterTable[[#All],[WCAG guideline]:[2.2 Level]],4,FALSE), "Not found")</f>
        <v>A</v>
      </c>
      <c r="G269" s="103"/>
    </row>
    <row r="270" spans="1:7" ht="46.8" x14ac:dyDescent="0.3">
      <c r="A270" s="44">
        <v>44</v>
      </c>
      <c r="B270" s="61" t="s">
        <v>183</v>
      </c>
      <c r="C270" s="44" t="s">
        <v>283</v>
      </c>
      <c r="D270" s="62" t="s">
        <v>827</v>
      </c>
      <c r="E270" s="47">
        <f>IFERROR(VLOOKUP(C270,MasterTable[[#All],[WCAG guideline]:[2.2 Level]],3,FALSE), "Not found")</f>
        <v>2</v>
      </c>
      <c r="F270" s="46" t="str">
        <f>IFERROR(VLOOKUP(C270,MasterTable[[#All],[WCAG guideline]:[2.2 Level]],4,FALSE), "Not found")</f>
        <v>A</v>
      </c>
      <c r="G270" s="103"/>
    </row>
    <row r="271" spans="1:7" ht="46.8" x14ac:dyDescent="0.3">
      <c r="A271" s="44">
        <v>45</v>
      </c>
      <c r="B271" s="61" t="s">
        <v>184</v>
      </c>
      <c r="C271" s="44" t="s">
        <v>283</v>
      </c>
      <c r="D271" s="62" t="s">
        <v>828</v>
      </c>
      <c r="E271" s="47">
        <f>IFERROR(VLOOKUP(C271,MasterTable[[#All],[WCAG guideline]:[2.2 Level]],3,FALSE), "Not found")</f>
        <v>2</v>
      </c>
      <c r="F271" s="46" t="str">
        <f>IFERROR(VLOOKUP(C271,MasterTable[[#All],[WCAG guideline]:[2.2 Level]],4,FALSE), "Not found")</f>
        <v>A</v>
      </c>
      <c r="G271" s="103"/>
    </row>
    <row r="272" spans="1:7" ht="78" x14ac:dyDescent="0.3">
      <c r="A272" s="44">
        <v>46</v>
      </c>
      <c r="B272" s="61" t="s">
        <v>185</v>
      </c>
      <c r="C272" s="44" t="s">
        <v>283</v>
      </c>
      <c r="D272" s="62" t="s">
        <v>829</v>
      </c>
      <c r="E272" s="47">
        <f>IFERROR(VLOOKUP(C272,MasterTable[[#All],[WCAG guideline]:[2.2 Level]],3,FALSE), "Not found")</f>
        <v>2</v>
      </c>
      <c r="F272" s="46" t="str">
        <f>IFERROR(VLOOKUP(C272,MasterTable[[#All],[WCAG guideline]:[2.2 Level]],4,FALSE), "Not found")</f>
        <v>A</v>
      </c>
      <c r="G272" s="103"/>
    </row>
    <row r="273" spans="1:7" ht="31.2" x14ac:dyDescent="0.3">
      <c r="A273" s="44">
        <v>47</v>
      </c>
      <c r="B273" s="61" t="s">
        <v>186</v>
      </c>
      <c r="C273" s="44" t="s">
        <v>283</v>
      </c>
      <c r="D273" s="118" t="s">
        <v>830</v>
      </c>
      <c r="E273" s="47">
        <f>IFERROR(VLOOKUP(C273,MasterTable[[#All],[WCAG guideline]:[2.2 Level]],3,FALSE), "Not found")</f>
        <v>2</v>
      </c>
      <c r="F273" s="46" t="str">
        <f>IFERROR(VLOOKUP(C273,MasterTable[[#All],[WCAG guideline]:[2.2 Level]],4,FALSE), "Not found")</f>
        <v>A</v>
      </c>
      <c r="G273" s="103"/>
    </row>
    <row r="274" spans="1:7" ht="62.4" x14ac:dyDescent="0.3">
      <c r="A274" s="44">
        <v>48</v>
      </c>
      <c r="B274" s="61" t="s">
        <v>187</v>
      </c>
      <c r="C274" s="44" t="s">
        <v>831</v>
      </c>
      <c r="D274" s="118" t="s">
        <v>832</v>
      </c>
      <c r="E274" s="47">
        <f>IFERROR(VLOOKUP(C274,MasterTable[[#All],[WCAG guideline]:[2.2 Level]],3,FALSE), "Not found")</f>
        <v>2</v>
      </c>
      <c r="F274" s="46" t="str">
        <f>IFERROR(VLOOKUP(C274,MasterTable[[#All],[WCAG guideline]:[2.2 Level]],4,FALSE), "Not found")</f>
        <v>A</v>
      </c>
      <c r="G274" s="103"/>
    </row>
    <row r="275" spans="1:7" ht="46.8" x14ac:dyDescent="0.3">
      <c r="A275" s="44">
        <v>49</v>
      </c>
      <c r="B275" s="61" t="s">
        <v>188</v>
      </c>
      <c r="C275" s="44" t="s">
        <v>324</v>
      </c>
      <c r="D275" s="62" t="s">
        <v>833</v>
      </c>
      <c r="E275" s="47">
        <f>IFERROR(VLOOKUP(C275,MasterTable[[#All],[WCAG guideline]:[2.2 Level]],3,FALSE), "Not found")</f>
        <v>2</v>
      </c>
      <c r="F275" s="46" t="str">
        <f>IFERROR(VLOOKUP(C275,MasterTable[[#All],[WCAG guideline]:[2.2 Level]],4,FALSE), "Not found")</f>
        <v>A</v>
      </c>
      <c r="G275" s="103"/>
    </row>
    <row r="276" spans="1:7" ht="108.6" customHeight="1" x14ac:dyDescent="0.3">
      <c r="A276" s="44">
        <v>50</v>
      </c>
      <c r="B276" s="61" t="s">
        <v>189</v>
      </c>
      <c r="C276" s="62" t="s">
        <v>324</v>
      </c>
      <c r="D276" s="62" t="s">
        <v>834</v>
      </c>
      <c r="E276" s="47">
        <f>IFERROR(VLOOKUP(C276,MasterTable[[#All],[WCAG guideline]:[2.2 Level]],3,FALSE), "Not found")</f>
        <v>2</v>
      </c>
      <c r="F276" s="46" t="str">
        <f>IFERROR(VLOOKUP(C276,MasterTable[[#All],[WCAG guideline]:[2.2 Level]],4,FALSE), "Not found")</f>
        <v>A</v>
      </c>
      <c r="G276" s="103"/>
    </row>
    <row r="277" spans="1:7" ht="76.2" customHeight="1" x14ac:dyDescent="0.3">
      <c r="A277" s="44">
        <v>51</v>
      </c>
      <c r="B277" s="61" t="s">
        <v>190</v>
      </c>
      <c r="C277" s="62" t="s">
        <v>324</v>
      </c>
      <c r="D277" s="62" t="s">
        <v>835</v>
      </c>
      <c r="E277" s="47">
        <f>IFERROR(VLOOKUP(C277,MasterTable[[#All],[WCAG guideline]:[2.2 Level]],3,FALSE), "Not found")</f>
        <v>2</v>
      </c>
      <c r="F277" s="46" t="str">
        <f>IFERROR(VLOOKUP(C277,MasterTable[[#All],[WCAG guideline]:[2.2 Level]],4,FALSE), "Not found")</f>
        <v>A</v>
      </c>
      <c r="G277" s="103"/>
    </row>
    <row r="278" spans="1:7" ht="62.4" customHeight="1" x14ac:dyDescent="0.3">
      <c r="A278" s="44">
        <v>52</v>
      </c>
      <c r="B278" s="61" t="s">
        <v>191</v>
      </c>
      <c r="C278" s="44" t="s">
        <v>324</v>
      </c>
      <c r="D278" s="62" t="s">
        <v>836</v>
      </c>
      <c r="E278" s="47">
        <f>IFERROR(VLOOKUP(C278,MasterTable[[#All],[WCAG guideline]:[2.2 Level]],3,FALSE), "Not found")</f>
        <v>2</v>
      </c>
      <c r="F278" s="46" t="str">
        <f>IFERROR(VLOOKUP(C278,MasterTable[[#All],[WCAG guideline]:[2.2 Level]],4,FALSE), "Not found")</f>
        <v>A</v>
      </c>
      <c r="G278" s="103"/>
    </row>
    <row r="279" spans="1:7" ht="126.6" customHeight="1" x14ac:dyDescent="0.3">
      <c r="A279" s="44">
        <v>53</v>
      </c>
      <c r="B279" s="61" t="s">
        <v>192</v>
      </c>
      <c r="C279" s="44" t="s">
        <v>325</v>
      </c>
      <c r="D279" s="62" t="s">
        <v>837</v>
      </c>
      <c r="E279" s="47">
        <f>IFERROR(VLOOKUP(C279,MasterTable[[#All],[WCAG guideline]:[2.2 Level]],3,FALSE), "Not found")</f>
        <v>2</v>
      </c>
      <c r="F279" s="46" t="str">
        <f>IFERROR(VLOOKUP(C279,MasterTable[[#All],[WCAG guideline]:[2.2 Level]],4,FALSE), "Not found")</f>
        <v>A</v>
      </c>
      <c r="G279" s="103"/>
    </row>
    <row r="280" spans="1:7" ht="73.2" customHeight="1" x14ac:dyDescent="0.3">
      <c r="A280" s="44">
        <v>54</v>
      </c>
      <c r="B280" s="61" t="s">
        <v>193</v>
      </c>
      <c r="C280" s="44" t="s">
        <v>325</v>
      </c>
      <c r="D280" s="62" t="s">
        <v>838</v>
      </c>
      <c r="E280" s="47">
        <f>IFERROR(VLOOKUP(C280,MasterTable[[#All],[WCAG guideline]:[2.2 Level]],3,FALSE), "Not found")</f>
        <v>2</v>
      </c>
      <c r="F280" s="46" t="str">
        <f>IFERROR(VLOOKUP(C280,MasterTable[[#All],[WCAG guideline]:[2.2 Level]],4,FALSE), "Not found")</f>
        <v>A</v>
      </c>
      <c r="G280" s="103"/>
    </row>
    <row r="281" spans="1:7" ht="95.4" customHeight="1" x14ac:dyDescent="0.3">
      <c r="A281" s="44">
        <v>55</v>
      </c>
      <c r="B281" s="61" t="s">
        <v>194</v>
      </c>
      <c r="C281" s="44" t="s">
        <v>375</v>
      </c>
      <c r="D281" s="62" t="s">
        <v>839</v>
      </c>
      <c r="E281" s="47">
        <f>IFERROR(VLOOKUP(C281,MasterTable[[#All],[WCAG guideline]:[2.2 Level]],3,FALSE), "Not found")</f>
        <v>2.1</v>
      </c>
      <c r="F281" s="46" t="str">
        <f>IFERROR(VLOOKUP(C281,MasterTable[[#All],[WCAG guideline]:[2.2 Level]],4,FALSE), "Not found")</f>
        <v>AA</v>
      </c>
      <c r="G281" s="103"/>
    </row>
    <row r="282" spans="1:7" ht="62.4" x14ac:dyDescent="0.3">
      <c r="A282" s="44">
        <v>56</v>
      </c>
      <c r="B282" s="61" t="s">
        <v>195</v>
      </c>
      <c r="C282" s="44" t="s">
        <v>376</v>
      </c>
      <c r="D282" s="62" t="s">
        <v>840</v>
      </c>
      <c r="E282" s="47">
        <f>IFERROR(VLOOKUP(C282,MasterTable[[#All],[WCAG guideline]:[2.2 Level]],3,FALSE), "Not found")</f>
        <v>2.1</v>
      </c>
      <c r="F282" s="46" t="str">
        <f>IFERROR(VLOOKUP(C282,MasterTable[[#All],[WCAG guideline]:[2.2 Level]],4,FALSE), "Not found")</f>
        <v>AA</v>
      </c>
      <c r="G282" s="103"/>
    </row>
    <row r="283" spans="1:7" ht="77.400000000000006" customHeight="1" x14ac:dyDescent="0.3">
      <c r="A283" s="44">
        <v>57</v>
      </c>
      <c r="B283" s="61" t="s">
        <v>841</v>
      </c>
      <c r="C283" s="44" t="s">
        <v>377</v>
      </c>
      <c r="D283" s="118" t="s">
        <v>511</v>
      </c>
      <c r="E283" s="47">
        <f>IFERROR(VLOOKUP(C283,MasterTable[[#All],[WCAG guideline]:[2.2 Level]],3,FALSE), "Not found")</f>
        <v>2.1</v>
      </c>
      <c r="F283" s="46" t="str">
        <f>IFERROR(VLOOKUP(C283,MasterTable[[#All],[WCAG guideline]:[2.2 Level]],4,FALSE), "Not found")</f>
        <v>AAA</v>
      </c>
      <c r="G283" s="103"/>
    </row>
    <row r="284" spans="1:7" ht="171.6" x14ac:dyDescent="0.3">
      <c r="A284" s="44">
        <v>58</v>
      </c>
      <c r="B284" s="61" t="s">
        <v>196</v>
      </c>
      <c r="C284" s="44" t="s">
        <v>326</v>
      </c>
      <c r="D284" s="118" t="s">
        <v>842</v>
      </c>
      <c r="E284" s="47">
        <f>IFERROR(VLOOKUP(C284,MasterTable[[#All],[WCAG guideline]:[2.2 Level]],3,FALSE), "Not found")</f>
        <v>2</v>
      </c>
      <c r="F284" s="46" t="str">
        <f>IFERROR(VLOOKUP(C284,MasterTable[[#All],[WCAG guideline]:[2.2 Level]],4,FALSE), "Not found")</f>
        <v>A</v>
      </c>
      <c r="G284" s="103"/>
    </row>
    <row r="285" spans="1:7" ht="141.6" customHeight="1" x14ac:dyDescent="0.3">
      <c r="A285" s="44">
        <v>59</v>
      </c>
      <c r="B285" s="61" t="s">
        <v>197</v>
      </c>
      <c r="C285" s="62" t="s">
        <v>326</v>
      </c>
      <c r="D285" s="62" t="s">
        <v>843</v>
      </c>
      <c r="E285" s="47">
        <f>IFERROR(VLOOKUP(C285,MasterTable[[#All],[WCAG guideline]:[2.2 Level]],3,FALSE), "Not found")</f>
        <v>2</v>
      </c>
      <c r="F285" s="46" t="str">
        <f>IFERROR(VLOOKUP(C285,MasterTable[[#All],[WCAG guideline]:[2.2 Level]],4,FALSE), "Not found")</f>
        <v>A</v>
      </c>
      <c r="G285" s="103"/>
    </row>
    <row r="286" spans="1:7" ht="136.94999999999999" customHeight="1" x14ac:dyDescent="0.3">
      <c r="A286" s="44">
        <v>60</v>
      </c>
      <c r="B286" s="61" t="s">
        <v>198</v>
      </c>
      <c r="C286" s="44" t="s">
        <v>326</v>
      </c>
      <c r="D286" s="62" t="s">
        <v>844</v>
      </c>
      <c r="E286" s="47">
        <f>IFERROR(VLOOKUP(C286,MasterTable[[#All],[WCAG guideline]:[2.2 Level]],3,FALSE), "Not found")</f>
        <v>2</v>
      </c>
      <c r="F286" s="46" t="str">
        <f>IFERROR(VLOOKUP(C286,MasterTable[[#All],[WCAG guideline]:[2.2 Level]],4,FALSE), "Not found")</f>
        <v>A</v>
      </c>
      <c r="G286" s="103"/>
    </row>
    <row r="287" spans="1:7" ht="154.19999999999999" customHeight="1" x14ac:dyDescent="0.3">
      <c r="A287" s="44">
        <v>72</v>
      </c>
      <c r="B287" s="61" t="s">
        <v>205</v>
      </c>
      <c r="C287" s="44" t="s">
        <v>284</v>
      </c>
      <c r="D287" s="62" t="s">
        <v>845</v>
      </c>
      <c r="E287" s="47">
        <f>IFERROR(VLOOKUP(C287,MasterTable[[#All],[WCAG guideline]:[2.2 Level]],3,FALSE), "Not found")</f>
        <v>2.1</v>
      </c>
      <c r="F287" s="46" t="str">
        <f>IFERROR(VLOOKUP(C287,MasterTable[[#All],[WCAG guideline]:[2.2 Level]],4,FALSE), "Not found")</f>
        <v>AA</v>
      </c>
      <c r="G287" s="103"/>
    </row>
    <row r="288" spans="1:7" ht="109.2" customHeight="1" x14ac:dyDescent="0.3">
      <c r="A288" s="44">
        <v>73</v>
      </c>
      <c r="B288" s="61" t="s">
        <v>206</v>
      </c>
      <c r="C288" s="44" t="s">
        <v>378</v>
      </c>
      <c r="D288" s="118" t="s">
        <v>846</v>
      </c>
      <c r="E288" s="47">
        <f>IFERROR(VLOOKUP(C288,MasterTable[[#All],[WCAG guideline]:[2.2 Level]],3,FALSE), "Not found")</f>
        <v>2.1</v>
      </c>
      <c r="F288" s="46" t="str">
        <f>IFERROR(VLOOKUP(C288,MasterTable[[#All],[WCAG guideline]:[2.2 Level]],4,FALSE), "Not found")</f>
        <v>AA</v>
      </c>
      <c r="G288" s="103"/>
    </row>
    <row r="289" spans="1:7" ht="109.2" customHeight="1" x14ac:dyDescent="0.3">
      <c r="A289" s="44">
        <v>74</v>
      </c>
      <c r="B289" s="61" t="s">
        <v>207</v>
      </c>
      <c r="C289" s="44" t="s">
        <v>378</v>
      </c>
      <c r="D289" s="118" t="s">
        <v>847</v>
      </c>
      <c r="E289" s="47">
        <f>IFERROR(VLOOKUP(C289,MasterTable[[#All],[WCAG guideline]:[2.2 Level]],3,FALSE), "Not found")</f>
        <v>2.1</v>
      </c>
      <c r="F289" s="46" t="str">
        <f>IFERROR(VLOOKUP(C289,MasterTable[[#All],[WCAG guideline]:[2.2 Level]],4,FALSE), "Not found")</f>
        <v>AA</v>
      </c>
      <c r="G289" s="103"/>
    </row>
    <row r="290" spans="1:7" ht="112.2" customHeight="1" x14ac:dyDescent="0.3">
      <c r="A290" s="44">
        <v>75</v>
      </c>
      <c r="B290" s="61" t="s">
        <v>208</v>
      </c>
      <c r="C290" s="44" t="s">
        <v>379</v>
      </c>
      <c r="D290" s="62" t="s">
        <v>848</v>
      </c>
      <c r="E290" s="47">
        <f>IFERROR(VLOOKUP(C290,MasterTable[[#All],[WCAG guideline]:[2.2 Level]],3,FALSE), "Not found")</f>
        <v>2.1</v>
      </c>
      <c r="F290" s="46" t="str">
        <f>IFERROR(VLOOKUP(C290,MasterTable[[#All],[WCAG guideline]:[2.2 Level]],4,FALSE), "Not found")</f>
        <v>AA</v>
      </c>
      <c r="G290" s="103"/>
    </row>
    <row r="291" spans="1:7" ht="133.19999999999999" customHeight="1" x14ac:dyDescent="0.3">
      <c r="A291" s="44">
        <v>76</v>
      </c>
      <c r="B291" s="61" t="s">
        <v>209</v>
      </c>
      <c r="C291" s="62" t="s">
        <v>285</v>
      </c>
      <c r="D291" s="118" t="s">
        <v>849</v>
      </c>
      <c r="E291" s="47">
        <f>IFERROR(VLOOKUP(C291,MasterTable[[#All],[WCAG guideline]:[2.2 Level]],3,FALSE), "Not found")</f>
        <v>2.1</v>
      </c>
      <c r="F291" s="46" t="str">
        <f>IFERROR(VLOOKUP(C291,MasterTable[[#All],[WCAG guideline]:[2.2 Level]],4,FALSE), "Not found")</f>
        <v>AA</v>
      </c>
      <c r="G291" s="103"/>
    </row>
    <row r="292" spans="1:7" ht="100.2" customHeight="1" x14ac:dyDescent="0.3">
      <c r="A292" s="44">
        <v>77</v>
      </c>
      <c r="B292" s="61" t="s">
        <v>210</v>
      </c>
      <c r="C292" s="62" t="s">
        <v>285</v>
      </c>
      <c r="D292" s="118" t="s">
        <v>850</v>
      </c>
      <c r="E292" s="47">
        <f>IFERROR(VLOOKUP(C292,MasterTable[[#All],[WCAG guideline]:[2.2 Level]],3,FALSE), "Not found")</f>
        <v>2.1</v>
      </c>
      <c r="F292" s="46" t="str">
        <f>IFERROR(VLOOKUP(C292,MasterTable[[#All],[WCAG guideline]:[2.2 Level]],4,FALSE), "Not found")</f>
        <v>AA</v>
      </c>
      <c r="G292" s="103"/>
    </row>
    <row r="293" spans="1:7" ht="91.2" customHeight="1" x14ac:dyDescent="0.3">
      <c r="A293" s="44">
        <v>78</v>
      </c>
      <c r="B293" s="61" t="s">
        <v>211</v>
      </c>
      <c r="C293" s="62" t="s">
        <v>285</v>
      </c>
      <c r="D293" s="118" t="s">
        <v>851</v>
      </c>
      <c r="E293" s="47">
        <f>IFERROR(VLOOKUP(C293,MasterTable[[#All],[WCAG guideline]:[2.2 Level]],3,FALSE), "Not found")</f>
        <v>2.1</v>
      </c>
      <c r="F293" s="46" t="str">
        <f>IFERROR(VLOOKUP(C293,MasterTable[[#All],[WCAG guideline]:[2.2 Level]],4,FALSE), "Not found")</f>
        <v>AA</v>
      </c>
      <c r="G293" s="103"/>
    </row>
    <row r="294" spans="1:7" ht="92.4" customHeight="1" x14ac:dyDescent="0.3">
      <c r="A294" s="44">
        <v>61</v>
      </c>
      <c r="B294" s="61" t="s">
        <v>199</v>
      </c>
      <c r="C294" s="44" t="s">
        <v>327</v>
      </c>
      <c r="D294" s="118" t="s">
        <v>852</v>
      </c>
      <c r="E294" s="47">
        <f>IFERROR(VLOOKUP(C294,MasterTable[[#All],[WCAG guideline]:[2.2 Level]],3,FALSE), "Not found")</f>
        <v>2</v>
      </c>
      <c r="F294" s="46" t="str">
        <f>IFERROR(VLOOKUP(C294,MasterTable[[#All],[WCAG guideline]:[2.2 Level]],4,FALSE), "Not found")</f>
        <v>A</v>
      </c>
      <c r="G294" s="103"/>
    </row>
    <row r="295" spans="1:7" ht="102.6" customHeight="1" x14ac:dyDescent="0.3">
      <c r="A295" s="44">
        <v>62</v>
      </c>
      <c r="B295" s="61" t="s">
        <v>200</v>
      </c>
      <c r="C295" s="62" t="s">
        <v>328</v>
      </c>
      <c r="D295" s="62" t="s">
        <v>853</v>
      </c>
      <c r="E295" s="47">
        <f>IFERROR(VLOOKUP(C295,MasterTable[[#All],[WCAG guideline]:[2.2 Level]],3,FALSE), "Not found")</f>
        <v>2</v>
      </c>
      <c r="F295" s="46" t="str">
        <f>IFERROR(VLOOKUP(C295,MasterTable[[#All],[WCAG guideline]:[2.2 Level]],4,FALSE), "Not found")</f>
        <v>AA</v>
      </c>
      <c r="G295" s="103"/>
    </row>
    <row r="296" spans="1:7" ht="62.4" x14ac:dyDescent="0.3">
      <c r="A296" s="44">
        <v>63</v>
      </c>
      <c r="B296" s="61" t="s">
        <v>201</v>
      </c>
      <c r="C296" s="44" t="s">
        <v>328</v>
      </c>
      <c r="D296" s="62" t="s">
        <v>854</v>
      </c>
      <c r="E296" s="47">
        <f>IFERROR(VLOOKUP(C296,MasterTable[[#All],[WCAG guideline]:[2.2 Level]],3,FALSE), "Not found")</f>
        <v>2</v>
      </c>
      <c r="F296" s="46" t="str">
        <f>IFERROR(VLOOKUP(C296,MasterTable[[#All],[WCAG guideline]:[2.2 Level]],4,FALSE), "Not found")</f>
        <v>AA</v>
      </c>
      <c r="G296" s="103"/>
    </row>
    <row r="297" spans="1:7" ht="69.599999999999994" customHeight="1" x14ac:dyDescent="0.3">
      <c r="A297" s="44">
        <v>64</v>
      </c>
      <c r="B297" s="61" t="s">
        <v>202</v>
      </c>
      <c r="C297" s="44" t="s">
        <v>329</v>
      </c>
      <c r="D297" s="62" t="s">
        <v>855</v>
      </c>
      <c r="E297" s="47">
        <f>IFERROR(VLOOKUP(C297,MasterTable[[#All],[WCAG guideline]:[2.2 Level]],3,FALSE), "Not found")</f>
        <v>2</v>
      </c>
      <c r="F297" s="46" t="str">
        <f>IFERROR(VLOOKUP(C297,MasterTable[[#All],[WCAG guideline]:[2.2 Level]],4,FALSE), "Not found")</f>
        <v>AA</v>
      </c>
      <c r="G297" s="103"/>
    </row>
    <row r="298" spans="1:7" ht="112.95" customHeight="1" x14ac:dyDescent="0.3">
      <c r="A298" s="44">
        <v>65</v>
      </c>
      <c r="B298" s="61" t="s">
        <v>203</v>
      </c>
      <c r="C298" s="44" t="s">
        <v>329</v>
      </c>
      <c r="D298" s="62" t="s">
        <v>856</v>
      </c>
      <c r="E298" s="47">
        <f>IFERROR(VLOOKUP(C298,MasterTable[[#All],[WCAG guideline]:[2.2 Level]],3,FALSE), "Not found")</f>
        <v>2</v>
      </c>
      <c r="F298" s="46" t="str">
        <f>IFERROR(VLOOKUP(C298,MasterTable[[#All],[WCAG guideline]:[2.2 Level]],4,FALSE), "Not found")</f>
        <v>AA</v>
      </c>
      <c r="G298" s="103"/>
    </row>
    <row r="299" spans="1:7" ht="97.95" customHeight="1" x14ac:dyDescent="0.3">
      <c r="A299" s="44">
        <v>66</v>
      </c>
      <c r="B299" s="61" t="s">
        <v>204</v>
      </c>
      <c r="C299" s="44" t="s">
        <v>330</v>
      </c>
      <c r="D299" s="62" t="s">
        <v>857</v>
      </c>
      <c r="E299" s="47">
        <f>IFERROR(VLOOKUP(C299,MasterTable[[#All],[WCAG guideline]:[2.2 Level]],3,FALSE), "Not found")</f>
        <v>2</v>
      </c>
      <c r="F299" s="46" t="str">
        <f>IFERROR(VLOOKUP(C299,MasterTable[[#All],[WCAG guideline]:[2.2 Level]],4,FALSE), "Not found")</f>
        <v>AA</v>
      </c>
      <c r="G299" s="103"/>
    </row>
    <row r="300" spans="1:7" ht="85.2" customHeight="1" x14ac:dyDescent="0.3">
      <c r="A300" s="44">
        <v>67</v>
      </c>
      <c r="B300" s="61" t="s">
        <v>858</v>
      </c>
      <c r="C300" s="44" t="s">
        <v>331</v>
      </c>
      <c r="D300" s="62" t="s">
        <v>859</v>
      </c>
      <c r="E300" s="47">
        <f>IFERROR(VLOOKUP(C300,MasterTable[[#All],[WCAG guideline]:[2.2 Level]],3,FALSE), "Not found")</f>
        <v>2</v>
      </c>
      <c r="F300" s="46" t="str">
        <f>IFERROR(VLOOKUP(C300,MasterTable[[#All],[WCAG guideline]:[2.2 Level]],4,FALSE), "Not found")</f>
        <v>AAA</v>
      </c>
      <c r="G300" s="103"/>
    </row>
    <row r="301" spans="1:7" ht="98.4" customHeight="1" x14ac:dyDescent="0.3">
      <c r="A301" s="44">
        <v>68</v>
      </c>
      <c r="B301" s="61" t="s">
        <v>860</v>
      </c>
      <c r="C301" s="44" t="s">
        <v>331</v>
      </c>
      <c r="D301" s="62" t="s">
        <v>861</v>
      </c>
      <c r="E301" s="47">
        <f>IFERROR(VLOOKUP(C301,MasterTable[[#All],[WCAG guideline]:[2.2 Level]],3,FALSE), "Not found")</f>
        <v>2</v>
      </c>
      <c r="F301" s="46" t="str">
        <f>IFERROR(VLOOKUP(C301,MasterTable[[#All],[WCAG guideline]:[2.2 Level]],4,FALSE), "Not found")</f>
        <v>AAA</v>
      </c>
      <c r="G301" s="103"/>
    </row>
    <row r="302" spans="1:7" ht="157.94999999999999" customHeight="1" x14ac:dyDescent="0.3">
      <c r="A302" s="44">
        <v>69</v>
      </c>
      <c r="B302" s="61" t="s">
        <v>862</v>
      </c>
      <c r="C302" s="44" t="s">
        <v>332</v>
      </c>
      <c r="D302" s="118" t="s">
        <v>863</v>
      </c>
      <c r="E302" s="47">
        <f>IFERROR(VLOOKUP(C302,MasterTable[[#All],[WCAG guideline]:[2.2 Level]],3,FALSE), "Not found")</f>
        <v>2</v>
      </c>
      <c r="F302" s="46" t="str">
        <f>IFERROR(VLOOKUP(C302,MasterTable[[#All],[WCAG guideline]:[2.2 Level]],4,FALSE), "Not found")</f>
        <v>AAA</v>
      </c>
      <c r="G302" s="103"/>
    </row>
    <row r="303" spans="1:7" ht="133.94999999999999" customHeight="1" x14ac:dyDescent="0.3">
      <c r="A303" s="44">
        <v>70</v>
      </c>
      <c r="B303" s="61" t="s">
        <v>864</v>
      </c>
      <c r="C303" s="44" t="s">
        <v>333</v>
      </c>
      <c r="D303" s="62" t="s">
        <v>865</v>
      </c>
      <c r="E303" s="47">
        <f>IFERROR(VLOOKUP(C303,MasterTable[[#All],[WCAG guideline]:[2.2 Level]],3,FALSE), "Not found")</f>
        <v>2</v>
      </c>
      <c r="F303" s="46" t="str">
        <f>IFERROR(VLOOKUP(C303,MasterTable[[#All],[WCAG guideline]:[2.2 Level]],4,FALSE), "Not found")</f>
        <v>AAA</v>
      </c>
      <c r="G303" s="103"/>
    </row>
    <row r="304" spans="1:7" ht="112.95" customHeight="1" x14ac:dyDescent="0.3">
      <c r="A304" s="44">
        <v>71</v>
      </c>
      <c r="B304" s="61" t="s">
        <v>866</v>
      </c>
      <c r="C304" s="62" t="s">
        <v>334</v>
      </c>
      <c r="D304" s="62" t="s">
        <v>540</v>
      </c>
      <c r="E304" s="47">
        <f>IFERROR(VLOOKUP(C304,MasterTable[[#All],[WCAG guideline]:[2.2 Level]],3,FALSE), "Not found")</f>
        <v>2</v>
      </c>
      <c r="F304" s="46" t="str">
        <f>IFERROR(VLOOKUP(C304,MasterTable[[#All],[WCAG guideline]:[2.2 Level]],4,FALSE), "Not found")</f>
        <v>AAA</v>
      </c>
      <c r="G304" s="103"/>
    </row>
    <row r="305" spans="1:7" ht="112.95" customHeight="1" x14ac:dyDescent="0.3">
      <c r="A305" s="44">
        <v>79</v>
      </c>
      <c r="B305" s="61" t="s">
        <v>212</v>
      </c>
      <c r="C305" s="44" t="s">
        <v>335</v>
      </c>
      <c r="D305" s="62" t="s">
        <v>867</v>
      </c>
      <c r="E305" s="47">
        <f>IFERROR(VLOOKUP(C305,MasterTable[[#All],[WCAG guideline]:[2.2 Level]],3,FALSE), "Not found")</f>
        <v>2</v>
      </c>
      <c r="F305" s="46" t="str">
        <f>IFERROR(VLOOKUP(C305,MasterTable[[#All],[WCAG guideline]:[2.2 Level]],4,FALSE), "Not found")</f>
        <v>A</v>
      </c>
      <c r="G305" s="103"/>
    </row>
    <row r="306" spans="1:7" ht="70.2" customHeight="1" x14ac:dyDescent="0.3">
      <c r="A306" s="44">
        <v>80</v>
      </c>
      <c r="B306" s="61" t="s">
        <v>213</v>
      </c>
      <c r="C306" s="44" t="s">
        <v>335</v>
      </c>
      <c r="D306" s="62" t="s">
        <v>868</v>
      </c>
      <c r="E306" s="47">
        <f>IFERROR(VLOOKUP(C306,MasterTable[[#All],[WCAG guideline]:[2.2 Level]],3,FALSE), "Not found")</f>
        <v>2</v>
      </c>
      <c r="F306" s="46" t="str">
        <f>IFERROR(VLOOKUP(C306,MasterTable[[#All],[WCAG guideline]:[2.2 Level]],4,FALSE), "Not found")</f>
        <v>A</v>
      </c>
      <c r="G306" s="103"/>
    </row>
    <row r="307" spans="1:7" ht="108.6" customHeight="1" x14ac:dyDescent="0.3">
      <c r="A307" s="44">
        <v>81</v>
      </c>
      <c r="B307" s="61" t="s">
        <v>214</v>
      </c>
      <c r="C307" s="44" t="s">
        <v>335</v>
      </c>
      <c r="D307" s="118" t="s">
        <v>869</v>
      </c>
      <c r="E307" s="47">
        <f>IFERROR(VLOOKUP(C307,MasterTable[[#All],[WCAG guideline]:[2.2 Level]],3,FALSE), "Not found")</f>
        <v>2</v>
      </c>
      <c r="F307" s="46" t="str">
        <f>IFERROR(VLOOKUP(C307,MasterTable[[#All],[WCAG guideline]:[2.2 Level]],4,FALSE), "Not found")</f>
        <v>A</v>
      </c>
      <c r="G307" s="103"/>
    </row>
    <row r="308" spans="1:7" ht="104.4" customHeight="1" x14ac:dyDescent="0.3">
      <c r="A308" s="44">
        <v>82</v>
      </c>
      <c r="B308" s="61" t="s">
        <v>215</v>
      </c>
      <c r="C308" s="62" t="s">
        <v>335</v>
      </c>
      <c r="D308" s="62" t="s">
        <v>870</v>
      </c>
      <c r="E308" s="47">
        <f>IFERROR(VLOOKUP(C308,MasterTable[[#All],[WCAG guideline]:[2.2 Level]],3,FALSE), "Not found")</f>
        <v>2</v>
      </c>
      <c r="F308" s="46" t="str">
        <f>IFERROR(VLOOKUP(C308,MasterTable[[#All],[WCAG guideline]:[2.2 Level]],4,FALSE), "Not found")</f>
        <v>A</v>
      </c>
      <c r="G308" s="103"/>
    </row>
    <row r="309" spans="1:7" ht="93" customHeight="1" x14ac:dyDescent="0.3">
      <c r="A309" s="44">
        <v>83</v>
      </c>
      <c r="B309" s="61" t="s">
        <v>216</v>
      </c>
      <c r="C309" s="44" t="s">
        <v>336</v>
      </c>
      <c r="D309" s="62" t="s">
        <v>871</v>
      </c>
      <c r="E309" s="47">
        <f>IFERROR(VLOOKUP(C309,MasterTable[[#All],[WCAG guideline]:[2.2 Level]],3,FALSE), "Not found")</f>
        <v>2</v>
      </c>
      <c r="F309" s="46" t="str">
        <f>IFERROR(VLOOKUP(C309,MasterTable[[#All],[WCAG guideline]:[2.2 Level]],4,FALSE), "Not found")</f>
        <v>A</v>
      </c>
      <c r="G309" s="103"/>
    </row>
    <row r="310" spans="1:7" ht="94.95" customHeight="1" x14ac:dyDescent="0.3">
      <c r="A310" s="44">
        <v>84</v>
      </c>
      <c r="B310" s="61" t="s">
        <v>872</v>
      </c>
      <c r="C310" s="44" t="s">
        <v>337</v>
      </c>
      <c r="D310" s="118" t="s">
        <v>873</v>
      </c>
      <c r="E310" s="47">
        <f>IFERROR(VLOOKUP(C310,MasterTable[[#All],[WCAG guideline]:[2.2 Level]],3,FALSE), "Not found")</f>
        <v>2</v>
      </c>
      <c r="F310" s="46" t="str">
        <f>IFERROR(VLOOKUP(C310,MasterTable[[#All],[WCAG guideline]:[2.2 Level]],4,FALSE), "Not found")</f>
        <v>AAA</v>
      </c>
      <c r="G310" s="103"/>
    </row>
    <row r="311" spans="1:7" ht="86.4" customHeight="1" x14ac:dyDescent="0.3">
      <c r="A311" s="44">
        <v>85</v>
      </c>
      <c r="B311" s="61" t="s">
        <v>217</v>
      </c>
      <c r="C311" s="62" t="s">
        <v>380</v>
      </c>
      <c r="D311" s="118" t="s">
        <v>874</v>
      </c>
      <c r="E311" s="47">
        <f>IFERROR(VLOOKUP(C311,MasterTable[[#All],[WCAG guideline]:[2.2 Level]],3,FALSE), "Not found")</f>
        <v>2.1</v>
      </c>
      <c r="F311" s="46" t="str">
        <f>IFERROR(VLOOKUP(C311,MasterTable[[#All],[WCAG guideline]:[2.2 Level]],4,FALSE), "Not found")</f>
        <v>A</v>
      </c>
      <c r="G311" s="103"/>
    </row>
    <row r="312" spans="1:7" ht="42.6" customHeight="1" x14ac:dyDescent="0.3">
      <c r="A312" s="44">
        <v>86</v>
      </c>
      <c r="B312" s="61" t="s">
        <v>218</v>
      </c>
      <c r="C312" s="44" t="s">
        <v>338</v>
      </c>
      <c r="D312" s="62" t="s">
        <v>875</v>
      </c>
      <c r="E312" s="47">
        <f>IFERROR(VLOOKUP(C312,MasterTable[[#All],[WCAG guideline]:[2.2 Level]],3,FALSE), "Not found")</f>
        <v>2</v>
      </c>
      <c r="F312" s="46" t="str">
        <f>IFERROR(VLOOKUP(C312,MasterTable[[#All],[WCAG guideline]:[2.2 Level]],4,FALSE), "Not found")</f>
        <v>A</v>
      </c>
      <c r="G312" s="103"/>
    </row>
    <row r="313" spans="1:7" ht="100.2" customHeight="1" x14ac:dyDescent="0.3">
      <c r="A313" s="44">
        <v>87</v>
      </c>
      <c r="B313" s="61" t="s">
        <v>219</v>
      </c>
      <c r="C313" s="44" t="s">
        <v>338</v>
      </c>
      <c r="D313" s="62" t="s">
        <v>876</v>
      </c>
      <c r="E313" s="47">
        <f>IFERROR(VLOOKUP(C313,MasterTable[[#All],[WCAG guideline]:[2.2 Level]],3,FALSE), "Not found")</f>
        <v>2</v>
      </c>
      <c r="F313" s="46" t="str">
        <f>IFERROR(VLOOKUP(C313,MasterTable[[#All],[WCAG guideline]:[2.2 Level]],4,FALSE), "Not found")</f>
        <v>A</v>
      </c>
      <c r="G313" s="103"/>
    </row>
    <row r="314" spans="1:7" ht="93.6" x14ac:dyDescent="0.3">
      <c r="A314" s="44">
        <v>88</v>
      </c>
      <c r="B314" s="61" t="s">
        <v>220</v>
      </c>
      <c r="C314" s="44" t="s">
        <v>338</v>
      </c>
      <c r="D314" s="62" t="s">
        <v>877</v>
      </c>
      <c r="E314" s="47">
        <f>IFERROR(VLOOKUP(C314,MasterTable[[#All],[WCAG guideline]:[2.2 Level]],3,FALSE), "Not found")</f>
        <v>2</v>
      </c>
      <c r="F314" s="46" t="str">
        <f>IFERROR(VLOOKUP(C314,MasterTable[[#All],[WCAG guideline]:[2.2 Level]],4,FALSE), "Not found")</f>
        <v>A</v>
      </c>
      <c r="G314" s="103"/>
    </row>
    <row r="315" spans="1:7" ht="78" x14ac:dyDescent="0.3">
      <c r="A315" s="44">
        <v>89</v>
      </c>
      <c r="B315" s="61" t="s">
        <v>221</v>
      </c>
      <c r="C315" s="44" t="s">
        <v>339</v>
      </c>
      <c r="D315" s="118" t="s">
        <v>878</v>
      </c>
      <c r="E315" s="47">
        <f>IFERROR(VLOOKUP(C315,MasterTable[[#All],[WCAG guideline]:[2.2 Level]],3,FALSE), "Not found")</f>
        <v>2</v>
      </c>
      <c r="F315" s="46" t="str">
        <f>IFERROR(VLOOKUP(C315,MasterTable[[#All],[WCAG guideline]:[2.2 Level]],4,FALSE), "Not found")</f>
        <v>A</v>
      </c>
      <c r="G315" s="103"/>
    </row>
    <row r="316" spans="1:7" ht="78" x14ac:dyDescent="0.3">
      <c r="A316" s="44">
        <v>90</v>
      </c>
      <c r="B316" s="61" t="s">
        <v>222</v>
      </c>
      <c r="C316" s="44" t="s">
        <v>339</v>
      </c>
      <c r="D316" s="118" t="s">
        <v>879</v>
      </c>
      <c r="E316" s="47">
        <f>IFERROR(VLOOKUP(C316,MasterTable[[#All],[WCAG guideline]:[2.2 Level]],3,FALSE), "Not found")</f>
        <v>2</v>
      </c>
      <c r="F316" s="46" t="str">
        <f>IFERROR(VLOOKUP(C316,MasterTable[[#All],[WCAG guideline]:[2.2 Level]],4,FALSE), "Not found")</f>
        <v>A</v>
      </c>
      <c r="G316" s="103"/>
    </row>
    <row r="317" spans="1:7" ht="62.4" x14ac:dyDescent="0.3">
      <c r="A317" s="44">
        <v>91</v>
      </c>
      <c r="B317" s="61" t="s">
        <v>880</v>
      </c>
      <c r="C317" s="44" t="s">
        <v>340</v>
      </c>
      <c r="D317" s="118" t="s">
        <v>575</v>
      </c>
      <c r="E317" s="47">
        <f>IFERROR(VLOOKUP(C317,MasterTable[[#All],[WCAG guideline]:[2.2 Level]],3,FALSE), "Not found")</f>
        <v>2</v>
      </c>
      <c r="F317" s="46" t="str">
        <f>IFERROR(VLOOKUP(C317,MasterTable[[#All],[WCAG guideline]:[2.2 Level]],4,FALSE), "Not found")</f>
        <v>AAA</v>
      </c>
      <c r="G317" s="103"/>
    </row>
    <row r="318" spans="1:7" ht="64.95" customHeight="1" x14ac:dyDescent="0.3">
      <c r="A318" s="44">
        <v>92</v>
      </c>
      <c r="B318" s="61" t="s">
        <v>881</v>
      </c>
      <c r="C318" s="44" t="s">
        <v>341</v>
      </c>
      <c r="D318" s="118" t="s">
        <v>578</v>
      </c>
      <c r="E318" s="47">
        <f>IFERROR(VLOOKUP(C318,MasterTable[[#All],[WCAG guideline]:[2.2 Level]],3,FALSE), "Not found")</f>
        <v>2</v>
      </c>
      <c r="F318" s="46" t="str">
        <f>IFERROR(VLOOKUP(C318,MasterTable[[#All],[WCAG guideline]:[2.2 Level]],4,FALSE), "Not found")</f>
        <v>AAA</v>
      </c>
      <c r="G318" s="103"/>
    </row>
    <row r="319" spans="1:7" ht="64.95" customHeight="1" x14ac:dyDescent="0.3">
      <c r="A319" s="44">
        <v>93</v>
      </c>
      <c r="B319" s="61" t="s">
        <v>882</v>
      </c>
      <c r="C319" s="44" t="s">
        <v>342</v>
      </c>
      <c r="D319" s="118" t="s">
        <v>581</v>
      </c>
      <c r="E319" s="47">
        <f>IFERROR(VLOOKUP(C319,MasterTable[[#All],[WCAG guideline]:[2.2 Level]],3,FALSE), "Not found")</f>
        <v>2</v>
      </c>
      <c r="F319" s="46" t="str">
        <f>IFERROR(VLOOKUP(C319,MasterTable[[#All],[WCAG guideline]:[2.2 Level]],4,FALSE), "Not found")</f>
        <v>AAA</v>
      </c>
      <c r="G319" s="103"/>
    </row>
    <row r="320" spans="1:7" ht="108.6" customHeight="1" x14ac:dyDescent="0.3">
      <c r="A320" s="44">
        <v>94</v>
      </c>
      <c r="B320" s="61" t="s">
        <v>883</v>
      </c>
      <c r="C320" s="44" t="s">
        <v>381</v>
      </c>
      <c r="D320" s="118" t="s">
        <v>584</v>
      </c>
      <c r="E320" s="47">
        <f>IFERROR(VLOOKUP(C320,MasterTable[[#All],[WCAG guideline]:[2.2 Level]],3,FALSE), "Not found")</f>
        <v>2.1</v>
      </c>
      <c r="F320" s="46" t="str">
        <f>IFERROR(VLOOKUP(C320,MasterTable[[#All],[WCAG guideline]:[2.2 Level]],4,FALSE), "Not found")</f>
        <v>AAA</v>
      </c>
      <c r="G320" s="103"/>
    </row>
    <row r="321" spans="1:7" ht="97.95" customHeight="1" x14ac:dyDescent="0.3">
      <c r="A321" s="44">
        <v>95</v>
      </c>
      <c r="B321" s="61" t="s">
        <v>223</v>
      </c>
      <c r="C321" s="44" t="s">
        <v>343</v>
      </c>
      <c r="D321" s="118" t="s">
        <v>884</v>
      </c>
      <c r="E321" s="47">
        <f>IFERROR(VLOOKUP(C321,MasterTable[[#All],[WCAG guideline]:[2.2 Level]],3,FALSE), "Not found")</f>
        <v>2</v>
      </c>
      <c r="F321" s="46" t="str">
        <f>IFERROR(VLOOKUP(C321,MasterTable[[#All],[WCAG guideline]:[2.2 Level]],4,FALSE), "Not found")</f>
        <v>A</v>
      </c>
      <c r="G321" s="103"/>
    </row>
    <row r="322" spans="1:7" ht="93.6" customHeight="1" x14ac:dyDescent="0.3">
      <c r="A322" s="44">
        <v>96</v>
      </c>
      <c r="B322" s="61" t="s">
        <v>224</v>
      </c>
      <c r="C322" s="44" t="s">
        <v>343</v>
      </c>
      <c r="D322" s="118" t="s">
        <v>885</v>
      </c>
      <c r="E322" s="47">
        <f>IFERROR(VLOOKUP(C322,MasterTable[[#All],[WCAG guideline]:[2.2 Level]],3,FALSE), "Not found")</f>
        <v>2</v>
      </c>
      <c r="F322" s="46" t="str">
        <f>IFERROR(VLOOKUP(C322,MasterTable[[#All],[WCAG guideline]:[2.2 Level]],4,FALSE), "Not found")</f>
        <v>A</v>
      </c>
      <c r="G322" s="103"/>
    </row>
    <row r="323" spans="1:7" ht="93.6" customHeight="1" x14ac:dyDescent="0.3">
      <c r="A323" s="44">
        <v>97</v>
      </c>
      <c r="B323" s="61" t="s">
        <v>886</v>
      </c>
      <c r="C323" s="44" t="s">
        <v>344</v>
      </c>
      <c r="D323" s="118" t="s">
        <v>590</v>
      </c>
      <c r="E323" s="47">
        <f>IFERROR(VLOOKUP(C323,MasterTable[[#All],[WCAG guideline]:[2.2 Level]],3,FALSE), "Not found")</f>
        <v>2</v>
      </c>
      <c r="F323" s="46" t="str">
        <f>IFERROR(VLOOKUP(C323,MasterTable[[#All],[WCAG guideline]:[2.2 Level]],4,FALSE), "Not found")</f>
        <v>AAA</v>
      </c>
      <c r="G323" s="103"/>
    </row>
    <row r="324" spans="1:7" ht="93.6" customHeight="1" x14ac:dyDescent="0.3">
      <c r="A324" s="44">
        <v>98</v>
      </c>
      <c r="B324" s="61" t="s">
        <v>887</v>
      </c>
      <c r="C324" s="44" t="s">
        <v>382</v>
      </c>
      <c r="D324" s="118" t="s">
        <v>593</v>
      </c>
      <c r="E324" s="47">
        <f>IFERROR(VLOOKUP(C324,MasterTable[[#All],[WCAG guideline]:[2.2 Level]],3,FALSE), "Not found")</f>
        <v>2.1</v>
      </c>
      <c r="F324" s="46" t="str">
        <f>IFERROR(VLOOKUP(C324,MasterTable[[#All],[WCAG guideline]:[2.2 Level]],4,FALSE), "Not found")</f>
        <v>AAA</v>
      </c>
      <c r="G324" s="103"/>
    </row>
    <row r="325" spans="1:7" ht="97.95" customHeight="1" x14ac:dyDescent="0.3">
      <c r="A325" s="44">
        <v>99</v>
      </c>
      <c r="B325" s="61" t="s">
        <v>225</v>
      </c>
      <c r="C325" s="62" t="s">
        <v>345</v>
      </c>
      <c r="D325" s="118" t="s">
        <v>888</v>
      </c>
      <c r="E325" s="47">
        <f>IFERROR(VLOOKUP(C325,MasterTable[[#All],[WCAG guideline]:[2.2 Level]],3,FALSE), "Not found")</f>
        <v>2</v>
      </c>
      <c r="F325" s="46" t="str">
        <f>IFERROR(VLOOKUP(C325,MasterTable[[#All],[WCAG guideline]:[2.2 Level]],4,FALSE), "Not found")</f>
        <v>A</v>
      </c>
      <c r="G325" s="103"/>
    </row>
    <row r="326" spans="1:7" ht="54" customHeight="1" x14ac:dyDescent="0.3">
      <c r="A326" s="44">
        <v>100</v>
      </c>
      <c r="B326" s="61" t="s">
        <v>226</v>
      </c>
      <c r="C326" s="44" t="s">
        <v>345</v>
      </c>
      <c r="D326" s="62" t="s">
        <v>889</v>
      </c>
      <c r="E326" s="47">
        <f>IFERROR(VLOOKUP(C326,MasterTable[[#All],[WCAG guideline]:[2.2 Level]],3,FALSE), "Not found")</f>
        <v>2</v>
      </c>
      <c r="F326" s="46" t="str">
        <f>IFERROR(VLOOKUP(C326,MasterTable[[#All],[WCAG guideline]:[2.2 Level]],4,FALSE), "Not found")</f>
        <v>A</v>
      </c>
      <c r="G326" s="103"/>
    </row>
    <row r="327" spans="1:7" ht="60" customHeight="1" x14ac:dyDescent="0.3">
      <c r="A327" s="44">
        <v>116</v>
      </c>
      <c r="B327" s="61" t="s">
        <v>890</v>
      </c>
      <c r="C327" s="44" t="s">
        <v>354</v>
      </c>
      <c r="D327" s="118" t="s">
        <v>623</v>
      </c>
      <c r="E327" s="47">
        <f>IFERROR(VLOOKUP(C327,MasterTable[[#All],[WCAG guideline]:[2.2 Level]],3,FALSE), "Not found")</f>
        <v>2</v>
      </c>
      <c r="F327" s="46" t="str">
        <f>IFERROR(VLOOKUP(C327,MasterTable[[#All],[WCAG guideline]:[2.2 Level]],4,FALSE), "Not found")</f>
        <v>AAA</v>
      </c>
      <c r="G327" s="103"/>
    </row>
    <row r="328" spans="1:7" ht="31.2" x14ac:dyDescent="0.3">
      <c r="A328" s="44">
        <v>117</v>
      </c>
      <c r="B328" s="61" t="s">
        <v>240</v>
      </c>
      <c r="C328" s="62" t="s">
        <v>391</v>
      </c>
      <c r="D328" s="118" t="s">
        <v>891</v>
      </c>
      <c r="E328" s="47">
        <f>IFERROR(VLOOKUP(C328,MasterTable[[#All],[WCAG guideline]:[2.2 Level]],3,FALSE), "Not found")</f>
        <v>2.2000000000000002</v>
      </c>
      <c r="F328" s="46" t="str">
        <f>IFERROR(VLOOKUP(C328,MasterTable[[#All],[WCAG guideline]:[2.2 Level]],4,FALSE), "Not found")</f>
        <v>AA</v>
      </c>
      <c r="G328" s="103"/>
    </row>
    <row r="329" spans="1:7" ht="129" customHeight="1" x14ac:dyDescent="0.3">
      <c r="A329" s="44">
        <v>118</v>
      </c>
      <c r="B329" s="61" t="s">
        <v>892</v>
      </c>
      <c r="C329" s="62" t="s">
        <v>392</v>
      </c>
      <c r="D329" s="118" t="s">
        <v>893</v>
      </c>
      <c r="E329" s="47">
        <f>IFERROR(VLOOKUP(C329,MasterTable[[#All],[WCAG guideline]:[2.2 Level]],3,FALSE), "Not found")</f>
        <v>2.2000000000000002</v>
      </c>
      <c r="F329" s="46" t="str">
        <f>IFERROR(VLOOKUP(C329,MasterTable[[#All],[WCAG guideline]:[2.2 Level]],4,FALSE), "Not found")</f>
        <v>AAA</v>
      </c>
      <c r="G329" s="103"/>
    </row>
    <row r="330" spans="1:7" ht="110.4" customHeight="1" x14ac:dyDescent="0.3">
      <c r="A330" s="44">
        <v>119</v>
      </c>
      <c r="B330" s="61" t="s">
        <v>894</v>
      </c>
      <c r="C330" s="62" t="s">
        <v>393</v>
      </c>
      <c r="D330" s="118" t="s">
        <v>895</v>
      </c>
      <c r="E330" s="47">
        <f>IFERROR(VLOOKUP(C330,MasterTable[[#All],[WCAG guideline]:[2.2 Level]],3,FALSE), "Not found")</f>
        <v>2.2000000000000002</v>
      </c>
      <c r="F330" s="46" t="str">
        <f>IFERROR(VLOOKUP(C330,MasterTable[[#All],[WCAG guideline]:[2.2 Level]],4,FALSE), "Not found")</f>
        <v>AAA</v>
      </c>
      <c r="G330" s="103"/>
    </row>
    <row r="331" spans="1:7" ht="110.4" customHeight="1" x14ac:dyDescent="0.3">
      <c r="A331" s="44">
        <v>101</v>
      </c>
      <c r="B331" s="61" t="s">
        <v>227</v>
      </c>
      <c r="C331" s="44" t="s">
        <v>346</v>
      </c>
      <c r="D331" s="62" t="s">
        <v>896</v>
      </c>
      <c r="E331" s="47">
        <f>IFERROR(VLOOKUP(C331,MasterTable[[#All],[WCAG guideline]:[2.2 Level]],3,FALSE), "Not found")</f>
        <v>2</v>
      </c>
      <c r="F331" s="46" t="str">
        <f>IFERROR(VLOOKUP(C331,MasterTable[[#All],[WCAG guideline]:[2.2 Level]],4,FALSE), "Not found")</f>
        <v>A</v>
      </c>
      <c r="G331" s="103"/>
    </row>
    <row r="332" spans="1:7" ht="99.6" customHeight="1" x14ac:dyDescent="0.3">
      <c r="A332" s="44">
        <v>102</v>
      </c>
      <c r="B332" s="61" t="s">
        <v>228</v>
      </c>
      <c r="C332" s="44" t="s">
        <v>346</v>
      </c>
      <c r="D332" s="62" t="s">
        <v>897</v>
      </c>
      <c r="E332" s="47">
        <f>IFERROR(VLOOKUP(C332,MasterTable[[#All],[WCAG guideline]:[2.2 Level]],3,FALSE), "Not found")</f>
        <v>2</v>
      </c>
      <c r="F332" s="46" t="str">
        <f>IFERROR(VLOOKUP(C332,MasterTable[[#All],[WCAG guideline]:[2.2 Level]],4,FALSE), "Not found")</f>
        <v>A</v>
      </c>
      <c r="G332" s="103"/>
    </row>
    <row r="333" spans="1:7" ht="31.2" x14ac:dyDescent="0.3">
      <c r="A333" s="44">
        <v>103</v>
      </c>
      <c r="B333" s="61" t="s">
        <v>229</v>
      </c>
      <c r="C333" s="62" t="s">
        <v>347</v>
      </c>
      <c r="D333" s="118" t="s">
        <v>898</v>
      </c>
      <c r="E333" s="47">
        <f>IFERROR(VLOOKUP(C333,MasterTable[[#All],[WCAG guideline]:[2.2 Level]],3,FALSE), "Not found")</f>
        <v>2</v>
      </c>
      <c r="F333" s="46" t="str">
        <f>IFERROR(VLOOKUP(C333,MasterTable[[#All],[WCAG guideline]:[2.2 Level]],4,FALSE), "Not found")</f>
        <v>A</v>
      </c>
      <c r="G333" s="103"/>
    </row>
    <row r="334" spans="1:7" ht="91.95" customHeight="1" x14ac:dyDescent="0.3">
      <c r="A334" s="44">
        <v>104</v>
      </c>
      <c r="B334" s="61" t="s">
        <v>230</v>
      </c>
      <c r="C334" s="62" t="s">
        <v>347</v>
      </c>
      <c r="D334" s="118" t="s">
        <v>899</v>
      </c>
      <c r="E334" s="47">
        <f>IFERROR(VLOOKUP(C334,MasterTable[[#All],[WCAG guideline]:[2.2 Level]],3,FALSE), "Not found")</f>
        <v>2</v>
      </c>
      <c r="F334" s="46" t="str">
        <f>IFERROR(VLOOKUP(C334,MasterTable[[#All],[WCAG guideline]:[2.2 Level]],4,FALSE), "Not found")</f>
        <v>A</v>
      </c>
      <c r="G334" s="103"/>
    </row>
    <row r="335" spans="1:7" ht="72.599999999999994" customHeight="1" x14ac:dyDescent="0.3">
      <c r="A335" s="44">
        <v>105</v>
      </c>
      <c r="B335" s="61" t="s">
        <v>231</v>
      </c>
      <c r="C335" s="62" t="s">
        <v>347</v>
      </c>
      <c r="D335" s="118" t="s">
        <v>900</v>
      </c>
      <c r="E335" s="47">
        <f>IFERROR(VLOOKUP(C335,MasterTable[[#All],[WCAG guideline]:[2.2 Level]],3,FALSE), "Not found")</f>
        <v>2</v>
      </c>
      <c r="F335" s="46" t="str">
        <f>IFERROR(VLOOKUP(C335,MasterTable[[#All],[WCAG guideline]:[2.2 Level]],4,FALSE), "Not found")</f>
        <v>A</v>
      </c>
      <c r="G335" s="103"/>
    </row>
    <row r="336" spans="1:7" ht="105" customHeight="1" x14ac:dyDescent="0.3">
      <c r="A336" s="44">
        <v>106</v>
      </c>
      <c r="B336" s="61" t="s">
        <v>232</v>
      </c>
      <c r="C336" s="62" t="s">
        <v>347</v>
      </c>
      <c r="D336" s="118" t="s">
        <v>901</v>
      </c>
      <c r="E336" s="47">
        <f>IFERROR(VLOOKUP(C336,MasterTable[[#All],[WCAG guideline]:[2.2 Level]],3,FALSE), "Not found")</f>
        <v>2</v>
      </c>
      <c r="F336" s="46" t="str">
        <f>IFERROR(VLOOKUP(C336,MasterTable[[#All],[WCAG guideline]:[2.2 Level]],4,FALSE), "Not found")</f>
        <v>A</v>
      </c>
      <c r="G336" s="103"/>
    </row>
    <row r="337" spans="1:7" ht="101.4" customHeight="1" x14ac:dyDescent="0.3">
      <c r="A337" s="44">
        <v>107</v>
      </c>
      <c r="B337" s="61" t="s">
        <v>233</v>
      </c>
      <c r="C337" s="62" t="s">
        <v>347</v>
      </c>
      <c r="D337" s="118" t="s">
        <v>902</v>
      </c>
      <c r="E337" s="47">
        <f>IFERROR(VLOOKUP(C337,MasterTable[[#All],[WCAG guideline]:[2.2 Level]],3,FALSE), "Not found")</f>
        <v>2</v>
      </c>
      <c r="F337" s="46" t="str">
        <f>IFERROR(VLOOKUP(C337,MasterTable[[#All],[WCAG guideline]:[2.2 Level]],4,FALSE), "Not found")</f>
        <v>A</v>
      </c>
      <c r="G337" s="103"/>
    </row>
    <row r="338" spans="1:7" ht="73.2" customHeight="1" x14ac:dyDescent="0.3">
      <c r="A338" s="44">
        <v>108</v>
      </c>
      <c r="B338" s="61" t="s">
        <v>234</v>
      </c>
      <c r="C338" s="44" t="s">
        <v>348</v>
      </c>
      <c r="D338" s="62" t="s">
        <v>903</v>
      </c>
      <c r="E338" s="47">
        <f>IFERROR(VLOOKUP(C338,MasterTable[[#All],[WCAG guideline]:[2.2 Level]],3,FALSE), "Not found")</f>
        <v>2</v>
      </c>
      <c r="F338" s="46" t="str">
        <f>IFERROR(VLOOKUP(C338,MasterTable[[#All],[WCAG guideline]:[2.2 Level]],4,FALSE), "Not found")</f>
        <v>A</v>
      </c>
      <c r="G338" s="103"/>
    </row>
    <row r="339" spans="1:7" ht="69" customHeight="1" x14ac:dyDescent="0.3">
      <c r="A339" s="44">
        <v>109</v>
      </c>
      <c r="B339" s="61" t="s">
        <v>235</v>
      </c>
      <c r="C339" s="44" t="s">
        <v>349</v>
      </c>
      <c r="D339" s="62" t="s">
        <v>904</v>
      </c>
      <c r="E339" s="47">
        <f>IFERROR(VLOOKUP(C339,MasterTable[[#All],[WCAG guideline]:[2.2 Level]],3,FALSE), "Not found")</f>
        <v>2</v>
      </c>
      <c r="F339" s="46" t="str">
        <f>IFERROR(VLOOKUP(C339,MasterTable[[#All],[WCAG guideline]:[2.2 Level]],4,FALSE), "Not found")</f>
        <v>AA</v>
      </c>
      <c r="G339" s="103"/>
    </row>
    <row r="340" spans="1:7" ht="69" customHeight="1" x14ac:dyDescent="0.3">
      <c r="A340" s="44">
        <v>110</v>
      </c>
      <c r="B340" s="61" t="s">
        <v>236</v>
      </c>
      <c r="C340" s="44" t="s">
        <v>350</v>
      </c>
      <c r="D340" s="62" t="s">
        <v>905</v>
      </c>
      <c r="E340" s="47">
        <f>IFERROR(VLOOKUP(C340,MasterTable[[#All],[WCAG guideline]:[2.2 Level]],3,FALSE), "Not found")</f>
        <v>2</v>
      </c>
      <c r="F340" s="46" t="str">
        <f>IFERROR(VLOOKUP(C340,MasterTable[[#All],[WCAG guideline]:[2.2 Level]],4,FALSE), "Not found")</f>
        <v>AA</v>
      </c>
      <c r="G340" s="103"/>
    </row>
    <row r="341" spans="1:7" ht="124.95" customHeight="1" x14ac:dyDescent="0.3">
      <c r="A341" s="44">
        <v>111</v>
      </c>
      <c r="B341" s="61" t="s">
        <v>237</v>
      </c>
      <c r="C341" s="44" t="s">
        <v>350</v>
      </c>
      <c r="D341" s="118" t="s">
        <v>906</v>
      </c>
      <c r="E341" s="47">
        <f>IFERROR(VLOOKUP(C341,MasterTable[[#All],[WCAG guideline]:[2.2 Level]],3,FALSE), "Not found")</f>
        <v>2</v>
      </c>
      <c r="F341" s="46" t="str">
        <f>IFERROR(VLOOKUP(C341,MasterTable[[#All],[WCAG guideline]:[2.2 Level]],4,FALSE), "Not found")</f>
        <v>AA</v>
      </c>
      <c r="G341" s="103"/>
    </row>
    <row r="342" spans="1:7" ht="73.95" customHeight="1" x14ac:dyDescent="0.3">
      <c r="A342" s="44">
        <v>112</v>
      </c>
      <c r="B342" s="61" t="s">
        <v>238</v>
      </c>
      <c r="C342" s="44" t="s">
        <v>351</v>
      </c>
      <c r="D342" s="118" t="s">
        <v>907</v>
      </c>
      <c r="E342" s="47">
        <f>IFERROR(VLOOKUP(C342,MasterTable[[#All],[WCAG guideline]:[2.2 Level]],3,FALSE), "Not found")</f>
        <v>2</v>
      </c>
      <c r="F342" s="46" t="str">
        <f>IFERROR(VLOOKUP(C342,MasterTable[[#All],[WCAG guideline]:[2.2 Level]],4,FALSE), "Not found")</f>
        <v>AA</v>
      </c>
      <c r="G342" s="103"/>
    </row>
    <row r="343" spans="1:7" ht="46.8" x14ac:dyDescent="0.3">
      <c r="A343" s="44">
        <v>113</v>
      </c>
      <c r="B343" s="61" t="s">
        <v>239</v>
      </c>
      <c r="C343" s="44" t="s">
        <v>351</v>
      </c>
      <c r="D343" s="118" t="s">
        <v>908</v>
      </c>
      <c r="E343" s="47">
        <f>IFERROR(VLOOKUP(C343,MasterTable[[#All],[WCAG guideline]:[2.2 Level]],3,FALSE), "Not found")</f>
        <v>2</v>
      </c>
      <c r="F343" s="46" t="str">
        <f>IFERROR(VLOOKUP(C343,MasterTable[[#All],[WCAG guideline]:[2.2 Level]],4,FALSE), "Not found")</f>
        <v>AA</v>
      </c>
      <c r="G343" s="103"/>
    </row>
    <row r="344" spans="1:7" ht="96" customHeight="1" x14ac:dyDescent="0.3">
      <c r="A344" s="44">
        <v>114</v>
      </c>
      <c r="B344" s="61" t="s">
        <v>909</v>
      </c>
      <c r="C344" s="44" t="s">
        <v>352</v>
      </c>
      <c r="D344" s="118" t="s">
        <v>910</v>
      </c>
      <c r="E344" s="47">
        <f>IFERROR(VLOOKUP(C344,MasterTable[[#All],[WCAG guideline]:[2.2 Level]],3,FALSE), "Not found")</f>
        <v>2</v>
      </c>
      <c r="F344" s="46" t="str">
        <f>IFERROR(VLOOKUP(C344,MasterTable[[#All],[WCAG guideline]:[2.2 Level]],4,FALSE), "Not found")</f>
        <v>AAA</v>
      </c>
      <c r="G344" s="103"/>
    </row>
    <row r="345" spans="1:7" ht="78" x14ac:dyDescent="0.3">
      <c r="A345" s="44">
        <v>115</v>
      </c>
      <c r="B345" s="61" t="s">
        <v>911</v>
      </c>
      <c r="C345" s="44" t="s">
        <v>353</v>
      </c>
      <c r="D345" s="118" t="s">
        <v>620</v>
      </c>
      <c r="E345" s="47">
        <f>IFERROR(VLOOKUP(C345,MasterTable[[#All],[WCAG guideline]:[2.2 Level]],3,FALSE), "Not found")</f>
        <v>2</v>
      </c>
      <c r="F345" s="46" t="str">
        <f>IFERROR(VLOOKUP(C345,MasterTable[[#All],[WCAG guideline]:[2.2 Level]],4,FALSE), "Not found")</f>
        <v>AAA</v>
      </c>
      <c r="G345" s="103"/>
    </row>
    <row r="346" spans="1:7" ht="62.4" x14ac:dyDescent="0.3">
      <c r="A346" s="44">
        <v>120</v>
      </c>
      <c r="B346" s="61" t="s">
        <v>241</v>
      </c>
      <c r="C346" s="44" t="s">
        <v>383</v>
      </c>
      <c r="D346" s="62" t="s">
        <v>912</v>
      </c>
      <c r="E346" s="47">
        <f>IFERROR(VLOOKUP(C346,MasterTable[[#All],[WCAG guideline]:[2.2 Level]],3,FALSE), "Not found")</f>
        <v>2.1</v>
      </c>
      <c r="F346" s="46" t="str">
        <f>IFERROR(VLOOKUP(C346,MasterTable[[#All],[WCAG guideline]:[2.2 Level]],4,FALSE), "Not found")</f>
        <v>A</v>
      </c>
      <c r="G346" s="103"/>
    </row>
    <row r="347" spans="1:7" ht="137.4" customHeight="1" x14ac:dyDescent="0.3">
      <c r="A347" s="44">
        <v>121</v>
      </c>
      <c r="B347" s="61" t="s">
        <v>242</v>
      </c>
      <c r="C347" s="44" t="s">
        <v>384</v>
      </c>
      <c r="D347" s="62" t="s">
        <v>913</v>
      </c>
      <c r="E347" s="47">
        <f>IFERROR(VLOOKUP(C347,MasterTable[[#All],[WCAG guideline]:[2.2 Level]],3,FALSE), "Not found")</f>
        <v>2.1</v>
      </c>
      <c r="F347" s="46" t="str">
        <f>IFERROR(VLOOKUP(C347,MasterTable[[#All],[WCAG guideline]:[2.2 Level]],4,FALSE), "Not found")</f>
        <v>A</v>
      </c>
      <c r="G347" s="103"/>
    </row>
    <row r="348" spans="1:7" ht="73.2" customHeight="1" x14ac:dyDescent="0.3">
      <c r="A348" s="44">
        <v>122</v>
      </c>
      <c r="B348" s="61" t="s">
        <v>243</v>
      </c>
      <c r="C348" s="44" t="s">
        <v>385</v>
      </c>
      <c r="D348" s="62" t="s">
        <v>914</v>
      </c>
      <c r="E348" s="47">
        <f>IFERROR(VLOOKUP(C348,MasterTable[[#All],[WCAG guideline]:[2.2 Level]],3,FALSE), "Not found")</f>
        <v>2.1</v>
      </c>
      <c r="F348" s="46" t="str">
        <f>IFERROR(VLOOKUP(C348,MasterTable[[#All],[WCAG guideline]:[2.2 Level]],4,FALSE), "Not found")</f>
        <v>A</v>
      </c>
      <c r="G348" s="103"/>
    </row>
    <row r="349" spans="1:7" ht="85.95" customHeight="1" x14ac:dyDescent="0.3">
      <c r="A349" s="44">
        <v>123</v>
      </c>
      <c r="B349" s="61" t="s">
        <v>244</v>
      </c>
      <c r="C349" s="62" t="s">
        <v>386</v>
      </c>
      <c r="D349" s="118" t="s">
        <v>915</v>
      </c>
      <c r="E349" s="47">
        <f>IFERROR(VLOOKUP(C349,MasterTable[[#All],[WCAG guideline]:[2.2 Level]],3,FALSE), "Not found")</f>
        <v>2.1</v>
      </c>
      <c r="F349" s="46" t="str">
        <f>IFERROR(VLOOKUP(C349,MasterTable[[#All],[WCAG guideline]:[2.2 Level]],4,FALSE), "Not found")</f>
        <v>A</v>
      </c>
      <c r="G349" s="103"/>
    </row>
    <row r="350" spans="1:7" ht="31.2" x14ac:dyDescent="0.3">
      <c r="A350" s="44">
        <v>124</v>
      </c>
      <c r="B350" s="61" t="s">
        <v>245</v>
      </c>
      <c r="C350" s="44" t="s">
        <v>386</v>
      </c>
      <c r="D350" s="118" t="s">
        <v>916</v>
      </c>
      <c r="E350" s="47">
        <f>IFERROR(VLOOKUP(C350,MasterTable[[#All],[WCAG guideline]:[2.2 Level]],3,FALSE), "Not found")</f>
        <v>2.1</v>
      </c>
      <c r="F350" s="46" t="str">
        <f>IFERROR(VLOOKUP(C350,MasterTable[[#All],[WCAG guideline]:[2.2 Level]],4,FALSE), "Not found")</f>
        <v>A</v>
      </c>
      <c r="G350" s="103"/>
    </row>
    <row r="351" spans="1:7" ht="46.8" x14ac:dyDescent="0.3">
      <c r="A351" s="44">
        <v>125</v>
      </c>
      <c r="B351" s="61" t="s">
        <v>246</v>
      </c>
      <c r="C351" s="62" t="s">
        <v>386</v>
      </c>
      <c r="D351" s="118" t="s">
        <v>917</v>
      </c>
      <c r="E351" s="47">
        <f>IFERROR(VLOOKUP(C351,MasterTable[[#All],[WCAG guideline]:[2.2 Level]],3,FALSE), "Not found")</f>
        <v>2.1</v>
      </c>
      <c r="F351" s="46" t="str">
        <f>IFERROR(VLOOKUP(C351,MasterTable[[#All],[WCAG guideline]:[2.2 Level]],4,FALSE), "Not found")</f>
        <v>A</v>
      </c>
      <c r="G351" s="103"/>
    </row>
    <row r="352" spans="1:7" ht="80.400000000000006" customHeight="1" x14ac:dyDescent="0.3">
      <c r="A352" s="44">
        <v>126</v>
      </c>
      <c r="B352" s="61" t="s">
        <v>918</v>
      </c>
      <c r="C352" s="44" t="s">
        <v>387</v>
      </c>
      <c r="D352" s="118" t="s">
        <v>919</v>
      </c>
      <c r="E352" s="47">
        <f>IFERROR(VLOOKUP(C352,MasterTable[[#All],[WCAG guideline]:[2.2 Level]],3,FALSE), "Not found")</f>
        <v>2.1</v>
      </c>
      <c r="F352" s="46" t="str">
        <f>IFERROR(VLOOKUP(C352,MasterTable[[#All],[WCAG guideline]:[2.2 Level]],4,FALSE), "Not found")</f>
        <v>AAA</v>
      </c>
      <c r="G352" s="103"/>
    </row>
    <row r="353" spans="1:7" ht="80.400000000000006" customHeight="1" x14ac:dyDescent="0.3">
      <c r="A353" s="44">
        <v>127</v>
      </c>
      <c r="B353" s="61" t="s">
        <v>920</v>
      </c>
      <c r="C353" s="44" t="s">
        <v>388</v>
      </c>
      <c r="D353" s="118" t="s">
        <v>650</v>
      </c>
      <c r="E353" s="47">
        <f>IFERROR(VLOOKUP(C353,MasterTable[[#All],[WCAG guideline]:[2.2 Level]],3,FALSE), "Not found")</f>
        <v>2.1</v>
      </c>
      <c r="F353" s="46" t="str">
        <f>IFERROR(VLOOKUP(C353,MasterTable[[#All],[WCAG guideline]:[2.2 Level]],4,FALSE), "Not found")</f>
        <v>AAA</v>
      </c>
      <c r="G353" s="103"/>
    </row>
    <row r="354" spans="1:7" ht="87" customHeight="1" x14ac:dyDescent="0.3">
      <c r="A354" s="44">
        <v>128</v>
      </c>
      <c r="B354" s="61" t="s">
        <v>247</v>
      </c>
      <c r="C354" s="44" t="s">
        <v>394</v>
      </c>
      <c r="D354" s="62" t="s">
        <v>921</v>
      </c>
      <c r="E354" s="47">
        <f>IFERROR(VLOOKUP(C354,MasterTable[[#All],[WCAG guideline]:[2.2 Level]],3,FALSE), "Not found")</f>
        <v>2.2000000000000002</v>
      </c>
      <c r="F354" s="46" t="str">
        <f>IFERROR(VLOOKUP(C354,MasterTable[[#All],[WCAG guideline]:[2.2 Level]],4,FALSE), "Not found")</f>
        <v>AA</v>
      </c>
      <c r="G354" s="103"/>
    </row>
    <row r="355" spans="1:7" ht="118.2" customHeight="1" x14ac:dyDescent="0.3">
      <c r="A355" s="44">
        <v>129</v>
      </c>
      <c r="B355" s="61" t="s">
        <v>248</v>
      </c>
      <c r="C355" s="44" t="s">
        <v>395</v>
      </c>
      <c r="D355" s="62" t="s">
        <v>922</v>
      </c>
      <c r="E355" s="47">
        <f>IFERROR(VLOOKUP(C355,MasterTable[[#All],[WCAG guideline]:[2.2 Level]],3,FALSE), "Not found")</f>
        <v>2.2000000000000002</v>
      </c>
      <c r="F355" s="46" t="str">
        <f>IFERROR(VLOOKUP(C355,MasterTable[[#All],[WCAG guideline]:[2.2 Level]],4,FALSE), "Not found")</f>
        <v>AA</v>
      </c>
      <c r="G355" s="103"/>
    </row>
    <row r="356" spans="1:7" ht="31.2" x14ac:dyDescent="0.3">
      <c r="A356" s="44">
        <v>130</v>
      </c>
      <c r="B356" s="61" t="s">
        <v>249</v>
      </c>
      <c r="C356" s="44" t="s">
        <v>286</v>
      </c>
      <c r="D356" s="62" t="s">
        <v>923</v>
      </c>
      <c r="E356" s="47">
        <f>IFERROR(VLOOKUP(C356,MasterTable[[#All],[WCAG guideline]:[2.2 Level]],3,FALSE), "Not found")</f>
        <v>2</v>
      </c>
      <c r="F356" s="46" t="str">
        <f>IFERROR(VLOOKUP(C356,MasterTable[[#All],[WCAG guideline]:[2.2 Level]],4,FALSE), "Not found")</f>
        <v>A</v>
      </c>
      <c r="G356" s="103"/>
    </row>
    <row r="357" spans="1:7" ht="153.6" customHeight="1" x14ac:dyDescent="0.3">
      <c r="A357" s="44">
        <v>131</v>
      </c>
      <c r="B357" s="61" t="s">
        <v>250</v>
      </c>
      <c r="C357" s="44" t="s">
        <v>355</v>
      </c>
      <c r="D357" s="62" t="s">
        <v>924</v>
      </c>
      <c r="E357" s="47">
        <f>IFERROR(VLOOKUP(C357,MasterTable[[#All],[WCAG guideline]:[2.2 Level]],3,FALSE), "Not found")</f>
        <v>2</v>
      </c>
      <c r="F357" s="46" t="str">
        <f>IFERROR(VLOOKUP(C357,MasterTable[[#All],[WCAG guideline]:[2.2 Level]],4,FALSE), "Not found")</f>
        <v>AA</v>
      </c>
      <c r="G357" s="103"/>
    </row>
    <row r="358" spans="1:7" ht="127.2" customHeight="1" x14ac:dyDescent="0.3">
      <c r="A358" s="44">
        <v>132</v>
      </c>
      <c r="B358" s="61" t="s">
        <v>925</v>
      </c>
      <c r="C358" s="44" t="s">
        <v>356</v>
      </c>
      <c r="D358" s="118" t="s">
        <v>666</v>
      </c>
      <c r="E358" s="47">
        <f>IFERROR(VLOOKUP(C358,MasterTable[[#All],[WCAG guideline]:[2.2 Level]],3,FALSE), "Not found")</f>
        <v>2</v>
      </c>
      <c r="F358" s="46" t="str">
        <f>IFERROR(VLOOKUP(C358,MasterTable[[#All],[WCAG guideline]:[2.2 Level]],4,FALSE), "Not found")</f>
        <v>AAA</v>
      </c>
      <c r="G358" s="103"/>
    </row>
    <row r="359" spans="1:7" ht="127.2" customHeight="1" x14ac:dyDescent="0.3">
      <c r="A359" s="44">
        <v>133</v>
      </c>
      <c r="B359" s="61" t="s">
        <v>926</v>
      </c>
      <c r="C359" s="44" t="s">
        <v>357</v>
      </c>
      <c r="D359" s="118" t="s">
        <v>669</v>
      </c>
      <c r="E359" s="47">
        <f>IFERROR(VLOOKUP(C359,MasterTable[[#All],[WCAG guideline]:[2.2 Level]],3,FALSE), "Not found")</f>
        <v>2</v>
      </c>
      <c r="F359" s="46" t="str">
        <f>IFERROR(VLOOKUP(C359,MasterTable[[#All],[WCAG guideline]:[2.2 Level]],4,FALSE), "Not found")</f>
        <v>AAA</v>
      </c>
      <c r="G359" s="103"/>
    </row>
    <row r="360" spans="1:7" ht="127.2" customHeight="1" x14ac:dyDescent="0.3">
      <c r="A360" s="44">
        <v>134</v>
      </c>
      <c r="B360" s="61" t="s">
        <v>927</v>
      </c>
      <c r="C360" s="44" t="s">
        <v>358</v>
      </c>
      <c r="D360" s="118" t="s">
        <v>928</v>
      </c>
      <c r="E360" s="47">
        <f>IFERROR(VLOOKUP(C360,MasterTable[[#All],[WCAG guideline]:[2.2 Level]],3,FALSE), "Not found")</f>
        <v>2</v>
      </c>
      <c r="F360" s="46" t="str">
        <f>IFERROR(VLOOKUP(C360,MasterTable[[#All],[WCAG guideline]:[2.2 Level]],4,FALSE), "Not found")</f>
        <v>AAA</v>
      </c>
      <c r="G360" s="103"/>
    </row>
    <row r="361" spans="1:7" ht="127.2" customHeight="1" x14ac:dyDescent="0.3">
      <c r="A361" s="44">
        <v>135</v>
      </c>
      <c r="B361" s="61" t="s">
        <v>929</v>
      </c>
      <c r="C361" s="44" t="s">
        <v>359</v>
      </c>
      <c r="D361" s="118" t="s">
        <v>675</v>
      </c>
      <c r="E361" s="47">
        <f>IFERROR(VLOOKUP(C361,MasterTable[[#All],[WCAG guideline]:[2.2 Level]],3,FALSE), "Not found")</f>
        <v>2</v>
      </c>
      <c r="F361" s="46" t="str">
        <f>IFERROR(VLOOKUP(C361,MasterTable[[#All],[WCAG guideline]:[2.2 Level]],4,FALSE), "Not found")</f>
        <v>AAA</v>
      </c>
      <c r="G361" s="103"/>
    </row>
    <row r="362" spans="1:7" ht="102.6" customHeight="1" x14ac:dyDescent="0.3">
      <c r="A362" s="44">
        <v>136</v>
      </c>
      <c r="B362" s="61" t="s">
        <v>251</v>
      </c>
      <c r="C362" s="44" t="s">
        <v>360</v>
      </c>
      <c r="D362" s="62" t="s">
        <v>930</v>
      </c>
      <c r="E362" s="47">
        <f>IFERROR(VLOOKUP(C362,MasterTable[[#All],[WCAG guideline]:[2.2 Level]],3,FALSE), "Not found")</f>
        <v>2</v>
      </c>
      <c r="F362" s="46" t="str">
        <f>IFERROR(VLOOKUP(C362,MasterTable[[#All],[WCAG guideline]:[2.2 Level]],4,FALSE), "Not found")</f>
        <v>A</v>
      </c>
      <c r="G362" s="103"/>
    </row>
    <row r="363" spans="1:7" ht="78" x14ac:dyDescent="0.3">
      <c r="A363" s="44">
        <v>137</v>
      </c>
      <c r="B363" s="61" t="s">
        <v>252</v>
      </c>
      <c r="C363" s="44" t="s">
        <v>361</v>
      </c>
      <c r="D363" s="118" t="s">
        <v>931</v>
      </c>
      <c r="E363" s="47">
        <f>IFERROR(VLOOKUP(C363,MasterTable[[#All],[WCAG guideline]:[2.2 Level]],3,FALSE), "Not found")</f>
        <v>2</v>
      </c>
      <c r="F363" s="46" t="str">
        <f>IFERROR(VLOOKUP(C363,MasterTable[[#All],[WCAG guideline]:[2.2 Level]],4,FALSE), "Not found")</f>
        <v>A</v>
      </c>
      <c r="G363" s="103"/>
    </row>
    <row r="364" spans="1:7" ht="79.2" customHeight="1" x14ac:dyDescent="0.3">
      <c r="A364" s="44">
        <v>138</v>
      </c>
      <c r="B364" s="61" t="s">
        <v>253</v>
      </c>
      <c r="C364" s="44" t="s">
        <v>362</v>
      </c>
      <c r="D364" s="118" t="s">
        <v>932</v>
      </c>
      <c r="E364" s="47">
        <f>IFERROR(VLOOKUP(C364,MasterTable[[#All],[WCAG guideline]:[2.2 Level]],3,FALSE), "Not found")</f>
        <v>2</v>
      </c>
      <c r="F364" s="46" t="str">
        <f>IFERROR(VLOOKUP(C364,MasterTable[[#All],[WCAG guideline]:[2.2 Level]],4,FALSE), "Not found")</f>
        <v>AA</v>
      </c>
      <c r="G364" s="103"/>
    </row>
    <row r="365" spans="1:7" ht="78" x14ac:dyDescent="0.3">
      <c r="A365" s="44">
        <v>139</v>
      </c>
      <c r="B365" s="61" t="s">
        <v>254</v>
      </c>
      <c r="C365" s="44" t="s">
        <v>287</v>
      </c>
      <c r="D365" s="62" t="s">
        <v>933</v>
      </c>
      <c r="E365" s="47">
        <f>IFERROR(VLOOKUP(C365,MasterTable[[#All],[WCAG guideline]:[2.2 Level]],3,FALSE), "Not found")</f>
        <v>2</v>
      </c>
      <c r="F365" s="46" t="str">
        <f>IFERROR(VLOOKUP(C365,MasterTable[[#All],[WCAG guideline]:[2.2 Level]],4,FALSE), "Not found")</f>
        <v>AA</v>
      </c>
      <c r="G365" s="103"/>
    </row>
    <row r="366" spans="1:7" ht="129.6" customHeight="1" x14ac:dyDescent="0.3">
      <c r="A366" s="44">
        <v>140</v>
      </c>
      <c r="B366" s="61" t="s">
        <v>255</v>
      </c>
      <c r="C366" s="62" t="s">
        <v>287</v>
      </c>
      <c r="D366" s="62" t="s">
        <v>934</v>
      </c>
      <c r="E366" s="47">
        <f>IFERROR(VLOOKUP(C366,MasterTable[[#All],[WCAG guideline]:[2.2 Level]],3,FALSE), "Not found")</f>
        <v>2</v>
      </c>
      <c r="F366" s="46" t="str">
        <f>IFERROR(VLOOKUP(C366,MasterTable[[#All],[WCAG guideline]:[2.2 Level]],4,FALSE), "Not found")</f>
        <v>AA</v>
      </c>
      <c r="G366" s="103"/>
    </row>
    <row r="367" spans="1:7" ht="129.6" customHeight="1" x14ac:dyDescent="0.3">
      <c r="A367" s="44">
        <v>141</v>
      </c>
      <c r="B367" s="61" t="s">
        <v>935</v>
      </c>
      <c r="C367" s="44" t="s">
        <v>363</v>
      </c>
      <c r="D367" s="118" t="s">
        <v>690</v>
      </c>
      <c r="E367" s="47">
        <f>IFERROR(VLOOKUP(C367,MasterTable[[#All],[WCAG guideline]:[2.2 Level]],3,FALSE), "Not found")</f>
        <v>2</v>
      </c>
      <c r="F367" s="46" t="str">
        <f>IFERROR(VLOOKUP(C367,MasterTable[[#All],[WCAG guideline]:[2.2 Level]],4,FALSE), "Not found")</f>
        <v>AAA</v>
      </c>
      <c r="G367" s="103"/>
    </row>
    <row r="368" spans="1:7" ht="156.6" customHeight="1" x14ac:dyDescent="0.3">
      <c r="A368" s="44">
        <v>142</v>
      </c>
      <c r="B368" s="61" t="s">
        <v>256</v>
      </c>
      <c r="C368" s="44" t="s">
        <v>396</v>
      </c>
      <c r="D368" s="62" t="s">
        <v>936</v>
      </c>
      <c r="E368" s="47">
        <f>IFERROR(VLOOKUP(C368,MasterTable[[#All],[WCAG guideline]:[2.2 Level]],3,FALSE), "Not found")</f>
        <v>2.2000000000000002</v>
      </c>
      <c r="F368" s="46" t="str">
        <f>IFERROR(VLOOKUP(C368,MasterTable[[#All],[WCAG guideline]:[2.2 Level]],4,FALSE), "Not found")</f>
        <v>A</v>
      </c>
      <c r="G368" s="103"/>
    </row>
    <row r="369" spans="1:7" ht="94.95" customHeight="1" x14ac:dyDescent="0.3">
      <c r="A369" s="44">
        <v>143</v>
      </c>
      <c r="B369" s="61" t="s">
        <v>257</v>
      </c>
      <c r="C369" s="44" t="s">
        <v>364</v>
      </c>
      <c r="D369" s="62" t="s">
        <v>937</v>
      </c>
      <c r="E369" s="47">
        <f>IFERROR(VLOOKUP(C369,MasterTable[[#All],[WCAG guideline]:[2.2 Level]],3,FALSE), "Not found")</f>
        <v>2</v>
      </c>
      <c r="F369" s="46" t="str">
        <f>IFERROR(VLOOKUP(C369,MasterTable[[#All],[WCAG guideline]:[2.2 Level]],4,FALSE), "Not found")</f>
        <v>A</v>
      </c>
      <c r="G369" s="103"/>
    </row>
    <row r="370" spans="1:7" ht="94.95" customHeight="1" x14ac:dyDescent="0.3">
      <c r="A370" s="44">
        <v>144</v>
      </c>
      <c r="B370" s="61" t="s">
        <v>258</v>
      </c>
      <c r="C370" s="44" t="s">
        <v>364</v>
      </c>
      <c r="D370" s="62" t="s">
        <v>938</v>
      </c>
      <c r="E370" s="47">
        <f>IFERROR(VLOOKUP(C370,MasterTable[[#All],[WCAG guideline]:[2.2 Level]],3,FALSE), "Not found")</f>
        <v>2</v>
      </c>
      <c r="F370" s="46" t="str">
        <f>IFERROR(VLOOKUP(C370,MasterTable[[#All],[WCAG guideline]:[2.2 Level]],4,FALSE), "Not found")</f>
        <v>A</v>
      </c>
      <c r="G370" s="103"/>
    </row>
    <row r="371" spans="1:7" ht="94.95" customHeight="1" x14ac:dyDescent="0.3">
      <c r="A371" s="44">
        <v>145</v>
      </c>
      <c r="B371" s="61" t="s">
        <v>259</v>
      </c>
      <c r="C371" s="44" t="s">
        <v>364</v>
      </c>
      <c r="D371" s="62" t="s">
        <v>939</v>
      </c>
      <c r="E371" s="47">
        <f>IFERROR(VLOOKUP(C371,MasterTable[[#All],[WCAG guideline]:[2.2 Level]],3,FALSE), "Not found")</f>
        <v>2</v>
      </c>
      <c r="F371" s="46" t="str">
        <f>IFERROR(VLOOKUP(C371,MasterTable[[#All],[WCAG guideline]:[2.2 Level]],4,FALSE), "Not found")</f>
        <v>A</v>
      </c>
      <c r="G371" s="103"/>
    </row>
    <row r="372" spans="1:7" ht="113.4" customHeight="1" x14ac:dyDescent="0.3">
      <c r="A372" s="44">
        <v>146</v>
      </c>
      <c r="B372" s="61" t="s">
        <v>260</v>
      </c>
      <c r="C372" s="62" t="s">
        <v>365</v>
      </c>
      <c r="D372" s="62" t="s">
        <v>940</v>
      </c>
      <c r="E372" s="47">
        <f>IFERROR(VLOOKUP(C372,MasterTable[[#All],[WCAG guideline]:[2.2 Level]],3,FALSE), "Not found")</f>
        <v>2</v>
      </c>
      <c r="F372" s="46" t="str">
        <f>IFERROR(VLOOKUP(C372,MasterTable[[#All],[WCAG guideline]:[2.2 Level]],4,FALSE), "Not found")</f>
        <v>A</v>
      </c>
      <c r="G372" s="103"/>
    </row>
    <row r="373" spans="1:7" ht="46.8" x14ac:dyDescent="0.3">
      <c r="A373" s="44">
        <v>147</v>
      </c>
      <c r="B373" s="61" t="s">
        <v>261</v>
      </c>
      <c r="C373" s="62" t="s">
        <v>365</v>
      </c>
      <c r="D373" s="62" t="s">
        <v>941</v>
      </c>
      <c r="E373" s="47">
        <f>IFERROR(VLOOKUP(C373,MasterTable[[#All],[WCAG guideline]:[2.2 Level]],3,FALSE), "Not found")</f>
        <v>2</v>
      </c>
      <c r="F373" s="46" t="str">
        <f>IFERROR(VLOOKUP(C373,MasterTable[[#All],[WCAG guideline]:[2.2 Level]],4,FALSE), "Not found")</f>
        <v>A</v>
      </c>
      <c r="G373" s="103"/>
    </row>
    <row r="374" spans="1:7" ht="115.2" customHeight="1" x14ac:dyDescent="0.3">
      <c r="A374" s="44">
        <v>148</v>
      </c>
      <c r="B374" s="61" t="s">
        <v>262</v>
      </c>
      <c r="C374" s="44" t="s">
        <v>365</v>
      </c>
      <c r="D374" s="62" t="s">
        <v>942</v>
      </c>
      <c r="E374" s="47">
        <f>IFERROR(VLOOKUP(C374,MasterTable[[#All],[WCAG guideline]:[2.2 Level]],3,FALSE), "Not found")</f>
        <v>2</v>
      </c>
      <c r="F374" s="46" t="str">
        <f>IFERROR(VLOOKUP(C374,MasterTable[[#All],[WCAG guideline]:[2.2 Level]],4,FALSE), "Not found")</f>
        <v>A</v>
      </c>
      <c r="G374" s="103"/>
    </row>
    <row r="375" spans="1:7" ht="93" customHeight="1" x14ac:dyDescent="0.3">
      <c r="A375" s="44">
        <v>149</v>
      </c>
      <c r="B375" s="61" t="s">
        <v>263</v>
      </c>
      <c r="C375" s="44" t="s">
        <v>366</v>
      </c>
      <c r="D375" s="118" t="s">
        <v>943</v>
      </c>
      <c r="E375" s="47">
        <f>IFERROR(VLOOKUP(C375,MasterTable[[#All],[WCAG guideline]:[2.2 Level]],3,FALSE), "Not found")</f>
        <v>2</v>
      </c>
      <c r="F375" s="46" t="str">
        <f>IFERROR(VLOOKUP(C375,MasterTable[[#All],[WCAG guideline]:[2.2 Level]],4,FALSE), "Not found")</f>
        <v>AA</v>
      </c>
      <c r="G375" s="103"/>
    </row>
    <row r="376" spans="1:7" ht="73.2" customHeight="1" x14ac:dyDescent="0.3">
      <c r="A376" s="44">
        <v>150</v>
      </c>
      <c r="B376" s="61" t="s">
        <v>264</v>
      </c>
      <c r="C376" s="44" t="s">
        <v>366</v>
      </c>
      <c r="D376" s="62" t="s">
        <v>944</v>
      </c>
      <c r="E376" s="47">
        <f>IFERROR(VLOOKUP(C376,MasterTable[[#All],[WCAG guideline]:[2.2 Level]],3,FALSE), "Not found")</f>
        <v>2</v>
      </c>
      <c r="F376" s="46" t="str">
        <f>IFERROR(VLOOKUP(C376,MasterTable[[#All],[WCAG guideline]:[2.2 Level]],4,FALSE), "Not found")</f>
        <v>AA</v>
      </c>
      <c r="G376" s="103"/>
    </row>
    <row r="377" spans="1:7" ht="78" customHeight="1" x14ac:dyDescent="0.3">
      <c r="A377" s="44">
        <v>151</v>
      </c>
      <c r="B377" s="61" t="s">
        <v>265</v>
      </c>
      <c r="C377" s="62" t="s">
        <v>367</v>
      </c>
      <c r="D377" s="62" t="s">
        <v>945</v>
      </c>
      <c r="E377" s="47">
        <f>IFERROR(VLOOKUP(C377,MasterTable[[#All],[WCAG guideline]:[2.2 Level]],3,FALSE), "Not found")</f>
        <v>2</v>
      </c>
      <c r="F377" s="46" t="str">
        <f>IFERROR(VLOOKUP(C377,MasterTable[[#All],[WCAG guideline]:[2.2 Level]],4,FALSE), "Not found")</f>
        <v>AA</v>
      </c>
      <c r="G377" s="103"/>
    </row>
    <row r="378" spans="1:7" ht="78" customHeight="1" x14ac:dyDescent="0.3">
      <c r="A378" s="44">
        <v>152</v>
      </c>
      <c r="B378" s="61" t="s">
        <v>946</v>
      </c>
      <c r="C378" s="44" t="s">
        <v>368</v>
      </c>
      <c r="D378" s="118" t="s">
        <v>708</v>
      </c>
      <c r="E378" s="47">
        <f>IFERROR(VLOOKUP(C378,MasterTable[[#All],[WCAG guideline]:[2.2 Level]],3,FALSE), "Not found")</f>
        <v>2</v>
      </c>
      <c r="F378" s="46" t="str">
        <f>IFERROR(VLOOKUP(C378,MasterTable[[#All],[WCAG guideline]:[2.2 Level]],4,FALSE), "Not found")</f>
        <v>AAA</v>
      </c>
      <c r="G378" s="103"/>
    </row>
    <row r="379" spans="1:7" ht="78" customHeight="1" x14ac:dyDescent="0.3">
      <c r="A379" s="44">
        <v>153</v>
      </c>
      <c r="B379" s="61" t="s">
        <v>947</v>
      </c>
      <c r="C379" s="44" t="s">
        <v>369</v>
      </c>
      <c r="D379" s="118" t="s">
        <v>948</v>
      </c>
      <c r="E379" s="47">
        <f>IFERROR(VLOOKUP(C379,MasterTable[[#All],[WCAG guideline]:[2.2 Level]],3,FALSE), "Not found")</f>
        <v>2</v>
      </c>
      <c r="F379" s="46" t="str">
        <f>IFERROR(VLOOKUP(C379,MasterTable[[#All],[WCAG guideline]:[2.2 Level]],4,FALSE), "Not found")</f>
        <v>AAA</v>
      </c>
      <c r="G379" s="103"/>
    </row>
    <row r="380" spans="1:7" ht="94.2" customHeight="1" x14ac:dyDescent="0.3">
      <c r="A380" s="44">
        <v>154</v>
      </c>
      <c r="B380" s="61" t="s">
        <v>266</v>
      </c>
      <c r="C380" s="44" t="s">
        <v>288</v>
      </c>
      <c r="D380" s="62" t="s">
        <v>949</v>
      </c>
      <c r="E380" s="47">
        <f>IFERROR(VLOOKUP(C380,MasterTable[[#All],[WCAG guideline]:[2.2 Level]],3,FALSE), "Not found")</f>
        <v>2.2000000000000002</v>
      </c>
      <c r="F380" s="46" t="str">
        <f>IFERROR(VLOOKUP(C380,MasterTable[[#All],[WCAG guideline]:[2.2 Level]],4,FALSE), "Not found")</f>
        <v>A</v>
      </c>
      <c r="G380" s="103"/>
    </row>
    <row r="381" spans="1:7" ht="58.2" customHeight="1" x14ac:dyDescent="0.3">
      <c r="A381" s="44">
        <v>155</v>
      </c>
      <c r="B381" s="61" t="s">
        <v>267</v>
      </c>
      <c r="C381" s="44" t="s">
        <v>397</v>
      </c>
      <c r="D381" s="62" t="s">
        <v>950</v>
      </c>
      <c r="E381" s="47">
        <f>IFERROR(VLOOKUP(C381,MasterTable[[#All],[WCAG guideline]:[2.2 Level]],3,FALSE), "Not found")</f>
        <v>2.2000000000000002</v>
      </c>
      <c r="F381" s="46" t="str">
        <f>IFERROR(VLOOKUP(C381,MasterTable[[#All],[WCAG guideline]:[2.2 Level]],4,FALSE), "Not found")</f>
        <v>AA</v>
      </c>
      <c r="G381" s="103"/>
    </row>
    <row r="382" spans="1:7" ht="108" customHeight="1" x14ac:dyDescent="0.3">
      <c r="A382" s="44">
        <v>156</v>
      </c>
      <c r="B382" s="61" t="s">
        <v>268</v>
      </c>
      <c r="C382" s="44" t="s">
        <v>397</v>
      </c>
      <c r="D382" s="62" t="s">
        <v>951</v>
      </c>
      <c r="E382" s="47">
        <f>IFERROR(VLOOKUP(C382,MasterTable[[#All],[WCAG guideline]:[2.2 Level]],3,FALSE), "Not found")</f>
        <v>2.2000000000000002</v>
      </c>
      <c r="F382" s="46" t="str">
        <f>IFERROR(VLOOKUP(C382,MasterTable[[#All],[WCAG guideline]:[2.2 Level]],4,FALSE), "Not found")</f>
        <v>AA</v>
      </c>
      <c r="G382" s="103"/>
    </row>
    <row r="383" spans="1:7" ht="108" customHeight="1" x14ac:dyDescent="0.3">
      <c r="A383" s="44">
        <v>157</v>
      </c>
      <c r="B383" s="61" t="s">
        <v>952</v>
      </c>
      <c r="C383" s="44" t="s">
        <v>398</v>
      </c>
      <c r="D383" s="118" t="s">
        <v>953</v>
      </c>
      <c r="E383" s="47">
        <f>IFERROR(VLOOKUP(C383,MasterTable[[#All],[WCAG guideline]:[2.2 Level]],3,FALSE), "Not found")</f>
        <v>2.2000000000000002</v>
      </c>
      <c r="F383" s="46" t="str">
        <f>IFERROR(VLOOKUP(C383,MasterTable[[#All],[WCAG guideline]:[2.2 Level]],4,FALSE), "Not found")</f>
        <v>AAA</v>
      </c>
      <c r="G383" s="103"/>
    </row>
    <row r="384" spans="1:7" ht="78" customHeight="1" x14ac:dyDescent="0.3">
      <c r="A384" s="44">
        <v>158</v>
      </c>
      <c r="B384" s="61" t="s">
        <v>269</v>
      </c>
      <c r="C384" s="62" t="s">
        <v>370</v>
      </c>
      <c r="D384" s="62" t="s">
        <v>954</v>
      </c>
      <c r="E384" s="47">
        <f>IFERROR(VLOOKUP(C384,MasterTable[[#All],[WCAG guideline]:[2.2 Level]],3,FALSE), "Not found")</f>
        <v>2</v>
      </c>
      <c r="F384" s="46" t="str">
        <f>IFERROR(VLOOKUP(C384,MasterTable[[#All],[WCAG guideline]:[2.2 Level]],4,FALSE), "Not found")</f>
        <v>A</v>
      </c>
      <c r="G384" s="103"/>
    </row>
    <row r="385" spans="1:9" ht="78" customHeight="1" x14ac:dyDescent="0.3">
      <c r="A385" s="44">
        <v>159</v>
      </c>
      <c r="B385" s="61" t="s">
        <v>270</v>
      </c>
      <c r="C385" s="44" t="s">
        <v>370</v>
      </c>
      <c r="D385" s="62" t="s">
        <v>955</v>
      </c>
      <c r="E385" s="47">
        <f>IFERROR(VLOOKUP(C385,MasterTable[[#All],[WCAG guideline]:[2.2 Level]],3,FALSE), "Not found")</f>
        <v>2</v>
      </c>
      <c r="F385" s="46" t="str">
        <f>IFERROR(VLOOKUP(C385,MasterTable[[#All],[WCAG guideline]:[2.2 Level]],4,FALSE), "Not found")</f>
        <v>A</v>
      </c>
      <c r="G385" s="103"/>
    </row>
    <row r="386" spans="1:9" ht="90.6" customHeight="1" x14ac:dyDescent="0.3">
      <c r="A386" s="44">
        <v>160</v>
      </c>
      <c r="B386" s="61" t="s">
        <v>271</v>
      </c>
      <c r="C386" s="44" t="s">
        <v>370</v>
      </c>
      <c r="D386" s="62" t="s">
        <v>956</v>
      </c>
      <c r="E386" s="47">
        <f>IFERROR(VLOOKUP(C386,MasterTable[[#All],[WCAG guideline]:[2.2 Level]],3,FALSE), "Not found")</f>
        <v>2</v>
      </c>
      <c r="F386" s="46" t="str">
        <f>IFERROR(VLOOKUP(C386,MasterTable[[#All],[WCAG guideline]:[2.2 Level]],4,FALSE), "Not found")</f>
        <v>A</v>
      </c>
      <c r="G386" s="103"/>
    </row>
    <row r="387" spans="1:9" ht="31.2" x14ac:dyDescent="0.3">
      <c r="A387" s="44">
        <v>161</v>
      </c>
      <c r="B387" s="61" t="s">
        <v>272</v>
      </c>
      <c r="C387" s="44" t="s">
        <v>371</v>
      </c>
      <c r="D387" s="62" t="s">
        <v>957</v>
      </c>
      <c r="E387" s="47">
        <f>IFERROR(VLOOKUP(C387,MasterTable[[#All],[WCAG guideline]:[2.2 Level]],3,FALSE), "Not found")</f>
        <v>2</v>
      </c>
      <c r="F387" s="46" t="str">
        <f>IFERROR(VLOOKUP(C387,MasterTable[[#All],[WCAG guideline]:[2.2 Level]],4,FALSE), "Not found")</f>
        <v>A</v>
      </c>
      <c r="G387" s="103"/>
    </row>
    <row r="388" spans="1:9" ht="79.95" customHeight="1" x14ac:dyDescent="0.3">
      <c r="A388" s="44">
        <v>162</v>
      </c>
      <c r="B388" s="61" t="s">
        <v>273</v>
      </c>
      <c r="C388" s="44" t="s">
        <v>371</v>
      </c>
      <c r="D388" s="62" t="s">
        <v>958</v>
      </c>
      <c r="E388" s="47">
        <f>IFERROR(VLOOKUP(C388,MasterTable[[#All],[WCAG guideline]:[2.2 Level]],3,FALSE), "Not found")</f>
        <v>2</v>
      </c>
      <c r="F388" s="46" t="str">
        <f>IFERROR(VLOOKUP(C388,MasterTable[[#All],[WCAG guideline]:[2.2 Level]],4,FALSE), "Not found")</f>
        <v>A</v>
      </c>
      <c r="G388" s="103"/>
    </row>
    <row r="389" spans="1:9" ht="132.6" customHeight="1" x14ac:dyDescent="0.3">
      <c r="A389" s="44">
        <v>163</v>
      </c>
      <c r="B389" s="61" t="s">
        <v>274</v>
      </c>
      <c r="C389" s="62" t="s">
        <v>371</v>
      </c>
      <c r="D389" s="62" t="s">
        <v>959</v>
      </c>
      <c r="E389" s="47">
        <f>IFERROR(VLOOKUP(C389,MasterTable[[#All],[WCAG guideline]:[2.2 Level]],3,FALSE), "Not found")</f>
        <v>2</v>
      </c>
      <c r="F389" s="46" t="str">
        <f>IFERROR(VLOOKUP(C389,MasterTable[[#All],[WCAG guideline]:[2.2 Level]],4,FALSE), "Not found")</f>
        <v>A</v>
      </c>
      <c r="G389" s="103"/>
    </row>
    <row r="390" spans="1:9" ht="46.8" x14ac:dyDescent="0.3">
      <c r="A390" s="44">
        <v>164</v>
      </c>
      <c r="B390" s="135" t="s">
        <v>275</v>
      </c>
      <c r="C390" s="79" t="s">
        <v>389</v>
      </c>
      <c r="D390" s="136" t="s">
        <v>960</v>
      </c>
      <c r="E390" s="137">
        <f>IFERROR(VLOOKUP(C390,MasterTable[[#All],[WCAG guideline]:[2.2 Level]],3,FALSE), "Not found")</f>
        <v>2.1</v>
      </c>
      <c r="F390" s="46" t="str">
        <f>IFERROR(VLOOKUP(C390,MasterTable[[#All],[WCAG guideline]:[2.2 Level]],4,FALSE), "Not found")</f>
        <v>AA</v>
      </c>
      <c r="G390" s="103"/>
    </row>
    <row r="391" spans="1:9" x14ac:dyDescent="0.25">
      <c r="I391" s="103"/>
    </row>
    <row r="392" spans="1:9" x14ac:dyDescent="0.25">
      <c r="I392" s="103"/>
    </row>
    <row r="393" spans="1:9" x14ac:dyDescent="0.25">
      <c r="I393" s="103"/>
    </row>
    <row r="394" spans="1:9" ht="91.2" customHeight="1" x14ac:dyDescent="0.25">
      <c r="I394" s="103"/>
    </row>
    <row r="395" spans="1:9" ht="126.6" customHeight="1" x14ac:dyDescent="0.25">
      <c r="I395" s="103"/>
    </row>
    <row r="396" spans="1:9" x14ac:dyDescent="0.25">
      <c r="I396" s="103"/>
    </row>
    <row r="397" spans="1:9" x14ac:dyDescent="0.25">
      <c r="I397" s="103"/>
    </row>
    <row r="398" spans="1:9" x14ac:dyDescent="0.25">
      <c r="I398" s="103"/>
    </row>
    <row r="399" spans="1:9" ht="97.2" customHeight="1" x14ac:dyDescent="0.25">
      <c r="I399" s="103"/>
    </row>
    <row r="400" spans="1:9" ht="88.2" customHeight="1" x14ac:dyDescent="0.25">
      <c r="I400" s="103"/>
    </row>
  </sheetData>
  <sheetProtection algorithmName="SHA-512" hashValue="t5HapnmwxeN6L3gIoY+0VzljQOdZexb0qj6AHwB5icRyO9WprQQAjxMvtIEAIbswfJcEj2bQtRF8J8JfDRjE5A==" saltValue="KcczKF55sm1NQY+SIAv6uQ==" spinCount="100000" sheet="1" objects="1" scenarios="1"/>
  <mergeCells count="9">
    <mergeCell ref="A187:D187"/>
    <mergeCell ref="A222:D222"/>
    <mergeCell ref="B92:V92"/>
    <mergeCell ref="J1:P1"/>
    <mergeCell ref="A150:D150"/>
    <mergeCell ref="A182:D182"/>
    <mergeCell ref="A118:D118"/>
    <mergeCell ref="A144:D144"/>
    <mergeCell ref="E95:G95"/>
  </mergeCells>
  <phoneticPr fontId="7" type="noConversion"/>
  <conditionalFormatting sqref="E119">
    <cfRule type="cellIs" dxfId="5" priority="5" operator="notEqual">
      <formula>$Q$2</formula>
    </cfRule>
    <cfRule type="cellIs" dxfId="4" priority="6" operator="equal">
      <formula>$Q$2</formula>
    </cfRule>
  </conditionalFormatting>
  <conditionalFormatting sqref="E151">
    <cfRule type="cellIs" dxfId="3" priority="3" operator="notEqual">
      <formula>$S$2</formula>
    </cfRule>
    <cfRule type="cellIs" dxfId="2" priority="4" operator="equal">
      <formula>$S$2</formula>
    </cfRule>
  </conditionalFormatting>
  <conditionalFormatting sqref="E188">
    <cfRule type="cellIs" dxfId="1" priority="1" operator="notEqual">
      <formula>$U$2</formula>
    </cfRule>
    <cfRule type="cellIs" dxfId="0" priority="2" operator="equal">
      <formula>$U$2</formula>
    </cfRule>
  </conditionalFormatting>
  <dataValidations count="1">
    <dataValidation type="list" allowBlank="1" showInputMessage="1" showErrorMessage="1" sqref="A153:D181 A190:D221 A121:D143 E4:E81 C227:C390" xr:uid="{E4E3E76A-2E7C-4BCB-A5DF-5DECDFE7E262}">
      <formula1>$E$4:$E$90</formula1>
    </dataValidation>
  </dataValidations>
  <hyperlinks>
    <hyperlink ref="Z5" r:id="rId1" xr:uid="{2DFD7C60-969B-46BF-8317-A5C4D3BCCCE3}"/>
    <hyperlink ref="Z9" r:id="rId2" xr:uid="{314201EF-550D-4957-B136-27A88FF0C119}"/>
    <hyperlink ref="Z6" r:id="rId3" xr:uid="{9C75191D-F63E-45BE-8D34-591B67C2A265}"/>
    <hyperlink ref="Z7" r:id="rId4" xr:uid="{35A91D78-4771-43EA-9E4C-E4FD1039BA49}"/>
    <hyperlink ref="Z8" r:id="rId5" xr:uid="{ABDBED24-550A-448D-93F2-C60D6A924A79}"/>
    <hyperlink ref="Z10" r:id="rId6" xr:uid="{EA789A9D-0132-4BEA-B3EE-CEBEA0FC7118}"/>
    <hyperlink ref="AA10" r:id="rId7" xr:uid="{2CB6D7C2-EA10-40ED-AE97-022ED33EFBE3}"/>
    <hyperlink ref="Z11" r:id="rId8" xr:uid="{FF665D58-FF03-4405-9B99-3CDBA39F035A}"/>
    <hyperlink ref="AA11" r:id="rId9" xr:uid="{7AECDC4F-4D6C-41E5-ACCF-898CACE4F1F7}"/>
    <hyperlink ref="Z12" r:id="rId10" xr:uid="{27C80FA7-2488-4718-84BB-E6C4405AFCC5}"/>
    <hyperlink ref="AA12" r:id="rId11" xr:uid="{550160A3-47A4-472D-B5D2-A29FF317DED2}"/>
    <hyperlink ref="Z13" r:id="rId12" xr:uid="{02D82C77-143C-4AF8-8B26-01B30C2EE920}"/>
    <hyperlink ref="AA13" r:id="rId13" xr:uid="{C5606EFB-5F42-47BA-90DA-8F88891359EB}"/>
    <hyperlink ref="Z14" r:id="rId14" xr:uid="{E63DA34A-333E-4BBA-ACD9-51EEC6E492CB}"/>
    <hyperlink ref="AA14" r:id="rId15" xr:uid="{B080F043-EFFE-4B2B-A176-1DD0CF8878CB}"/>
    <hyperlink ref="Z15" r:id="rId16" xr:uid="{106AEC11-4639-4FA5-AC48-5FDA43D25830}"/>
    <hyperlink ref="AA15" r:id="rId17" xr:uid="{0979900E-7279-4A7F-AEEE-8F4D0A315832}"/>
    <hyperlink ref="AA16" r:id="rId18" xr:uid="{0E5D8204-E49E-414E-B383-C33F7416914A}"/>
    <hyperlink ref="Z16" r:id="rId19" xr:uid="{8F3CAA95-31E9-498B-852A-C73106C1F8DF}"/>
    <hyperlink ref="Z17" r:id="rId20" xr:uid="{E1EDAE8C-5789-4EDA-85E3-C72DDF43E778}"/>
    <hyperlink ref="AA17" r:id="rId21" xr:uid="{F22A4B71-C1BD-4ABD-8DB5-357EA906658C}"/>
    <hyperlink ref="AA18" r:id="rId22" xr:uid="{32F99C77-A4CB-4223-877F-0585D99D0F29}"/>
    <hyperlink ref="Z18" r:id="rId23" xr:uid="{6527B071-E4D6-4F96-971F-FD81DC3342B8}"/>
    <hyperlink ref="AA19" r:id="rId24" xr:uid="{D13F37AF-94D8-4347-8CB3-2B3FDF28F16A}"/>
    <hyperlink ref="Z19" r:id="rId25" xr:uid="{56AD7E77-8393-48EC-877B-EB717ACE5FF9}"/>
    <hyperlink ref="AA4" r:id="rId26" xr:uid="{460D4B43-203A-43CE-9572-4707A0D915A9}"/>
    <hyperlink ref="Z4" r:id="rId27" xr:uid="{6AA05014-816C-4197-AE11-7477BE385756}"/>
    <hyperlink ref="E5" r:id="rId28" xr:uid="{3A3CA2EC-F7C5-4E4F-A1BA-9AEA5F883CC0}"/>
    <hyperlink ref="E6" r:id="rId29" xr:uid="{A36C70D5-9040-4ED0-B730-F3BAA21EB858}"/>
    <hyperlink ref="E7" r:id="rId30" xr:uid="{AA0C3000-9A64-43EB-8361-6A7725402C8D}"/>
    <hyperlink ref="E8" r:id="rId31" xr:uid="{B3FED017-3E8F-48FB-ADFF-BA8D9949B0EB}"/>
    <hyperlink ref="E9" r:id="rId32" xr:uid="{A93B0EC5-59C4-4B14-A398-8A07C3D6B929}"/>
    <hyperlink ref="E14" r:id="rId33" xr:uid="{23932DCF-D935-4505-9FB6-FE01C5730A42}"/>
    <hyperlink ref="E15" r:id="rId34" xr:uid="{6CDABE0B-EDD9-4F47-9A9F-210276ACEDF4}"/>
    <hyperlink ref="E16" r:id="rId35" xr:uid="{A74DC055-161F-452E-9FEB-1348CF35D64B}"/>
    <hyperlink ref="E17" r:id="rId36" xr:uid="{2D0A7B89-A3D4-408A-9CD2-7BC9F642775C}"/>
    <hyperlink ref="E18" r:id="rId37" xr:uid="{93346FB1-24D6-47E7-AA84-26C5F6B6C254}"/>
    <hyperlink ref="E20" r:id="rId38" xr:uid="{C0B8FD96-0464-4AA4-A905-B758E15A1AB1}"/>
    <hyperlink ref="E21" r:id="rId39" xr:uid="{F77CD60A-D6C3-464D-94EC-E92DD3A6943C}"/>
    <hyperlink ref="E22" r:id="rId40" xr:uid="{DC673A96-C07E-49BB-86B7-20E990FA8D46}"/>
    <hyperlink ref="E23" r:id="rId41" xr:uid="{137DCC7E-9991-42B4-A3E0-2AF57702A508}"/>
    <hyperlink ref="E24" r:id="rId42" xr:uid="{814B4C6E-776C-481A-A314-0C5C93E8E11E}"/>
    <hyperlink ref="E29" r:id="rId43" xr:uid="{46FD6B27-6A15-474D-9DAB-714A3F0F0141}"/>
    <hyperlink ref="E30" r:id="rId44" xr:uid="{38240491-99E7-45AE-ACE9-D3E6B7FB9766}"/>
    <hyperlink ref="E32" r:id="rId45" xr:uid="{47272D8D-E45E-4FB5-84C0-5B60E8813675}"/>
    <hyperlink ref="E31" r:id="rId46" xr:uid="{10269612-90C5-4A59-87BD-99A67ADD7FE4}"/>
    <hyperlink ref="E33" r:id="rId47" xr:uid="{2DF9A46A-5295-43F2-9F5F-E9E3DB2A2E27}"/>
    <hyperlink ref="E34" r:id="rId48" xr:uid="{5F2E6F22-211F-49C9-A2DF-DDD82784CBF5}"/>
    <hyperlink ref="E37" r:id="rId49" xr:uid="{803A85A3-B3E8-4FF1-81EE-C198524C7062}"/>
    <hyperlink ref="E36" r:id="rId50" xr:uid="{C747C079-A15E-4DC1-A4D5-F0CB6D3D42FD}"/>
    <hyperlink ref="E38" r:id="rId51" xr:uid="{F9D1FC87-846C-4428-BAE0-5BAED0480D9E}"/>
    <hyperlink ref="E43" r:id="rId52" xr:uid="{42E6D5BC-0852-4D4C-8C13-E6087B8BBA8A}"/>
    <hyperlink ref="E46" r:id="rId53" xr:uid="{82DC4FDF-38B4-48B6-84C2-5AAEE99B9E8F}"/>
    <hyperlink ref="E47" r:id="rId54" xr:uid="{C19AA891-5C9A-4CDB-AA97-5833FC8DDADA}"/>
    <hyperlink ref="E48" r:id="rId55" xr:uid="{B5BD1C6D-28FB-4240-93C9-14F4988139CE}"/>
    <hyperlink ref="E49" r:id="rId56" xr:uid="{0B75820C-F65D-49C5-882D-B8BB2B42CFB2}"/>
    <hyperlink ref="E50" r:id="rId57" xr:uid="{35141CDB-AA2F-4447-AD7A-B7F416EC8969}"/>
    <hyperlink ref="E51" r:id="rId58" xr:uid="{47BF3903-52C8-4E7C-BFB7-53970AC6D1ED}"/>
    <hyperlink ref="E52" r:id="rId59" xr:uid="{C5EA8984-0C26-44CA-A232-361C48FD5B5A}"/>
    <hyperlink ref="E54" r:id="rId60" xr:uid="{566F2AB3-CA29-4B9F-94DC-2BEB2D2923A9}"/>
    <hyperlink ref="E56" r:id="rId61" xr:uid="{B3DBFB29-953A-431C-9729-E84C0FCC9431}"/>
    <hyperlink ref="E58" r:id="rId62" xr:uid="{CBEF9D11-0D3F-4FCB-A9C2-72038687AA28}"/>
    <hyperlink ref="E57" r:id="rId63" xr:uid="{C550DA46-8850-4B05-94E3-3BA396F6EA36}"/>
    <hyperlink ref="E59" r:id="rId64" xr:uid="{BC571BF7-4368-4A7E-B7A0-5FD478F337C9}"/>
    <hyperlink ref="E62" r:id="rId65" xr:uid="{4125DE0D-5B32-4BF4-904A-6F926923D721}"/>
    <hyperlink ref="E63" r:id="rId66" xr:uid="{8B44D9EA-8F8C-4B6D-A4D3-2E1E58ACB963}"/>
    <hyperlink ref="E68" r:id="rId67" xr:uid="{D635E31E-75AB-4E2C-9B7C-ED01403ADB1F}"/>
    <hyperlink ref="E69" r:id="rId68" xr:uid="{2292E4C1-FA19-4399-A6EA-D67174EC271E}"/>
    <hyperlink ref="E71" r:id="rId69" xr:uid="{2A405A88-DB1F-41EC-8C9C-A6F3AB5CC9EE}"/>
    <hyperlink ref="E70" r:id="rId70" xr:uid="{4F52C041-7121-4CEA-804A-7C32E96CB542}"/>
    <hyperlink ref="E72" r:id="rId71" xr:uid="{78AC15DB-FB29-46A0-9444-DBBD8194A465}"/>
    <hyperlink ref="E73" r:id="rId72" xr:uid="{2AAB3E7C-A5BB-4A56-91AC-A551895D3804}"/>
    <hyperlink ref="E74" r:id="rId73" xr:uid="{50F53090-7730-46A5-A7F6-4F7FC49C7311}"/>
    <hyperlink ref="E75" r:id="rId74" xr:uid="{DA9A8307-31D6-447C-BA26-E872048CB754}"/>
    <hyperlink ref="E76" r:id="rId75" xr:uid="{6818A078-7848-44EB-A391-6844DE908D77}"/>
    <hyperlink ref="E79" r:id="rId76" xr:uid="{AA1D4031-0511-4746-BA30-767381B1A562}"/>
    <hyperlink ref="E81" r:id="rId77" xr:uid="{1B34CB5E-5355-40B1-A1E6-F7738D5C76B3}"/>
    <hyperlink ref="E80" r:id="rId78" xr:uid="{474D1B9C-1CE9-4BEF-9F54-0F1BAD86536C}"/>
    <hyperlink ref="E10" r:id="rId79" xr:uid="{AAE20E4A-0677-4FBA-BA34-7F8CBA7773CF}"/>
    <hyperlink ref="E11" r:id="rId80" xr:uid="{DF7463F6-98E6-41D0-AB9C-1C177CCB7960}"/>
    <hyperlink ref="E12" r:id="rId81" xr:uid="{B899C42C-43D5-4DFE-9F5A-DEFED1A20339}"/>
    <hyperlink ref="E13" r:id="rId82" xr:uid="{E26861C6-A512-420E-A5D6-902E109F6BA7}"/>
    <hyperlink ref="E19" r:id="rId83" xr:uid="{73038601-5809-43A3-9801-1A4049C98D1E}"/>
    <hyperlink ref="E25" r:id="rId84" xr:uid="{45EE3589-21F4-4572-A6B7-0B50F35A16C5}"/>
    <hyperlink ref="E26" r:id="rId85" xr:uid="{DAAA5018-135F-4C40-B8A5-D74015552DE5}"/>
    <hyperlink ref="E27" r:id="rId86" xr:uid="{2482214B-7460-4F02-848C-2C8BFAC694B3}"/>
    <hyperlink ref="E28" r:id="rId87" xr:uid="{27F491F1-76D4-48E2-B494-6F8D817FF536}"/>
    <hyperlink ref="E39" r:id="rId88" xr:uid="{44E12249-4601-430F-929A-89F13AE66FA4}"/>
    <hyperlink ref="E40" r:id="rId89" xr:uid="{CB5625CA-3622-4819-89EC-6C6B19818E5A}"/>
    <hyperlink ref="E41" r:id="rId90" xr:uid="{9E3E1326-9B93-4234-BCCF-9FD425779630}"/>
    <hyperlink ref="E42" r:id="rId91" xr:uid="{3B132267-7E14-48ED-9AEC-D097A46C9219}"/>
    <hyperlink ref="E44" r:id="rId92" xr:uid="{35CD99DB-B3D8-415C-9328-C393B5360531}"/>
    <hyperlink ref="E45" r:id="rId93" xr:uid="{EA1E0655-A9D5-4FC3-9919-DC13EAAF9DCC}"/>
    <hyperlink ref="E53" r:id="rId94" xr:uid="{95A4A047-1AE1-4C8C-B29E-4E59063F584B}"/>
    <hyperlink ref="E55" r:id="rId95" xr:uid="{6D88FFA8-E331-4FA8-8025-6B22FE8186A5}"/>
    <hyperlink ref="E60" r:id="rId96" xr:uid="{BB8B9DF6-7D01-4F63-977F-B9433F217647}"/>
    <hyperlink ref="E61" r:id="rId97" xr:uid="{4C777F57-DCF5-450A-BAFF-B54FF007FED5}"/>
    <hyperlink ref="E64" r:id="rId98" xr:uid="{7E865ADA-A19B-4C44-BF8D-030C11639B11}"/>
    <hyperlink ref="E65" r:id="rId99" xr:uid="{D93A08EE-49BB-4C63-AF5B-F24B19055752}"/>
    <hyperlink ref="E66" r:id="rId100" xr:uid="{47771D7B-4C0C-4F16-8B7C-B6117ACC8ACB}"/>
    <hyperlink ref="E67" r:id="rId101" xr:uid="{9077C6BE-D4F4-4B2A-96C8-0C6D5905CEF9}"/>
    <hyperlink ref="E77" r:id="rId102" xr:uid="{9A9DDC8F-16BE-4362-8733-E0480A169DF3}"/>
    <hyperlink ref="E78" r:id="rId103" xr:uid="{FC438FA0-AD86-4DE6-9DF2-DDDE270F8802}"/>
    <hyperlink ref="E4" r:id="rId104" xr:uid="{FCFA816F-7CFB-45E9-ADF0-DA79921C05B4}"/>
    <hyperlink ref="E90" r:id="rId105" xr:uid="{45B599E0-0524-4BAF-A645-3314E904D4A6}"/>
    <hyperlink ref="E89" r:id="rId106" xr:uid="{627F786A-759D-4BD7-AC39-983D87B2E793}"/>
    <hyperlink ref="E88" r:id="rId107" xr:uid="{66DD7028-ACC3-4DD8-9E0F-912B88AAE139}"/>
    <hyperlink ref="E87" r:id="rId108" xr:uid="{415ED153-048C-4FC0-9547-2ECE48A3395A}"/>
    <hyperlink ref="E86" r:id="rId109" xr:uid="{D826B4F1-7C57-42C6-AB44-8C7768C8FD60}"/>
    <hyperlink ref="E85" r:id="rId110" xr:uid="{9593B652-DA8F-4E1C-BBDC-3A5F02C993F0}"/>
    <hyperlink ref="E84" r:id="rId111" xr:uid="{D9DD2835-65ED-4DBE-A2FF-CF4D113B83F4}"/>
    <hyperlink ref="E83" r:id="rId112" xr:uid="{44C9B5B7-C2C4-455E-A5F7-82BBF7CBCDFE}"/>
    <hyperlink ref="E82" r:id="rId113" xr:uid="{2F16D9C8-F13B-4B7D-B889-0BADB50CD9A5}"/>
    <hyperlink ref="A2" r:id="rId114" xr:uid="{6DCA9388-5AE8-4B0D-8395-E6340A5BA32E}"/>
    <hyperlink ref="B224" r:id="rId115" display="Cornell Web Accessibility Testing Guidelines" xr:uid="{15822253-9598-44A7-838C-CE6E9A29E067}"/>
  </hyperlinks>
  <pageMargins left="0.7" right="0.7" top="0.75" bottom="0.75" header="0.3" footer="0.3"/>
  <pageSetup orientation="portrait" r:id="rId116"/>
  <tableParts count="2">
    <tablePart r:id="rId117"/>
    <tablePart r:id="rId11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E3EC2A9218714E9E198E50CC67F290" ma:contentTypeVersion="4" ma:contentTypeDescription="Create a new document." ma:contentTypeScope="" ma:versionID="50abd92e086570039ec6cddcf1378016">
  <xsd:schema xmlns:xsd="http://www.w3.org/2001/XMLSchema" xmlns:xs="http://www.w3.org/2001/XMLSchema" xmlns:p="http://schemas.microsoft.com/office/2006/metadata/properties" xmlns:ns2="5143310d-7d4f-444c-9904-01785df57c96" targetNamespace="http://schemas.microsoft.com/office/2006/metadata/properties" ma:root="true" ma:fieldsID="3c95276065baf2bc0ff7fa44172e588f" ns2:_="">
    <xsd:import namespace="5143310d-7d4f-444c-9904-01785df57c9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3310d-7d4f-444c-9904-01785df57c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3DDCA9-E1E4-45BE-8AE6-89630F41D2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3310d-7d4f-444c-9904-01785df57c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F818C3-C627-4D68-ACAE-5EF5506CFD3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8D7854B-F56C-45F6-A28A-E8A1496159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Use and Instructions</vt:lpstr>
      <vt:lpstr>Executive Summary</vt:lpstr>
      <vt:lpstr>Empirical Scores</vt:lpstr>
      <vt:lpstr>Findings Overview</vt:lpstr>
      <vt:lpstr>Report Entry</vt:lpstr>
      <vt:lpstr>Custom Test Script</vt:lpstr>
      <vt:lpstr>Examples</vt:lpstr>
      <vt:lpstr>Success Criteria Help</vt:lpstr>
      <vt:lpstr>Topic Code Help</vt:lpstr>
      <vt:lpstr>Findings Breakdown</vt:lpstr>
      <vt:lpstr>Validations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WCAG ART</dc:title>
  <dc:subject/>
  <dc:creator>Ronald Schneidereit</dc:creator>
  <cp:keywords>Accessibility </cp:keywords>
  <dc:description/>
  <cp:lastModifiedBy>Ron Schneidereit</cp:lastModifiedBy>
  <cp:revision/>
  <dcterms:created xsi:type="dcterms:W3CDTF">2023-05-03T18:12:52Z</dcterms:created>
  <dcterms:modified xsi:type="dcterms:W3CDTF">2025-05-15T13:24:42Z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0x01010022E3EC2A9218714E9E198E50CC67F290</vt:lpwstr>
  </property>
</Properties>
</file>