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begüm\Desktop\Deprem Final\"/>
    </mc:Choice>
  </mc:AlternateContent>
  <xr:revisionPtr revIDLastSave="0" documentId="13_ncr:1_{C69298AC-8BB4-4B17-A7BD-54A607AF3E73}" xr6:coauthVersionLast="43" xr6:coauthVersionMax="43" xr10:uidLastSave="{00000000-0000-0000-0000-000000000000}"/>
  <bookViews>
    <workbookView xWindow="7680" yWindow="2568" windowWidth="7800" windowHeight="7992" firstSheet="3" activeTab="3" xr2:uid="{00000000-000D-0000-FFFF-FFFF00000000}"/>
  </bookViews>
  <sheets>
    <sheet name="Eşdeğer Elle Çözüm" sheetId="1" r:id="rId1"/>
    <sheet name="Eşdeğer Deprem Yükü " sheetId="2" r:id="rId2"/>
    <sheet name="Yeni Yönetmelik" sheetId="4" r:id="rId3"/>
    <sheet name="Düzensizlik Kontrolleri" sheetId="5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7" i="5" l="1"/>
  <c r="I23" i="5"/>
  <c r="I25" i="5"/>
  <c r="L6" i="5"/>
  <c r="L7" i="5"/>
  <c r="L8" i="5"/>
  <c r="L5" i="5"/>
  <c r="E5" i="5"/>
  <c r="I14" i="4"/>
  <c r="M9" i="4"/>
  <c r="M10" i="4"/>
  <c r="M11" i="4"/>
  <c r="M8" i="4"/>
  <c r="L9" i="4"/>
  <c r="L10" i="4"/>
  <c r="L11" i="4"/>
  <c r="L8" i="4"/>
  <c r="K9" i="4"/>
  <c r="K10" i="4"/>
  <c r="K11" i="4"/>
  <c r="K8" i="4"/>
  <c r="J2" i="4"/>
  <c r="J4" i="4" s="1"/>
  <c r="D3" i="4"/>
  <c r="I11" i="4"/>
  <c r="D1" i="4"/>
  <c r="H10" i="4"/>
  <c r="H11" i="4" s="1"/>
  <c r="H9" i="4"/>
  <c r="D31" i="4"/>
  <c r="C31" i="4"/>
  <c r="B31" i="4"/>
  <c r="F22" i="4"/>
  <c r="G20" i="4"/>
  <c r="F20" i="4"/>
  <c r="D36" i="5" l="1"/>
  <c r="E36" i="5" s="1"/>
  <c r="D35" i="5"/>
  <c r="E35" i="5" s="1"/>
  <c r="D34" i="5"/>
  <c r="E34" i="5" s="1"/>
  <c r="D33" i="5"/>
  <c r="E33" i="5" s="1"/>
  <c r="E26" i="5"/>
  <c r="E27" i="5"/>
  <c r="E28" i="5"/>
  <c r="D26" i="5"/>
  <c r="D27" i="5"/>
  <c r="D28" i="5"/>
  <c r="D25" i="5"/>
  <c r="E25" i="5" s="1"/>
  <c r="J15" i="5"/>
  <c r="K15" i="5"/>
  <c r="L15" i="5"/>
  <c r="J16" i="5"/>
  <c r="K16" i="5"/>
  <c r="L16" i="5" s="1"/>
  <c r="K8" i="5"/>
  <c r="J8" i="5"/>
  <c r="K7" i="5"/>
  <c r="J7" i="5"/>
  <c r="D6" i="5"/>
  <c r="E6" i="5" s="1"/>
  <c r="D7" i="5"/>
  <c r="E7" i="5" s="1"/>
  <c r="D8" i="5"/>
  <c r="E8" i="5" s="1"/>
  <c r="D5" i="5"/>
  <c r="D15" i="5"/>
  <c r="E15" i="5" s="1"/>
  <c r="D16" i="5"/>
  <c r="E16" i="5" s="1"/>
  <c r="D14" i="5"/>
  <c r="E14" i="5" s="1"/>
  <c r="D13" i="5"/>
  <c r="E13" i="5" s="1"/>
  <c r="K6" i="5"/>
  <c r="J6" i="5"/>
  <c r="L13" i="5"/>
  <c r="K14" i="5"/>
  <c r="J14" i="5"/>
  <c r="M15" i="5" l="1"/>
  <c r="M7" i="5"/>
  <c r="M5" i="5"/>
  <c r="L14" i="5"/>
  <c r="F17" i="4"/>
  <c r="A29" i="2"/>
  <c r="D6" i="4"/>
  <c r="D12" i="2"/>
  <c r="D11" i="2"/>
  <c r="D9" i="2"/>
  <c r="D8" i="2"/>
  <c r="B9" i="4"/>
  <c r="D2" i="4"/>
  <c r="D28" i="4"/>
  <c r="C28" i="4"/>
  <c r="B28" i="4"/>
  <c r="A28" i="4"/>
  <c r="G12" i="4"/>
  <c r="I10" i="4"/>
  <c r="I9" i="4"/>
  <c r="I8" i="4"/>
  <c r="G2" i="4"/>
  <c r="G4" i="4" s="1"/>
  <c r="J11" i="4" s="1"/>
  <c r="M6" i="5" l="1"/>
  <c r="M13" i="5"/>
  <c r="M14" i="5"/>
  <c r="I12" i="4"/>
  <c r="J9" i="4" s="1"/>
  <c r="D7" i="4"/>
  <c r="K12" i="4"/>
  <c r="B26" i="2"/>
  <c r="G19" i="2"/>
  <c r="G20" i="2"/>
  <c r="G21" i="2"/>
  <c r="G18" i="2"/>
  <c r="F19" i="2"/>
  <c r="F20" i="2"/>
  <c r="F21" i="2"/>
  <c r="F18" i="2"/>
  <c r="D19" i="2"/>
  <c r="D20" i="2"/>
  <c r="D21" i="2"/>
  <c r="D18" i="2"/>
  <c r="B22" i="2"/>
  <c r="B3" i="2"/>
  <c r="B6" i="2" s="1"/>
  <c r="B8" i="2" s="1"/>
  <c r="G12" i="2"/>
  <c r="J12" i="2"/>
  <c r="I12" i="2"/>
  <c r="H12" i="2"/>
  <c r="I15" i="2" s="1"/>
  <c r="B12" i="2"/>
  <c r="B14" i="2" s="1"/>
  <c r="B46" i="1"/>
  <c r="J8" i="4" l="1"/>
  <c r="J10" i="4"/>
  <c r="D22" i="2"/>
  <c r="E19" i="2" s="1"/>
  <c r="J15" i="2"/>
  <c r="E18" i="2"/>
  <c r="E21" i="2"/>
  <c r="E20" i="2"/>
  <c r="H15" i="2"/>
  <c r="E33" i="1"/>
  <c r="E34" i="1"/>
  <c r="B38" i="1"/>
  <c r="I36" i="1"/>
  <c r="M27" i="1"/>
  <c r="M28" i="1"/>
  <c r="L27" i="1"/>
  <c r="L28" i="1"/>
  <c r="J27" i="1"/>
  <c r="J28" i="1"/>
  <c r="I27" i="1"/>
  <c r="I28" i="1"/>
  <c r="I26" i="1"/>
  <c r="L16" i="1"/>
  <c r="L17" i="1"/>
  <c r="F37" i="1"/>
  <c r="F36" i="1"/>
  <c r="F35" i="1"/>
  <c r="E30" i="1"/>
  <c r="E31" i="1"/>
  <c r="E32" i="1"/>
  <c r="E29" i="1"/>
  <c r="E28" i="1"/>
  <c r="E27" i="1"/>
  <c r="B32" i="1"/>
  <c r="B33" i="1"/>
  <c r="B34" i="1"/>
  <c r="B28" i="1"/>
  <c r="B29" i="1"/>
  <c r="B30" i="1"/>
  <c r="B31" i="1"/>
  <c r="B27" i="1"/>
  <c r="B8" i="1"/>
  <c r="B7" i="1"/>
  <c r="J12" i="4" l="1"/>
  <c r="E22" i="2"/>
  <c r="B48" i="1" l="1"/>
  <c r="B50" i="1" s="1"/>
  <c r="B41" i="1"/>
  <c r="K16" i="1"/>
  <c r="K17" i="1"/>
  <c r="K15" i="1"/>
  <c r="I3" i="1"/>
  <c r="I5" i="1" s="1"/>
  <c r="E3" i="1"/>
  <c r="E2" i="1"/>
  <c r="D56" i="1" l="1"/>
  <c r="E54" i="1" s="1"/>
  <c r="K20" i="1"/>
  <c r="J26" i="1"/>
  <c r="E4" i="1"/>
  <c r="B43" i="1" s="1"/>
  <c r="L26" i="1" l="1"/>
  <c r="E55" i="1"/>
  <c r="E53" i="1"/>
  <c r="L15" i="1"/>
  <c r="M26" i="1"/>
  <c r="E56" i="1" l="1"/>
  <c r="M16" i="1"/>
  <c r="L20" i="1"/>
  <c r="M17" i="1" l="1"/>
  <c r="M34" i="1" l="1"/>
  <c r="L34" i="1"/>
</calcChain>
</file>

<file path=xl/sharedStrings.xml><?xml version="1.0" encoding="utf-8"?>
<sst xmlns="http://schemas.openxmlformats.org/spreadsheetml/2006/main" count="217" uniqueCount="119">
  <si>
    <t>Verilenler</t>
  </si>
  <si>
    <t>Kat Ağırlıkları</t>
  </si>
  <si>
    <t>Deprem bölgesi:</t>
  </si>
  <si>
    <t>Konut Türü:</t>
  </si>
  <si>
    <t>Zemin Sınıfı:</t>
  </si>
  <si>
    <t>Kat Ağırlıkları:</t>
  </si>
  <si>
    <t>İstenen:</t>
  </si>
  <si>
    <t>1.derece</t>
  </si>
  <si>
    <t>Yapı</t>
  </si>
  <si>
    <t>Z4</t>
  </si>
  <si>
    <t>gç=</t>
  </si>
  <si>
    <t>pn=</t>
  </si>
  <si>
    <t>pç=</t>
  </si>
  <si>
    <t>X yönü periyot ve deprem kuvveti</t>
  </si>
  <si>
    <t>b</t>
  </si>
  <si>
    <t>h</t>
  </si>
  <si>
    <t>Kolon adı</t>
  </si>
  <si>
    <t>Adı</t>
  </si>
  <si>
    <t>Atalet Momenti</t>
  </si>
  <si>
    <t>Rijitliği</t>
  </si>
  <si>
    <t>Normal Kat</t>
  </si>
  <si>
    <t>Çatı Katı</t>
  </si>
  <si>
    <t>Toplam Bina ağırlığı(t)</t>
  </si>
  <si>
    <t>Periyot hesabı</t>
  </si>
  <si>
    <t>Vt=</t>
  </si>
  <si>
    <t>DltFN</t>
  </si>
  <si>
    <t>Toplam Kat=</t>
  </si>
  <si>
    <t>Kat</t>
  </si>
  <si>
    <t>Wi</t>
  </si>
  <si>
    <t>Hi</t>
  </si>
  <si>
    <t>Wi.Hi</t>
  </si>
  <si>
    <t>Fi</t>
  </si>
  <si>
    <t>Top</t>
  </si>
  <si>
    <t>Vt-DltFN</t>
  </si>
  <si>
    <t>Mi</t>
  </si>
  <si>
    <t>Deltai</t>
  </si>
  <si>
    <t>mi.Deltai2</t>
  </si>
  <si>
    <t>Fi.deltai</t>
  </si>
  <si>
    <t>Ti</t>
  </si>
  <si>
    <t>Toplam=</t>
  </si>
  <si>
    <t>Tn= (s)</t>
  </si>
  <si>
    <t>Tablodan Ta ve Tb okunur ve S(t1) belirlenir</t>
  </si>
  <si>
    <t>S(T1)=</t>
  </si>
  <si>
    <t>A(T1)=A0*I*S(T1)</t>
  </si>
  <si>
    <t>A0 Tablodan</t>
  </si>
  <si>
    <t>I Tablodan</t>
  </si>
  <si>
    <t>Ra(T1)=R=</t>
  </si>
  <si>
    <t>Vt=Wt*A(T1)/Ra(T1)=</t>
  </si>
  <si>
    <t>SON HESAP İÇİN TEKRAR İŞLEMLER</t>
  </si>
  <si>
    <t>Gerçek Deltai=Vt*deltai</t>
  </si>
  <si>
    <t>Beton Elastisite Modülü:(kn/m2)</t>
  </si>
  <si>
    <t>gn=(kn)</t>
  </si>
  <si>
    <t>Kat Yükseklikleri= (cm)1</t>
  </si>
  <si>
    <t>A 1-6 \D1-6-1.KAT</t>
  </si>
  <si>
    <t>B1-6\C1-6 1.KAT</t>
  </si>
  <si>
    <t>A1-6\D1-6 2.KAT</t>
  </si>
  <si>
    <t>A1-6\D1-6 3.KAT</t>
  </si>
  <si>
    <t>B1-6\C1-6 2.KAT</t>
  </si>
  <si>
    <t>B1-6\C1-6 3.KAT</t>
  </si>
  <si>
    <t>KİRİŞ1</t>
  </si>
  <si>
    <t>KİRİŞ2</t>
  </si>
  <si>
    <t>2.KAT</t>
  </si>
  <si>
    <t>3.KAT</t>
  </si>
  <si>
    <t>ΔFN</t>
  </si>
  <si>
    <t>Vt-ΔFN</t>
  </si>
  <si>
    <t>1.KAT</t>
  </si>
  <si>
    <t>4.Kat</t>
  </si>
  <si>
    <t>3+4Kat</t>
  </si>
  <si>
    <t>2+3+4 Kat</t>
  </si>
  <si>
    <t>1+2+3+4. Kat</t>
  </si>
  <si>
    <t>4.KAT</t>
  </si>
  <si>
    <t>Mix</t>
  </si>
  <si>
    <t>Miy</t>
  </si>
  <si>
    <t>0.4*g*ı/r</t>
  </si>
  <si>
    <t>Tx=</t>
  </si>
  <si>
    <t>Ty=</t>
  </si>
  <si>
    <t>Sds=</t>
  </si>
  <si>
    <t>Sd1=</t>
  </si>
  <si>
    <t>I=</t>
  </si>
  <si>
    <t>Dts=</t>
  </si>
  <si>
    <t>Bys=</t>
  </si>
  <si>
    <t>TA=</t>
  </si>
  <si>
    <t>TB=</t>
  </si>
  <si>
    <t>Ra(T)=</t>
  </si>
  <si>
    <t>D=</t>
  </si>
  <si>
    <t>VtE(x)=</t>
  </si>
  <si>
    <t>Bina Ağırlının Hesabı:</t>
  </si>
  <si>
    <r>
      <t>S</t>
    </r>
    <r>
      <rPr>
        <b/>
        <vertAlign val="subscript"/>
        <sz val="12"/>
        <color theme="1"/>
        <rFont val="Times New Roman"/>
        <family val="1"/>
        <charset val="162"/>
      </rPr>
      <t>ae</t>
    </r>
    <r>
      <rPr>
        <b/>
        <sz val="12"/>
        <color theme="1"/>
        <rFont val="Times New Roman"/>
        <family val="1"/>
        <charset val="162"/>
      </rPr>
      <t>(T) =</t>
    </r>
  </si>
  <si>
    <r>
      <t>S</t>
    </r>
    <r>
      <rPr>
        <b/>
        <vertAlign val="subscript"/>
        <sz val="12"/>
        <color theme="1"/>
        <rFont val="Times New Roman"/>
        <family val="1"/>
        <charset val="162"/>
      </rPr>
      <t>aR</t>
    </r>
    <r>
      <rPr>
        <b/>
        <sz val="12"/>
        <color theme="1"/>
        <rFont val="Times New Roman"/>
        <family val="1"/>
        <charset val="162"/>
      </rPr>
      <t>(T</t>
    </r>
    <r>
      <rPr>
        <b/>
        <vertAlign val="subscript"/>
        <sz val="12"/>
        <color theme="1"/>
        <rFont val="Times New Roman"/>
        <family val="1"/>
        <charset val="162"/>
      </rPr>
      <t>p</t>
    </r>
    <r>
      <rPr>
        <b/>
        <sz val="12"/>
        <color theme="1"/>
        <rFont val="Times New Roman"/>
        <family val="1"/>
        <charset val="162"/>
      </rPr>
      <t>)</t>
    </r>
    <r>
      <rPr>
        <b/>
        <vertAlign val="subscript"/>
        <sz val="12"/>
        <color theme="1"/>
        <rFont val="Times New Roman"/>
        <family val="1"/>
        <charset val="162"/>
      </rPr>
      <t xml:space="preserve"> =</t>
    </r>
  </si>
  <si>
    <t>Bks=</t>
  </si>
  <si>
    <t>Mt=</t>
  </si>
  <si>
    <t>W=</t>
  </si>
  <si>
    <t>G1</t>
  </si>
  <si>
    <t>gç</t>
  </si>
  <si>
    <t>Fx</t>
  </si>
  <si>
    <t>Fy</t>
  </si>
  <si>
    <t>ao*I*g/R</t>
  </si>
  <si>
    <t>A1.Burulma Düzensizliği</t>
  </si>
  <si>
    <t>Minimum</t>
  </si>
  <si>
    <t>Maximum</t>
  </si>
  <si>
    <t>Ortalama</t>
  </si>
  <si>
    <t>Oran</t>
  </si>
  <si>
    <t>Y Doğrultusu</t>
  </si>
  <si>
    <t>X Doğrultusu</t>
  </si>
  <si>
    <t>B2.Yumuşak Kat Düzensizliği</t>
  </si>
  <si>
    <t>dimin</t>
  </si>
  <si>
    <t>dimax</t>
  </si>
  <si>
    <t>Δimin</t>
  </si>
  <si>
    <t>Δimax</t>
  </si>
  <si>
    <t>Δiort</t>
  </si>
  <si>
    <t>ηbi</t>
  </si>
  <si>
    <t>-</t>
  </si>
  <si>
    <t>Göreli Kat Ötelemeleri</t>
  </si>
  <si>
    <t>hi</t>
  </si>
  <si>
    <t>Δi)max / hi</t>
  </si>
  <si>
    <t>Δi</t>
  </si>
  <si>
    <t>Edz=</t>
  </si>
  <si>
    <t>2.Kat</t>
  </si>
  <si>
    <t>1.Kat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</si>
</sst>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b/>
      <sz val="12"/>
      <color rgb="FFC00000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0"/>
      <name val="Calibri"/>
      <family val="2"/>
      <scheme val="minor"/>
    </font>
    <font>
      <b/>
      <sz val="14"/>
      <color theme="1"/>
      <name val="Times New Roman"/>
      <family val="1"/>
      <charset val="162"/>
    </font>
    <font>
      <b/>
      <sz val="14"/>
      <color rgb="FFC00000"/>
      <name val="Calibri"/>
      <family val="2"/>
      <charset val="162"/>
      <scheme val="minor"/>
    </font>
    <font>
      <sz val="11"/>
      <color theme="1"/>
      <name val="Arial Tur"/>
      <charset val="162"/>
    </font>
    <font>
      <b/>
      <sz val="12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1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/>
    <xf numFmtId="0" fontId="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7" borderId="1" xfId="0" applyFont="1" applyFill="1" applyBorder="1"/>
    <xf numFmtId="0" fontId="6" fillId="7" borderId="1" xfId="0" applyFont="1" applyFill="1" applyBorder="1"/>
    <xf numFmtId="0" fontId="0" fillId="8" borderId="1" xfId="0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2" fontId="0" fillId="8" borderId="1" xfId="0" applyNumberForma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Border="1"/>
    <xf numFmtId="0" fontId="0" fillId="5" borderId="1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7" borderId="1" xfId="0" applyNumberFormat="1" applyFont="1" applyFill="1" applyBorder="1"/>
    <xf numFmtId="0" fontId="7" fillId="0" borderId="0" xfId="0" applyFon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0" fillId="2" borderId="0" xfId="0" applyFill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9" borderId="1" xfId="0" applyFont="1" applyFill="1" applyBorder="1"/>
    <xf numFmtId="0" fontId="9" fillId="9" borderId="1" xfId="0" applyFont="1" applyFill="1" applyBorder="1"/>
    <xf numFmtId="0" fontId="4" fillId="9" borderId="4" xfId="0" applyFont="1" applyFill="1" applyBorder="1"/>
    <xf numFmtId="0" fontId="11" fillId="9" borderId="1" xfId="0" applyFont="1" applyFill="1" applyBorder="1"/>
    <xf numFmtId="0" fontId="11" fillId="9" borderId="1" xfId="0" applyFont="1" applyFill="1" applyBorder="1" applyAlignment="1">
      <alignment horizontal="center" vertical="center"/>
    </xf>
    <xf numFmtId="0" fontId="11" fillId="0" borderId="0" xfId="0" applyFont="1"/>
    <xf numFmtId="165" fontId="11" fillId="9" borderId="1" xfId="0" applyNumberFormat="1" applyFont="1" applyFill="1" applyBorder="1"/>
    <xf numFmtId="2" fontId="11" fillId="9" borderId="1" xfId="0" applyNumberFormat="1" applyFont="1" applyFill="1" applyBorder="1"/>
    <xf numFmtId="0" fontId="12" fillId="9" borderId="1" xfId="0" applyFont="1" applyFill="1" applyBorder="1"/>
    <xf numFmtId="2" fontId="13" fillId="9" borderId="1" xfId="0" applyNumberFormat="1" applyFont="1" applyFill="1" applyBorder="1"/>
    <xf numFmtId="0" fontId="7" fillId="2" borderId="5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/>
    <xf numFmtId="0" fontId="4" fillId="0" borderId="0" xfId="0" applyFont="1" applyAlignment="1">
      <alignment horizontal="center"/>
    </xf>
    <xf numFmtId="0" fontId="14" fillId="0" borderId="1" xfId="0" applyFont="1" applyBorder="1"/>
    <xf numFmtId="165" fontId="0" fillId="0" borderId="1" xfId="0" applyNumberFormat="1" applyBorder="1"/>
    <xf numFmtId="0" fontId="6" fillId="7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0" xfId="2"/>
    <xf numFmtId="0" fontId="1" fillId="0" borderId="0" xfId="2"/>
    <xf numFmtId="0" fontId="1" fillId="0" borderId="0" xfId="2"/>
    <xf numFmtId="0" fontId="1" fillId="0" borderId="0" xfId="2"/>
    <xf numFmtId="2" fontId="0" fillId="2" borderId="0" xfId="0" applyNumberFormat="1" applyFill="1"/>
  </cellXfs>
  <cellStyles count="3">
    <cellStyle name="Normal" xfId="0" builtinId="0"/>
    <cellStyle name="Normal 2" xfId="1" xr:uid="{C55BD836-BDCA-4CD8-B9F8-86CD25530571}"/>
    <cellStyle name="Normal 3" xfId="2" xr:uid="{B118B6D3-64DB-4920-AD3C-62B81C6F9D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575885</xdr:colOff>
      <xdr:row>36</xdr:row>
      <xdr:rowOff>366211</xdr:rowOff>
    </xdr:from>
    <xdr:to>
      <xdr:col>10</xdr:col>
      <xdr:colOff>399133</xdr:colOff>
      <xdr:row>43</xdr:row>
      <xdr:rowOff>45543</xdr:rowOff>
    </xdr:to>
    <xdr:sp macro="" textlink="">
      <xdr:nvSpPr>
        <xdr:cNvPr id="2" name="Ok: Sol 1">
          <a:extLst>
            <a:ext uri="{FF2B5EF4-FFF2-40B4-BE49-F238E27FC236}">
              <a16:creationId xmlns:a16="http://schemas.microsoft.com/office/drawing/2014/main" id="{606CCD10-7B5B-4345-AF69-A139D8CC4AA7}"/>
            </a:ext>
          </a:extLst>
        </xdr:cNvPr>
        <xdr:cNvSpPr/>
      </xdr:nvSpPr>
      <xdr:spPr>
        <a:xfrm rot="20626457">
          <a:off x="5884485" y="7592511"/>
          <a:ext cx="3125248" cy="140653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266700</xdr:colOff>
      <xdr:row>1</xdr:row>
      <xdr:rowOff>12700</xdr:rowOff>
    </xdr:from>
    <xdr:to>
      <xdr:col>6</xdr:col>
      <xdr:colOff>279400</xdr:colOff>
      <xdr:row>35</xdr:row>
      <xdr:rowOff>50800</xdr:rowOff>
    </xdr:to>
    <xdr:cxnSp macro="">
      <xdr:nvCxnSpPr>
        <xdr:cNvPr id="4" name="Düz Bağlayıcı 3">
          <a:extLst>
            <a:ext uri="{FF2B5EF4-FFF2-40B4-BE49-F238E27FC236}">
              <a16:creationId xmlns:a16="http://schemas.microsoft.com/office/drawing/2014/main" id="{11EEA2C9-3E6D-470F-8D9D-61C94A64A4A3}"/>
            </a:ext>
          </a:extLst>
        </xdr:cNvPr>
        <xdr:cNvCxnSpPr/>
      </xdr:nvCxnSpPr>
      <xdr:spPr>
        <a:xfrm flipH="1">
          <a:off x="6184900" y="190500"/>
          <a:ext cx="12700" cy="47244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zoomScale="70" zoomScaleNormal="70" workbookViewId="0">
      <selection activeCell="E13" sqref="E13"/>
    </sheetView>
  </sheetViews>
  <sheetFormatPr defaultRowHeight="14.4" x14ac:dyDescent="0.3"/>
  <cols>
    <col min="1" max="1" width="23.44140625" customWidth="1"/>
    <col min="2" max="2" width="16.109375" customWidth="1"/>
    <col min="4" max="4" width="17" customWidth="1"/>
    <col min="5" max="5" width="11.88671875" customWidth="1"/>
    <col min="9" max="9" width="12.6640625" customWidth="1"/>
    <col min="12" max="12" width="11.5546875" customWidth="1"/>
  </cols>
  <sheetData>
    <row r="1" spans="1:13" x14ac:dyDescent="0.3">
      <c r="A1" s="63" t="s">
        <v>0</v>
      </c>
      <c r="B1" s="63"/>
      <c r="D1" s="65" t="s">
        <v>1</v>
      </c>
      <c r="E1" s="66"/>
      <c r="H1" s="69" t="s">
        <v>23</v>
      </c>
      <c r="I1" s="70"/>
    </row>
    <row r="2" spans="1:13" x14ac:dyDescent="0.3">
      <c r="A2" s="1" t="s">
        <v>2</v>
      </c>
      <c r="B2" s="3" t="s">
        <v>7</v>
      </c>
      <c r="D2" s="12" t="s">
        <v>20</v>
      </c>
      <c r="E2" s="11">
        <f>B7+0.3*B9</f>
        <v>2466.6</v>
      </c>
      <c r="H2" s="21" t="s">
        <v>24</v>
      </c>
      <c r="I2" s="20">
        <v>1000</v>
      </c>
    </row>
    <row r="3" spans="1:13" x14ac:dyDescent="0.3">
      <c r="A3" s="1" t="s">
        <v>3</v>
      </c>
      <c r="B3" s="3" t="s">
        <v>8</v>
      </c>
      <c r="D3" s="12" t="s">
        <v>21</v>
      </c>
      <c r="E3" s="11">
        <f>B8+0.3*B10</f>
        <v>2241.4500000000003</v>
      </c>
      <c r="H3" s="21" t="s">
        <v>63</v>
      </c>
      <c r="I3" s="20">
        <f>0.0075*I4*I2</f>
        <v>22.5</v>
      </c>
    </row>
    <row r="4" spans="1:13" ht="33" customHeight="1" x14ac:dyDescent="0.3">
      <c r="A4" s="1" t="s">
        <v>4</v>
      </c>
      <c r="B4" s="3" t="s">
        <v>9</v>
      </c>
      <c r="D4" s="13" t="s">
        <v>22</v>
      </c>
      <c r="E4" s="11">
        <f>E3+2*E2</f>
        <v>7174.65</v>
      </c>
      <c r="H4" s="22" t="s">
        <v>26</v>
      </c>
      <c r="I4" s="20">
        <v>3</v>
      </c>
    </row>
    <row r="5" spans="1:13" ht="28.8" customHeight="1" x14ac:dyDescent="0.3">
      <c r="A5" s="2" t="s">
        <v>50</v>
      </c>
      <c r="B5" s="3">
        <v>30250000</v>
      </c>
      <c r="H5" s="21" t="s">
        <v>64</v>
      </c>
      <c r="I5" s="20">
        <f>I2-I3</f>
        <v>977.5</v>
      </c>
    </row>
    <row r="6" spans="1:13" x14ac:dyDescent="0.3">
      <c r="A6" s="1" t="s">
        <v>5</v>
      </c>
      <c r="B6" s="3"/>
    </row>
    <row r="7" spans="1:13" x14ac:dyDescent="0.3">
      <c r="A7" s="1" t="s">
        <v>51</v>
      </c>
      <c r="B7">
        <f>(25*0.16*25*18)+(20*0.05*25*18)+(0.02*14*25*18)+(0.02*10*25*18)</f>
        <v>2466</v>
      </c>
    </row>
    <row r="8" spans="1:13" x14ac:dyDescent="0.3">
      <c r="A8" s="1" t="s">
        <v>10</v>
      </c>
      <c r="B8">
        <f>(25*0.14*25*18)+(20*0.05*25*18)+(0.02*14*25*18)+(0.02*10*25*18)</f>
        <v>2241.0000000000005</v>
      </c>
    </row>
    <row r="9" spans="1:13" x14ac:dyDescent="0.3">
      <c r="A9" s="1" t="s">
        <v>11</v>
      </c>
      <c r="B9" s="3">
        <v>2</v>
      </c>
    </row>
    <row r="10" spans="1:13" x14ac:dyDescent="0.3">
      <c r="A10" s="1" t="s">
        <v>12</v>
      </c>
      <c r="B10" s="3">
        <v>1.5</v>
      </c>
    </row>
    <row r="11" spans="1:13" x14ac:dyDescent="0.3">
      <c r="A11" s="1">
        <v>3</v>
      </c>
      <c r="B11" s="26">
        <v>3</v>
      </c>
    </row>
    <row r="12" spans="1:13" x14ac:dyDescent="0.3">
      <c r="A12" s="1">
        <v>2</v>
      </c>
      <c r="B12" s="26">
        <v>4.5</v>
      </c>
    </row>
    <row r="13" spans="1:13" x14ac:dyDescent="0.3">
      <c r="A13" s="1" t="s">
        <v>52</v>
      </c>
      <c r="B13" s="3">
        <v>3</v>
      </c>
    </row>
    <row r="14" spans="1:13" ht="40.799999999999997" customHeight="1" x14ac:dyDescent="0.3">
      <c r="A14" s="1" t="s">
        <v>6</v>
      </c>
      <c r="B14" s="4" t="s">
        <v>13</v>
      </c>
      <c r="H14" s="14" t="s">
        <v>27</v>
      </c>
      <c r="I14" s="14" t="s">
        <v>28</v>
      </c>
      <c r="J14" s="14" t="s">
        <v>29</v>
      </c>
      <c r="K14" s="14" t="s">
        <v>30</v>
      </c>
      <c r="L14" s="14" t="s">
        <v>31</v>
      </c>
      <c r="M14" s="15" t="s">
        <v>38</v>
      </c>
    </row>
    <row r="15" spans="1:13" x14ac:dyDescent="0.3">
      <c r="H15" s="14">
        <v>1</v>
      </c>
      <c r="I15" s="11">
        <v>2466.6</v>
      </c>
      <c r="J15" s="14">
        <v>3</v>
      </c>
      <c r="K15" s="14">
        <f>I15*J15</f>
        <v>7399.7999999999993</v>
      </c>
      <c r="L15" s="14">
        <f>$I$5*K15/$K$20</f>
        <v>146.32090628968314</v>
      </c>
      <c r="M15" s="15">
        <v>1000</v>
      </c>
    </row>
    <row r="16" spans="1:13" x14ac:dyDescent="0.3">
      <c r="A16" s="6" t="s">
        <v>16</v>
      </c>
      <c r="B16" s="7" t="s">
        <v>14</v>
      </c>
      <c r="C16" s="7" t="s">
        <v>15</v>
      </c>
      <c r="H16" s="14">
        <v>2</v>
      </c>
      <c r="I16" s="14">
        <v>2466.6</v>
      </c>
      <c r="J16" s="14">
        <v>7.5</v>
      </c>
      <c r="K16" s="14">
        <f t="shared" ref="K16:K17" si="0">I16*J16</f>
        <v>18499.5</v>
      </c>
      <c r="L16" s="27">
        <f t="shared" ref="L16:L17" si="1">$I$5*K16/$K$20</f>
        <v>365.80226572420793</v>
      </c>
      <c r="M16">
        <f>M15-L15</f>
        <v>853.67909371031692</v>
      </c>
    </row>
    <row r="17" spans="1:13" x14ac:dyDescent="0.3">
      <c r="A17" s="6" t="s">
        <v>53</v>
      </c>
      <c r="B17" s="7">
        <v>0.6</v>
      </c>
      <c r="C17" s="7">
        <v>0.4</v>
      </c>
      <c r="H17" s="14">
        <v>3</v>
      </c>
      <c r="I17" s="14">
        <v>2241.4500000000003</v>
      </c>
      <c r="J17" s="14">
        <v>10.5</v>
      </c>
      <c r="K17" s="14">
        <f t="shared" si="0"/>
        <v>23535.225000000002</v>
      </c>
      <c r="L17" s="27">
        <f t="shared" si="1"/>
        <v>465.37682798610894</v>
      </c>
      <c r="M17">
        <f>M16-L16</f>
        <v>487.87682798610899</v>
      </c>
    </row>
    <row r="18" spans="1:13" x14ac:dyDescent="0.3">
      <c r="A18" s="6" t="s">
        <v>55</v>
      </c>
      <c r="B18" s="7">
        <v>0.5</v>
      </c>
      <c r="C18" s="7">
        <v>0.3</v>
      </c>
      <c r="H18" s="27"/>
      <c r="I18" s="27"/>
      <c r="J18" s="27"/>
      <c r="K18" s="27"/>
      <c r="L18" s="27"/>
    </row>
    <row r="19" spans="1:13" x14ac:dyDescent="0.3">
      <c r="A19" s="6" t="s">
        <v>56</v>
      </c>
      <c r="B19" s="7">
        <v>0.4</v>
      </c>
      <c r="C19" s="7">
        <v>0.25</v>
      </c>
      <c r="H19" s="27"/>
      <c r="I19" s="27"/>
      <c r="J19" s="27"/>
      <c r="K19" s="27"/>
      <c r="L19" s="27"/>
    </row>
    <row r="20" spans="1:13" x14ac:dyDescent="0.3">
      <c r="A20" s="6" t="s">
        <v>54</v>
      </c>
      <c r="B20" s="7">
        <v>0.4</v>
      </c>
      <c r="C20" s="7">
        <v>0.6</v>
      </c>
      <c r="H20" s="14"/>
      <c r="I20" s="14"/>
      <c r="J20" s="14" t="s">
        <v>32</v>
      </c>
      <c r="K20" s="14">
        <f>SUM(K15:K17)</f>
        <v>49434.525000000001</v>
      </c>
      <c r="L20" s="14">
        <f>SUM(L15:L17)</f>
        <v>977.5</v>
      </c>
    </row>
    <row r="21" spans="1:13" x14ac:dyDescent="0.3">
      <c r="A21" s="5" t="s">
        <v>57</v>
      </c>
      <c r="B21" s="7">
        <v>0.3</v>
      </c>
      <c r="C21" s="7">
        <v>0.5</v>
      </c>
      <c r="H21" s="29"/>
      <c r="I21" s="29"/>
      <c r="J21" s="29"/>
      <c r="K21" s="29"/>
      <c r="L21" s="29"/>
    </row>
    <row r="22" spans="1:13" x14ac:dyDescent="0.3">
      <c r="A22" s="5" t="s">
        <v>58</v>
      </c>
      <c r="B22" s="7">
        <v>0.25</v>
      </c>
      <c r="C22" s="7">
        <v>0.4</v>
      </c>
      <c r="H22" s="29"/>
      <c r="I22" s="29"/>
      <c r="J22" s="29"/>
      <c r="K22" s="29"/>
      <c r="L22" s="29"/>
    </row>
    <row r="23" spans="1:13" x14ac:dyDescent="0.3">
      <c r="A23" s="5" t="s">
        <v>59</v>
      </c>
      <c r="B23" s="7">
        <v>0.25</v>
      </c>
      <c r="C23" s="7">
        <v>0.6</v>
      </c>
      <c r="H23" s="29"/>
      <c r="I23" s="29"/>
      <c r="J23" s="29"/>
      <c r="K23" s="29"/>
      <c r="L23" s="29"/>
    </row>
    <row r="24" spans="1:13" x14ac:dyDescent="0.3">
      <c r="A24" s="5" t="s">
        <v>60</v>
      </c>
      <c r="B24" s="7">
        <v>0.25</v>
      </c>
      <c r="C24" s="7">
        <v>0.5</v>
      </c>
    </row>
    <row r="25" spans="1:13" x14ac:dyDescent="0.3">
      <c r="H25" s="14" t="s">
        <v>27</v>
      </c>
      <c r="I25" s="14" t="s">
        <v>34</v>
      </c>
      <c r="J25" s="14" t="s">
        <v>35</v>
      </c>
      <c r="K25" s="14" t="s">
        <v>31</v>
      </c>
      <c r="L25" s="14" t="s">
        <v>36</v>
      </c>
      <c r="M25" s="14" t="s">
        <v>37</v>
      </c>
    </row>
    <row r="26" spans="1:13" x14ac:dyDescent="0.3">
      <c r="A26" s="8" t="s">
        <v>17</v>
      </c>
      <c r="B26" s="9" t="s">
        <v>18</v>
      </c>
      <c r="D26" s="10" t="s">
        <v>17</v>
      </c>
      <c r="E26" s="10" t="s">
        <v>19</v>
      </c>
      <c r="F26" s="10"/>
      <c r="H26" s="14">
        <v>1</v>
      </c>
      <c r="I26" s="14">
        <f>I15/9.81</f>
        <v>251.4373088685015</v>
      </c>
      <c r="J26" s="14">
        <f>M15/F35</f>
        <v>7.1519389701207867E-3</v>
      </c>
      <c r="K26" s="27">
        <v>146.32090628968314</v>
      </c>
      <c r="L26" s="14">
        <f>I26*J26^2</f>
        <v>1.2861076438771768E-2</v>
      </c>
      <c r="M26" s="14">
        <f>K26*J26</f>
        <v>1.0464781918365766</v>
      </c>
    </row>
    <row r="27" spans="1:13" x14ac:dyDescent="0.3">
      <c r="A27" s="6" t="s">
        <v>53</v>
      </c>
      <c r="B27" s="9">
        <f>(B17*C17^3)/12</f>
        <v>3.200000000000001E-3</v>
      </c>
      <c r="D27" s="6" t="s">
        <v>53</v>
      </c>
      <c r="E27" s="10">
        <f>12*$B$5*B27/B13^3</f>
        <v>43022.222222222241</v>
      </c>
      <c r="F27" s="10"/>
      <c r="H27" s="27">
        <v>2</v>
      </c>
      <c r="I27" s="27">
        <f t="shared" ref="I27:I28" si="2">I16/9.81</f>
        <v>251.4373088685015</v>
      </c>
      <c r="J27" s="27">
        <f t="shared" ref="J27:J28" si="3">M16/F36</f>
        <v>5.0423923133594319E-2</v>
      </c>
      <c r="K27" s="27">
        <v>365.80226572420793</v>
      </c>
      <c r="L27" s="27">
        <f t="shared" ref="L27:L28" si="4">I27*J27^2</f>
        <v>0.63929746736481863</v>
      </c>
      <c r="M27" s="27">
        <f t="shared" ref="M27:M28" si="5">K27*J27</f>
        <v>18.445185328972105</v>
      </c>
    </row>
    <row r="28" spans="1:13" x14ac:dyDescent="0.3">
      <c r="A28" s="6" t="s">
        <v>55</v>
      </c>
      <c r="B28" s="9">
        <f t="shared" ref="B28:B34" si="6">(B18*C18^3)/12</f>
        <v>1.1249999999999999E-3</v>
      </c>
      <c r="D28" s="6" t="s">
        <v>55</v>
      </c>
      <c r="E28" s="10">
        <f>12*$B$5*B28/4.5^3</f>
        <v>4481.4814814814808</v>
      </c>
      <c r="F28" s="10"/>
      <c r="H28" s="27">
        <v>3</v>
      </c>
      <c r="I28" s="27">
        <f t="shared" si="2"/>
        <v>228.48623853211012</v>
      </c>
      <c r="J28" s="27">
        <f t="shared" si="3"/>
        <v>1.9571249855139666E-2</v>
      </c>
      <c r="K28" s="27">
        <v>465.37682798610894</v>
      </c>
      <c r="L28" s="27">
        <f t="shared" si="4"/>
        <v>8.7517956966264604E-2</v>
      </c>
      <c r="M28" s="27">
        <f t="shared" si="5"/>
        <v>9.108006177308491</v>
      </c>
    </row>
    <row r="29" spans="1:13" x14ac:dyDescent="0.3">
      <c r="A29" s="6" t="s">
        <v>56</v>
      </c>
      <c r="B29" s="9">
        <f t="shared" si="6"/>
        <v>5.2083333333333333E-4</v>
      </c>
      <c r="D29" s="6" t="s">
        <v>56</v>
      </c>
      <c r="E29" s="10">
        <f>12*$B$5*B29/3^3</f>
        <v>7002.3148148148148</v>
      </c>
      <c r="F29" s="10"/>
      <c r="H29" s="27"/>
      <c r="I29" s="27"/>
      <c r="J29" s="27"/>
      <c r="K29" s="27"/>
      <c r="L29" s="27"/>
      <c r="M29" s="27"/>
    </row>
    <row r="30" spans="1:13" x14ac:dyDescent="0.3">
      <c r="A30" s="6" t="s">
        <v>54</v>
      </c>
      <c r="B30" s="9">
        <f t="shared" si="6"/>
        <v>7.2000000000000007E-3</v>
      </c>
      <c r="D30" s="6" t="s">
        <v>54</v>
      </c>
      <c r="E30" s="10">
        <f>12*$B$5*B30/3^3</f>
        <v>96800.000000000015</v>
      </c>
      <c r="F30" s="10"/>
      <c r="H30" s="27"/>
      <c r="I30" s="27"/>
      <c r="J30" s="27"/>
      <c r="K30" s="27"/>
      <c r="L30" s="27"/>
      <c r="M30" s="27"/>
    </row>
    <row r="31" spans="1:13" x14ac:dyDescent="0.3">
      <c r="A31" s="5" t="s">
        <v>57</v>
      </c>
      <c r="B31" s="9">
        <f t="shared" si="6"/>
        <v>3.1249999999999997E-3</v>
      </c>
      <c r="D31" s="5" t="s">
        <v>57</v>
      </c>
      <c r="E31" s="10">
        <f t="shared" ref="E31" si="7">12*$B$5*B31/4.5^3</f>
        <v>12448.559670781893</v>
      </c>
      <c r="F31" s="10"/>
      <c r="H31" s="27"/>
      <c r="I31" s="27"/>
      <c r="J31" s="27"/>
      <c r="K31" s="27"/>
      <c r="L31" s="27"/>
      <c r="M31" s="27"/>
    </row>
    <row r="32" spans="1:13" x14ac:dyDescent="0.3">
      <c r="A32" s="5" t="s">
        <v>58</v>
      </c>
      <c r="B32" s="9">
        <f t="shared" si="6"/>
        <v>1.3333333333333337E-3</v>
      </c>
      <c r="D32" s="5" t="s">
        <v>58</v>
      </c>
      <c r="E32" s="10">
        <f t="shared" ref="E32:E34" si="8">12*$B$5*B32/3^3</f>
        <v>17925.925925925931</v>
      </c>
      <c r="F32" s="10"/>
      <c r="H32" s="14"/>
      <c r="I32" s="14"/>
      <c r="J32" s="14"/>
      <c r="K32" s="14"/>
      <c r="L32" s="14"/>
      <c r="M32" s="14"/>
    </row>
    <row r="33" spans="1:13" x14ac:dyDescent="0.3">
      <c r="A33" s="5" t="s">
        <v>59</v>
      </c>
      <c r="B33" s="9">
        <f t="shared" si="6"/>
        <v>4.4999999999999997E-3</v>
      </c>
      <c r="D33" s="5"/>
      <c r="E33" s="10">
        <f t="shared" si="8"/>
        <v>60499.999999999993</v>
      </c>
      <c r="F33" s="10"/>
      <c r="H33" s="14"/>
      <c r="I33" s="14"/>
      <c r="J33" s="14"/>
      <c r="K33" s="14"/>
      <c r="L33" s="14"/>
      <c r="M33" s="14"/>
    </row>
    <row r="34" spans="1:13" x14ac:dyDescent="0.3">
      <c r="A34" s="5" t="s">
        <v>60</v>
      </c>
      <c r="B34" s="9">
        <f t="shared" si="6"/>
        <v>2.6041666666666665E-3</v>
      </c>
      <c r="D34" s="5"/>
      <c r="E34" s="10">
        <f t="shared" si="8"/>
        <v>35011.574074074073</v>
      </c>
      <c r="F34" s="10"/>
      <c r="H34" s="67" t="s">
        <v>39</v>
      </c>
      <c r="I34" s="67"/>
      <c r="J34" s="67"/>
      <c r="K34" s="67"/>
      <c r="L34" s="14">
        <f>SUM(L26:L33)</f>
        <v>0.73967650076985503</v>
      </c>
      <c r="M34" s="14">
        <f>SUM(M26:M33)</f>
        <v>28.599669698117175</v>
      </c>
    </row>
    <row r="35" spans="1:13" x14ac:dyDescent="0.3">
      <c r="D35" s="64" t="s">
        <v>65</v>
      </c>
      <c r="E35" s="64"/>
      <c r="F35" s="33">
        <f>SUM(E30,E27)</f>
        <v>139822.22222222225</v>
      </c>
    </row>
    <row r="36" spans="1:13" ht="18" x14ac:dyDescent="0.3">
      <c r="D36" s="64" t="s">
        <v>61</v>
      </c>
      <c r="E36" s="64"/>
      <c r="F36" s="33">
        <f>SUM(E31,E28)</f>
        <v>16930.041152263373</v>
      </c>
      <c r="H36" s="16" t="s">
        <v>40</v>
      </c>
      <c r="I36" s="17">
        <f>2*(SQRT(L34/M34))*PI()</f>
        <v>1.0104626621413018</v>
      </c>
    </row>
    <row r="37" spans="1:13" ht="31.8" customHeight="1" x14ac:dyDescent="0.3">
      <c r="A37" s="68" t="s">
        <v>41</v>
      </c>
      <c r="B37" s="68"/>
      <c r="D37" s="64" t="s">
        <v>62</v>
      </c>
      <c r="E37" s="64"/>
      <c r="F37" s="33">
        <f>SUM(E32,E29)</f>
        <v>24928.240740740745</v>
      </c>
    </row>
    <row r="38" spans="1:13" ht="18" x14ac:dyDescent="0.35">
      <c r="A38" s="18" t="s">
        <v>42</v>
      </c>
      <c r="B38" s="18">
        <f>2.5*(0.6/I36)^0.8</f>
        <v>1.6475734795317321</v>
      </c>
    </row>
    <row r="39" spans="1:13" ht="16.2" customHeight="1" x14ac:dyDescent="0.35">
      <c r="A39" s="18" t="s">
        <v>44</v>
      </c>
      <c r="B39" s="18">
        <v>0.4</v>
      </c>
    </row>
    <row r="40" spans="1:13" ht="16.2" customHeight="1" x14ac:dyDescent="0.35">
      <c r="A40" s="18" t="s">
        <v>45</v>
      </c>
      <c r="B40" s="18">
        <v>1.5</v>
      </c>
    </row>
    <row r="41" spans="1:13" ht="18" x14ac:dyDescent="0.35">
      <c r="A41" s="18" t="s">
        <v>43</v>
      </c>
      <c r="B41" s="18">
        <f>B39*B40*B38</f>
        <v>0.98854408771903934</v>
      </c>
    </row>
    <row r="42" spans="1:13" ht="18" x14ac:dyDescent="0.35">
      <c r="A42" s="18" t="s">
        <v>46</v>
      </c>
      <c r="B42" s="18">
        <v>8</v>
      </c>
    </row>
    <row r="43" spans="1:13" ht="18" x14ac:dyDescent="0.35">
      <c r="A43" s="18" t="s">
        <v>47</v>
      </c>
      <c r="B43" s="19">
        <f>E4*B41/B42</f>
        <v>886.55722986917567</v>
      </c>
    </row>
    <row r="45" spans="1:13" ht="18" x14ac:dyDescent="0.35">
      <c r="A45" s="62" t="s">
        <v>48</v>
      </c>
      <c r="B45" s="62"/>
      <c r="C45" s="62"/>
      <c r="D45" s="62"/>
      <c r="E45" s="62"/>
      <c r="F45" s="62"/>
      <c r="G45" s="62"/>
      <c r="H45" s="62"/>
      <c r="I45" s="62"/>
    </row>
    <row r="46" spans="1:13" ht="18" x14ac:dyDescent="0.3">
      <c r="A46" s="16" t="s">
        <v>40</v>
      </c>
      <c r="B46" s="17" t="e">
        <f>2*(SQRT(E44/F44))*PI()</f>
        <v>#DIV/0!</v>
      </c>
    </row>
    <row r="47" spans="1:13" x14ac:dyDescent="0.3">
      <c r="A47" s="21" t="s">
        <v>24</v>
      </c>
      <c r="B47" s="20">
        <v>886.55722986917567</v>
      </c>
    </row>
    <row r="48" spans="1:13" x14ac:dyDescent="0.3">
      <c r="A48" s="21" t="s">
        <v>25</v>
      </c>
      <c r="B48" s="23">
        <f>0.0075*B49*B47</f>
        <v>19.947537672056452</v>
      </c>
    </row>
    <row r="49" spans="1:7" x14ac:dyDescent="0.3">
      <c r="A49" s="22" t="s">
        <v>26</v>
      </c>
      <c r="B49" s="20">
        <v>3</v>
      </c>
    </row>
    <row r="50" spans="1:7" x14ac:dyDescent="0.3">
      <c r="A50" s="25" t="s">
        <v>33</v>
      </c>
      <c r="B50" s="24">
        <f>B47-B48</f>
        <v>866.60969219711922</v>
      </c>
    </row>
    <row r="52" spans="1:7" x14ac:dyDescent="0.3">
      <c r="A52" s="14" t="s">
        <v>27</v>
      </c>
      <c r="B52" s="14" t="s">
        <v>28</v>
      </c>
      <c r="C52" s="14" t="s">
        <v>29</v>
      </c>
      <c r="D52" s="14" t="s">
        <v>30</v>
      </c>
      <c r="E52" s="14" t="s">
        <v>31</v>
      </c>
      <c r="F52" s="15" t="s">
        <v>35</v>
      </c>
      <c r="G52" s="15" t="s">
        <v>49</v>
      </c>
    </row>
    <row r="53" spans="1:7" x14ac:dyDescent="0.3">
      <c r="A53" s="14">
        <v>1</v>
      </c>
      <c r="B53" s="14">
        <v>2466.6</v>
      </c>
      <c r="C53" s="14">
        <v>3</v>
      </c>
      <c r="D53" s="14">
        <v>7399.7999999999993</v>
      </c>
      <c r="E53" s="14">
        <f>$B$50*(D53/$D$56)</f>
        <v>129.72185735212875</v>
      </c>
      <c r="F53">
        <v>7.1519389701207867E-3</v>
      </c>
    </row>
    <row r="54" spans="1:7" x14ac:dyDescent="0.3">
      <c r="A54" s="14">
        <v>2</v>
      </c>
      <c r="B54" s="14">
        <v>2466.6</v>
      </c>
      <c r="C54" s="14">
        <v>7.5</v>
      </c>
      <c r="D54" s="14">
        <v>18499.5</v>
      </c>
      <c r="E54" s="14">
        <f t="shared" ref="E54:E55" si="9">$B$50*(D54/$D$56)</f>
        <v>324.30464338032186</v>
      </c>
      <c r="F54">
        <v>5.0423923133594319E-2</v>
      </c>
    </row>
    <row r="55" spans="1:7" x14ac:dyDescent="0.3">
      <c r="A55" s="14">
        <v>3</v>
      </c>
      <c r="B55" s="14">
        <v>2241.4500000000003</v>
      </c>
      <c r="C55" s="14">
        <v>10.5</v>
      </c>
      <c r="D55" s="14">
        <v>23535.225000000002</v>
      </c>
      <c r="E55" s="14">
        <f t="shared" si="9"/>
        <v>412.58319146466863</v>
      </c>
      <c r="F55">
        <v>1.9571249855139666E-2</v>
      </c>
    </row>
    <row r="56" spans="1:7" x14ac:dyDescent="0.3">
      <c r="A56" s="14"/>
      <c r="B56" s="14"/>
      <c r="C56" s="14" t="s">
        <v>32</v>
      </c>
      <c r="D56" s="14">
        <f>SUM(D53:D55)</f>
        <v>49434.525000000001</v>
      </c>
      <c r="E56" s="14">
        <f>SUM(E53:E55)</f>
        <v>866.60969219711922</v>
      </c>
    </row>
  </sheetData>
  <mergeCells count="9">
    <mergeCell ref="A45:I45"/>
    <mergeCell ref="A1:B1"/>
    <mergeCell ref="D35:E35"/>
    <mergeCell ref="D1:E1"/>
    <mergeCell ref="H34:K34"/>
    <mergeCell ref="A37:B37"/>
    <mergeCell ref="H1:I1"/>
    <mergeCell ref="D36:E36"/>
    <mergeCell ref="D37:E3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53C41-6EC7-4556-9669-FA6AC505F56D}">
  <dimension ref="A1:K37"/>
  <sheetViews>
    <sheetView zoomScale="70" zoomScaleNormal="70" workbookViewId="0">
      <selection activeCell="D9" sqref="D9"/>
    </sheetView>
  </sheetViews>
  <sheetFormatPr defaultRowHeight="14.4" x14ac:dyDescent="0.3"/>
  <cols>
    <col min="1" max="1" width="23.44140625" style="31" customWidth="1"/>
    <col min="2" max="2" width="16.109375" style="31" customWidth="1"/>
    <col min="3" max="5" width="8.88671875" style="31"/>
    <col min="6" max="6" width="15.5546875" style="31" customWidth="1"/>
    <col min="7" max="7" width="11.88671875" style="31" bestFit="1" customWidth="1"/>
    <col min="8" max="8" width="8.88671875" style="31"/>
    <col min="9" max="9" width="14.6640625" style="31" customWidth="1"/>
    <col min="10" max="10" width="13.21875" style="31" customWidth="1"/>
    <col min="11" max="16384" width="8.88671875" style="31"/>
  </cols>
  <sheetData>
    <row r="1" spans="1:11" ht="18" x14ac:dyDescent="0.3">
      <c r="A1" s="16" t="s">
        <v>40</v>
      </c>
      <c r="B1" s="36">
        <v>0.81499999999999995</v>
      </c>
      <c r="G1" s="34" t="s">
        <v>66</v>
      </c>
      <c r="H1" s="34" t="s">
        <v>67</v>
      </c>
      <c r="I1" s="34" t="s">
        <v>68</v>
      </c>
      <c r="J1" s="34" t="s">
        <v>69</v>
      </c>
      <c r="K1" s="34"/>
    </row>
    <row r="2" spans="1:11" ht="18" customHeight="1" x14ac:dyDescent="0.3">
      <c r="A2" s="68" t="s">
        <v>41</v>
      </c>
      <c r="B2" s="68"/>
      <c r="G2" s="35">
        <v>-43.317999999999998</v>
      </c>
      <c r="H2" s="35">
        <v>-113.214</v>
      </c>
      <c r="I2" s="35">
        <v>-189.59100000000001</v>
      </c>
      <c r="J2" s="35">
        <v>-257.48899999999998</v>
      </c>
      <c r="K2" s="34"/>
    </row>
    <row r="3" spans="1:11" ht="18" x14ac:dyDescent="0.35">
      <c r="A3" s="18" t="s">
        <v>42</v>
      </c>
      <c r="B3" s="37">
        <f>2.5*(0.4/0.815)^0.8</f>
        <v>1.4146920557533751</v>
      </c>
      <c r="G3" s="35">
        <v>-106.673</v>
      </c>
      <c r="H3" s="35">
        <v>-249.304</v>
      </c>
      <c r="I3" s="35">
        <v>-389.01600000000002</v>
      </c>
      <c r="J3" s="35">
        <v>-532.10900000000004</v>
      </c>
      <c r="K3" s="34"/>
    </row>
    <row r="4" spans="1:11" ht="18" x14ac:dyDescent="0.35">
      <c r="A4" s="18" t="s">
        <v>44</v>
      </c>
      <c r="B4" s="18">
        <v>0.3</v>
      </c>
      <c r="G4" s="35">
        <v>-44.122999999999998</v>
      </c>
      <c r="H4" s="35">
        <v>-114.95099999999999</v>
      </c>
      <c r="I4" s="35">
        <v>-185.14400000000001</v>
      </c>
      <c r="J4" s="35">
        <v>-265.24700000000001</v>
      </c>
      <c r="K4" s="34"/>
    </row>
    <row r="5" spans="1:11" ht="18" x14ac:dyDescent="0.35">
      <c r="A5" s="18" t="s">
        <v>45</v>
      </c>
      <c r="B5" s="18">
        <v>1</v>
      </c>
      <c r="G5" s="35">
        <v>-43.317999999999998</v>
      </c>
      <c r="H5" s="35">
        <v>-113.214</v>
      </c>
      <c r="I5" s="35">
        <v>-189.59100000000001</v>
      </c>
      <c r="J5" s="35">
        <v>-257.48899999999998</v>
      </c>
      <c r="K5" s="34"/>
    </row>
    <row r="6" spans="1:11" ht="18" x14ac:dyDescent="0.35">
      <c r="A6" s="18" t="s">
        <v>43</v>
      </c>
      <c r="B6" s="18">
        <f>B4*B5*B3</f>
        <v>0.42440761672601252</v>
      </c>
      <c r="G6" s="35">
        <v>-106.673</v>
      </c>
      <c r="H6" s="35">
        <v>-249.304</v>
      </c>
      <c r="I6" s="35">
        <v>-389.01600000000002</v>
      </c>
      <c r="J6" s="35">
        <v>-532.10900000000004</v>
      </c>
      <c r="K6" s="34"/>
    </row>
    <row r="7" spans="1:11" ht="18" x14ac:dyDescent="0.35">
      <c r="A7" s="18" t="s">
        <v>46</v>
      </c>
      <c r="B7" s="18">
        <v>8</v>
      </c>
      <c r="G7" s="35">
        <v>-44.122999999999998</v>
      </c>
      <c r="H7" s="35">
        <v>-114.95099999999999</v>
      </c>
      <c r="I7" s="35">
        <v>-185.14400000000001</v>
      </c>
      <c r="J7" s="35">
        <v>-265.24700000000001</v>
      </c>
      <c r="K7" s="34"/>
    </row>
    <row r="8" spans="1:11" ht="18" x14ac:dyDescent="0.35">
      <c r="A8" s="18" t="s">
        <v>47</v>
      </c>
      <c r="B8" s="19">
        <f>B22*B6/B7</f>
        <v>206.92852778900613</v>
      </c>
      <c r="D8" s="31">
        <f>687+(3*4.8*4.8)*2*0.3</f>
        <v>728.47199999999998</v>
      </c>
      <c r="E8" s="31" t="s">
        <v>92</v>
      </c>
      <c r="G8" s="35">
        <v>-102.346</v>
      </c>
      <c r="H8" s="35">
        <v>-231.904</v>
      </c>
      <c r="I8" s="35">
        <v>-360.22199999999998</v>
      </c>
      <c r="J8" s="35">
        <v>-492.72</v>
      </c>
      <c r="K8" s="34"/>
    </row>
    <row r="9" spans="1:11" x14ac:dyDescent="0.3">
      <c r="D9" s="31">
        <f>485+(3*4.8*4.8*1.5*0.3)</f>
        <v>516.10400000000004</v>
      </c>
      <c r="E9" s="31" t="s">
        <v>93</v>
      </c>
      <c r="G9" s="35">
        <v>-203.553</v>
      </c>
      <c r="H9" s="35">
        <v>-399.45600000000002</v>
      </c>
      <c r="I9" s="35">
        <v>-599.05100000000004</v>
      </c>
      <c r="J9" s="35">
        <v>-812.03</v>
      </c>
      <c r="K9" s="34"/>
    </row>
    <row r="10" spans="1:11" x14ac:dyDescent="0.3">
      <c r="G10" s="35">
        <v>-101.06100000000001</v>
      </c>
      <c r="H10" s="35">
        <v>-229.07599999999999</v>
      </c>
      <c r="I10" s="35">
        <v>-355.16300000000001</v>
      </c>
      <c r="J10" s="35">
        <v>-486.12200000000001</v>
      </c>
      <c r="K10" s="34"/>
    </row>
    <row r="11" spans="1:11" x14ac:dyDescent="0.3">
      <c r="A11" s="21" t="s">
        <v>24</v>
      </c>
      <c r="B11" s="20">
        <v>206.92852778900613</v>
      </c>
      <c r="D11" s="31">
        <f>(D8/9.81)/(0.12*3*4.8*4.8)</f>
        <v>8.9527999584701927</v>
      </c>
      <c r="F11" s="32"/>
      <c r="G11" s="38"/>
      <c r="H11" s="38"/>
      <c r="I11" s="34"/>
      <c r="J11" s="34"/>
    </row>
    <row r="12" spans="1:11" x14ac:dyDescent="0.3">
      <c r="A12" s="21" t="s">
        <v>63</v>
      </c>
      <c r="B12" s="23">
        <f>0.0075*B13*B11</f>
        <v>6.2078558336701839</v>
      </c>
      <c r="C12"/>
      <c r="D12" s="31">
        <f>(D9/9.81)/(0.12*3*4.8*4.8)</f>
        <v>6.3428324901524018</v>
      </c>
      <c r="E12"/>
      <c r="F12" s="32"/>
      <c r="G12" s="38">
        <f>SUM(G2:G10)</f>
        <v>-795.18799999999999</v>
      </c>
      <c r="H12" s="38">
        <f>SUM(H2:H10)</f>
        <v>-1815.3740000000003</v>
      </c>
      <c r="I12" s="34">
        <f>SUM(I2:I10)</f>
        <v>-2841.9380000000001</v>
      </c>
      <c r="J12" s="34">
        <f>SUM(J2:J10)</f>
        <v>-3900.5619999999994</v>
      </c>
    </row>
    <row r="13" spans="1:11" x14ac:dyDescent="0.3">
      <c r="A13" s="22" t="s">
        <v>26</v>
      </c>
      <c r="B13" s="20">
        <v>4</v>
      </c>
      <c r="C13"/>
      <c r="D13"/>
      <c r="E13"/>
      <c r="F13" s="32"/>
      <c r="G13" s="38" t="s">
        <v>70</v>
      </c>
      <c r="H13" s="38" t="s">
        <v>62</v>
      </c>
      <c r="I13" s="34" t="s">
        <v>61</v>
      </c>
      <c r="J13" s="34" t="s">
        <v>65</v>
      </c>
    </row>
    <row r="14" spans="1:11" x14ac:dyDescent="0.3">
      <c r="A14" s="25" t="s">
        <v>64</v>
      </c>
      <c r="B14" s="24">
        <f>B11-B12</f>
        <v>200.72067195533594</v>
      </c>
      <c r="C14"/>
      <c r="D14"/>
      <c r="E14"/>
      <c r="F14" s="32"/>
      <c r="G14" s="38"/>
      <c r="H14" s="38"/>
      <c r="I14" s="34"/>
      <c r="J14" s="34"/>
    </row>
    <row r="15" spans="1:11" x14ac:dyDescent="0.3">
      <c r="C15"/>
      <c r="D15"/>
      <c r="E15"/>
      <c r="F15" s="32"/>
      <c r="G15" s="38">
        <v>-795.18799999999999</v>
      </c>
      <c r="H15" s="38">
        <f>H12-G12</f>
        <v>-1020.1860000000003</v>
      </c>
      <c r="I15" s="34">
        <f>I12-H12</f>
        <v>-1026.5639999999999</v>
      </c>
      <c r="J15" s="34">
        <f>J12-I12</f>
        <v>-1058.6239999999993</v>
      </c>
    </row>
    <row r="16" spans="1:11" x14ac:dyDescent="0.3">
      <c r="C16"/>
      <c r="D16"/>
      <c r="E16"/>
      <c r="F16" s="32"/>
      <c r="G16" s="32"/>
      <c r="H16" s="32"/>
    </row>
    <row r="17" spans="1:8" x14ac:dyDescent="0.3">
      <c r="A17" s="28" t="s">
        <v>27</v>
      </c>
      <c r="B17" s="28" t="s">
        <v>28</v>
      </c>
      <c r="C17" s="28" t="s">
        <v>29</v>
      </c>
      <c r="D17" s="28" t="s">
        <v>30</v>
      </c>
      <c r="E17" s="28" t="s">
        <v>31</v>
      </c>
      <c r="F17" s="28" t="s">
        <v>71</v>
      </c>
      <c r="G17" s="28" t="s">
        <v>72</v>
      </c>
      <c r="H17" s="32"/>
    </row>
    <row r="18" spans="1:8" x14ac:dyDescent="0.3">
      <c r="A18" s="28">
        <v>1</v>
      </c>
      <c r="B18" s="28">
        <v>1058.624</v>
      </c>
      <c r="C18" s="28">
        <v>4</v>
      </c>
      <c r="D18" s="28">
        <f>B18*C18</f>
        <v>4234.4960000000001</v>
      </c>
      <c r="E18" s="28">
        <f>$B$14*(D18/$D$22)</f>
        <v>26.594417531458081</v>
      </c>
      <c r="F18" s="39">
        <f>E18*0.05*7</f>
        <v>9.3080461360103293</v>
      </c>
      <c r="G18" s="39">
        <f>E18*0.05*10</f>
        <v>13.297208765729041</v>
      </c>
      <c r="H18" s="32"/>
    </row>
    <row r="19" spans="1:8" x14ac:dyDescent="0.3">
      <c r="A19" s="28">
        <v>2</v>
      </c>
      <c r="B19" s="28">
        <v>1026.5640000000001</v>
      </c>
      <c r="C19" s="28">
        <v>7</v>
      </c>
      <c r="D19" s="28">
        <f t="shared" ref="D19:D21" si="0">B19*C19</f>
        <v>7185.9480000000003</v>
      </c>
      <c r="E19" s="28">
        <f>$B$14*(D19/$D$22)</f>
        <v>45.130778603013468</v>
      </c>
      <c r="F19" s="39">
        <f t="shared" ref="F19:F21" si="1">E19*0.05*7</f>
        <v>15.795772511054713</v>
      </c>
      <c r="G19" s="39">
        <f t="shared" ref="G19:G21" si="2">E19*0.05*10</f>
        <v>22.565389301506734</v>
      </c>
      <c r="H19" s="32"/>
    </row>
    <row r="20" spans="1:8" x14ac:dyDescent="0.3">
      <c r="A20" s="28">
        <v>3</v>
      </c>
      <c r="B20" s="28">
        <v>1020.186</v>
      </c>
      <c r="C20" s="28">
        <v>10</v>
      </c>
      <c r="D20" s="28">
        <f t="shared" si="0"/>
        <v>10201.86</v>
      </c>
      <c r="E20" s="28">
        <f>$B$14*(D20/$D$22)</f>
        <v>64.071975611142605</v>
      </c>
      <c r="F20" s="39">
        <f t="shared" si="1"/>
        <v>22.425191463899914</v>
      </c>
      <c r="G20" s="39">
        <f t="shared" si="2"/>
        <v>32.035987805571303</v>
      </c>
      <c r="H20" s="32"/>
    </row>
    <row r="21" spans="1:8" x14ac:dyDescent="0.3">
      <c r="A21" s="28">
        <v>4</v>
      </c>
      <c r="B21" s="28">
        <v>795.18799999999999</v>
      </c>
      <c r="C21" s="28">
        <v>13</v>
      </c>
      <c r="D21" s="28">
        <f t="shared" si="0"/>
        <v>10337.444</v>
      </c>
      <c r="E21" s="28">
        <f>$B$14*(D21/$D$22)</f>
        <v>64.923500209721794</v>
      </c>
      <c r="F21" s="39">
        <f t="shared" si="1"/>
        <v>22.723225073402627</v>
      </c>
      <c r="G21" s="39">
        <f t="shared" si="2"/>
        <v>32.461750104860897</v>
      </c>
      <c r="H21" s="32"/>
    </row>
    <row r="22" spans="1:8" x14ac:dyDescent="0.3">
      <c r="A22" s="28" t="s">
        <v>32</v>
      </c>
      <c r="B22" s="28">
        <f>SUM(B18:B21)</f>
        <v>3900.5620000000004</v>
      </c>
      <c r="C22" s="28" t="s">
        <v>32</v>
      </c>
      <c r="D22" s="28">
        <f>SUM(D18:D21)</f>
        <v>31959.748</v>
      </c>
      <c r="E22" s="28">
        <f>SUM(E18:E21)</f>
        <v>200.72067195533594</v>
      </c>
      <c r="F22" s="28"/>
      <c r="G22" s="28"/>
    </row>
    <row r="23" spans="1:8" x14ac:dyDescent="0.3">
      <c r="F23" s="32"/>
    </row>
    <row r="24" spans="1:8" x14ac:dyDescent="0.3">
      <c r="F24" s="32"/>
    </row>
    <row r="25" spans="1:8" x14ac:dyDescent="0.3">
      <c r="F25" s="32"/>
    </row>
    <row r="26" spans="1:8" x14ac:dyDescent="0.3">
      <c r="A26" s="31" t="s">
        <v>73</v>
      </c>
      <c r="B26" s="31">
        <f>0.4*9.81*1/8</f>
        <v>0.49050000000000005</v>
      </c>
      <c r="F26" s="32"/>
    </row>
    <row r="29" spans="1:8" x14ac:dyDescent="0.3">
      <c r="A29" s="31">
        <f>2*D8+D9</f>
        <v>1973.048</v>
      </c>
    </row>
    <row r="36" spans="6:6" x14ac:dyDescent="0.3">
      <c r="F36" s="32"/>
    </row>
    <row r="37" spans="6:6" x14ac:dyDescent="0.3">
      <c r="F37" s="32"/>
    </row>
  </sheetData>
  <mergeCells count="1">
    <mergeCell ref="A2:B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C84C0-6493-4290-B526-82150559CA7E}">
  <dimension ref="A1:M31"/>
  <sheetViews>
    <sheetView topLeftCell="D1" zoomScale="70" zoomScaleNormal="70" workbookViewId="0">
      <selection activeCell="I14" sqref="I14"/>
    </sheetView>
  </sheetViews>
  <sheetFormatPr defaultRowHeight="14.4" x14ac:dyDescent="0.3"/>
  <cols>
    <col min="1" max="1" width="12.109375" customWidth="1"/>
    <col min="2" max="2" width="10.6640625" customWidth="1"/>
    <col min="3" max="3" width="11" customWidth="1"/>
    <col min="4" max="4" width="13.33203125" customWidth="1"/>
    <col min="6" max="6" width="12.21875" customWidth="1"/>
    <col min="7" max="7" width="12" customWidth="1"/>
    <col min="9" max="9" width="10.77734375" customWidth="1"/>
    <col min="10" max="10" width="13" customWidth="1"/>
    <col min="11" max="11" width="11.5546875" bestFit="1" customWidth="1"/>
  </cols>
  <sheetData>
    <row r="1" spans="1:13" x14ac:dyDescent="0.3">
      <c r="A1" s="46" t="s">
        <v>74</v>
      </c>
      <c r="B1" s="50">
        <v>0.72</v>
      </c>
      <c r="C1" s="46" t="s">
        <v>81</v>
      </c>
      <c r="D1" s="52">
        <f>0.2*(B4/B3)</f>
        <v>5.4674220963172808E-2</v>
      </c>
      <c r="F1" s="21" t="s">
        <v>24</v>
      </c>
      <c r="G1" s="20">
        <v>91.435793923611087</v>
      </c>
      <c r="I1" s="21" t="s">
        <v>24</v>
      </c>
      <c r="J1" s="20">
        <v>101.28272557692306</v>
      </c>
    </row>
    <row r="2" spans="1:13" x14ac:dyDescent="0.3">
      <c r="A2" s="46" t="s">
        <v>75</v>
      </c>
      <c r="B2" s="50">
        <v>0.65</v>
      </c>
      <c r="C2" s="46" t="s">
        <v>82</v>
      </c>
      <c r="D2" s="52">
        <f>B4/B3</f>
        <v>0.27337110481586402</v>
      </c>
      <c r="F2" s="21" t="s">
        <v>63</v>
      </c>
      <c r="G2" s="23">
        <f>0.0075*G3*G1</f>
        <v>2.7430738177083325</v>
      </c>
      <c r="I2" s="21" t="s">
        <v>63</v>
      </c>
      <c r="J2" s="23">
        <f>0.0075*J3*J1</f>
        <v>3.0384817673076916</v>
      </c>
    </row>
    <row r="3" spans="1:13" ht="28.8" x14ac:dyDescent="0.4">
      <c r="A3" s="46" t="s">
        <v>76</v>
      </c>
      <c r="B3" s="50">
        <v>0.70599999999999996</v>
      </c>
      <c r="C3" s="47" t="s">
        <v>87</v>
      </c>
      <c r="D3" s="49">
        <f>B4/B2</f>
        <v>0.2969230769230769</v>
      </c>
      <c r="F3" s="22" t="s">
        <v>26</v>
      </c>
      <c r="G3" s="20">
        <v>4</v>
      </c>
      <c r="I3" s="22" t="s">
        <v>26</v>
      </c>
      <c r="J3" s="20">
        <v>4</v>
      </c>
    </row>
    <row r="4" spans="1:13" ht="15.6" x14ac:dyDescent="0.3">
      <c r="A4" s="46" t="s">
        <v>77</v>
      </c>
      <c r="B4" s="50">
        <v>0.193</v>
      </c>
      <c r="C4" s="47" t="s">
        <v>83</v>
      </c>
      <c r="D4" s="49">
        <v>8</v>
      </c>
      <c r="F4" s="25" t="s">
        <v>64</v>
      </c>
      <c r="G4" s="24">
        <f>G1-G2</f>
        <v>88.692720105902751</v>
      </c>
      <c r="I4" s="25" t="s">
        <v>64</v>
      </c>
      <c r="J4" s="24">
        <f>J1-J2</f>
        <v>98.244243809615369</v>
      </c>
    </row>
    <row r="5" spans="1:13" x14ac:dyDescent="0.3">
      <c r="A5" s="46" t="s">
        <v>78</v>
      </c>
      <c r="B5" s="50">
        <v>1</v>
      </c>
      <c r="C5" s="46" t="s">
        <v>84</v>
      </c>
      <c r="D5" s="49">
        <v>3</v>
      </c>
    </row>
    <row r="6" spans="1:13" ht="18" x14ac:dyDescent="0.4">
      <c r="A6" s="46" t="s">
        <v>79</v>
      </c>
      <c r="B6" s="50">
        <v>2</v>
      </c>
      <c r="C6" s="47" t="s">
        <v>88</v>
      </c>
      <c r="D6" s="53">
        <f>D3*9.81/D4</f>
        <v>0.36410192307692307</v>
      </c>
    </row>
    <row r="7" spans="1:13" ht="18" x14ac:dyDescent="0.35">
      <c r="A7" s="46" t="s">
        <v>80</v>
      </c>
      <c r="B7" s="50">
        <v>6</v>
      </c>
      <c r="C7" s="54" t="s">
        <v>85</v>
      </c>
      <c r="D7" s="55">
        <f>B9*D6</f>
        <v>101.28272557692306</v>
      </c>
      <c r="F7" s="30" t="s">
        <v>27</v>
      </c>
      <c r="G7" s="30" t="s">
        <v>28</v>
      </c>
      <c r="H7" s="30" t="s">
        <v>29</v>
      </c>
      <c r="I7" s="30" t="s">
        <v>30</v>
      </c>
      <c r="J7" s="30" t="s">
        <v>94</v>
      </c>
      <c r="K7" s="30" t="s">
        <v>95</v>
      </c>
      <c r="L7" s="30" t="s">
        <v>71</v>
      </c>
      <c r="M7" s="30" t="s">
        <v>72</v>
      </c>
    </row>
    <row r="8" spans="1:13" x14ac:dyDescent="0.3">
      <c r="A8" s="48" t="s">
        <v>89</v>
      </c>
      <c r="B8" s="50">
        <v>3</v>
      </c>
      <c r="D8" s="51"/>
      <c r="F8" s="30">
        <v>1</v>
      </c>
      <c r="G8" s="30">
        <v>-792.17700000000013</v>
      </c>
      <c r="H8" s="30">
        <v>2.9</v>
      </c>
      <c r="I8" s="30">
        <f>G8*H8</f>
        <v>-2297.3133000000003</v>
      </c>
      <c r="J8" s="39">
        <f>$G$4*I8/$I$12</f>
        <v>11.008621018553299</v>
      </c>
      <c r="K8" s="39">
        <f>$J$4*I8/$I$12</f>
        <v>12.194164820551348</v>
      </c>
      <c r="L8" s="39">
        <f>J8*0.05*7</f>
        <v>3.853017356493655</v>
      </c>
      <c r="M8" s="39">
        <f>K8*0.05*10</f>
        <v>6.0970824102756751</v>
      </c>
    </row>
    <row r="9" spans="1:13" x14ac:dyDescent="0.3">
      <c r="A9" s="48" t="s">
        <v>90</v>
      </c>
      <c r="B9" s="50">
        <f>B10/9.81</f>
        <v>278.1713557594291</v>
      </c>
      <c r="F9" s="30">
        <v>2</v>
      </c>
      <c r="G9" s="30">
        <v>-792.17900000000031</v>
      </c>
      <c r="H9" s="30">
        <f>H8+2.9</f>
        <v>5.8</v>
      </c>
      <c r="I9" s="30">
        <f t="shared" ref="I9:I11" si="0">G9*H9</f>
        <v>-4594.6382000000012</v>
      </c>
      <c r="J9" s="39">
        <f t="shared" ref="J9:J11" si="1">$G$4*I9/$I$12</f>
        <v>22.017297623779875</v>
      </c>
      <c r="K9" s="39">
        <f t="shared" ref="K9:K11" si="2">$J$4*I9/$I$12</f>
        <v>24.388391214033099</v>
      </c>
      <c r="L9" s="39">
        <f t="shared" ref="L9:L11" si="3">J9*0.05*7</f>
        <v>7.7060541683229573</v>
      </c>
      <c r="M9" s="39">
        <f t="shared" ref="M9:M11" si="4">K9*0.05*10</f>
        <v>12.194195607016551</v>
      </c>
    </row>
    <row r="10" spans="1:13" x14ac:dyDescent="0.3">
      <c r="A10" s="48" t="s">
        <v>91</v>
      </c>
      <c r="B10" s="50">
        <v>2728.8609999999999</v>
      </c>
      <c r="F10" s="30">
        <v>3</v>
      </c>
      <c r="G10" s="30">
        <v>-572.25399999999991</v>
      </c>
      <c r="H10" s="57">
        <f t="shared" ref="H10:H11" si="5">H9+2.9</f>
        <v>8.6999999999999993</v>
      </c>
      <c r="I10" s="30">
        <f t="shared" si="0"/>
        <v>-4978.6097999999984</v>
      </c>
      <c r="J10" s="39">
        <f t="shared" si="1"/>
        <v>23.85727209582403</v>
      </c>
      <c r="K10" s="39">
        <f t="shared" si="2"/>
        <v>26.426516783066617</v>
      </c>
      <c r="L10" s="39">
        <f t="shared" si="3"/>
        <v>8.3500452335384114</v>
      </c>
      <c r="M10" s="39">
        <f t="shared" si="4"/>
        <v>13.213258391533309</v>
      </c>
    </row>
    <row r="11" spans="1:13" x14ac:dyDescent="0.3">
      <c r="F11" s="30">
        <v>4</v>
      </c>
      <c r="G11" s="30">
        <v>-572.25099999999998</v>
      </c>
      <c r="H11" s="57">
        <f t="shared" si="5"/>
        <v>11.6</v>
      </c>
      <c r="I11" s="57">
        <f t="shared" si="0"/>
        <v>-6638.1115999999993</v>
      </c>
      <c r="J11" s="39">
        <f t="shared" si="1"/>
        <v>31.809529367745554</v>
      </c>
      <c r="K11" s="39">
        <f t="shared" si="2"/>
        <v>35.23517099196431</v>
      </c>
      <c r="L11" s="39">
        <f t="shared" si="3"/>
        <v>11.133335278710945</v>
      </c>
      <c r="M11" s="39">
        <f t="shared" si="4"/>
        <v>17.617585495982155</v>
      </c>
    </row>
    <row r="12" spans="1:13" x14ac:dyDescent="0.3">
      <c r="F12" s="30" t="s">
        <v>32</v>
      </c>
      <c r="G12" s="30">
        <f>SUM(G8:G11)</f>
        <v>-2728.8610000000008</v>
      </c>
      <c r="H12" s="30" t="s">
        <v>32</v>
      </c>
      <c r="I12" s="30">
        <f>SUM(I8:I11)</f>
        <v>-18508.672899999998</v>
      </c>
      <c r="J12" s="30">
        <f>SUM(J8:J11)</f>
        <v>88.692720105902765</v>
      </c>
      <c r="K12" s="30">
        <f>SUM(K8:K11)</f>
        <v>98.244243809615369</v>
      </c>
      <c r="L12" s="30"/>
      <c r="M12" s="30"/>
    </row>
    <row r="14" spans="1:13" x14ac:dyDescent="0.3">
      <c r="H14" s="40" t="s">
        <v>116</v>
      </c>
      <c r="I14" s="80">
        <f>(2/3)*B3</f>
        <v>0.47066666666666662</v>
      </c>
    </row>
    <row r="15" spans="1:13" ht="18" x14ac:dyDescent="0.3">
      <c r="A15" s="71" t="s">
        <v>86</v>
      </c>
      <c r="B15" s="71"/>
      <c r="C15" s="71"/>
      <c r="D15" s="71"/>
    </row>
    <row r="16" spans="1:13" x14ac:dyDescent="0.3">
      <c r="A16" s="40"/>
      <c r="B16" s="40"/>
      <c r="C16" s="40"/>
      <c r="D16" s="40"/>
      <c r="F16" t="s">
        <v>96</v>
      </c>
    </row>
    <row r="17" spans="1:7" x14ac:dyDescent="0.3">
      <c r="A17" s="43" t="s">
        <v>66</v>
      </c>
      <c r="B17" s="43" t="s">
        <v>67</v>
      </c>
      <c r="C17" s="43" t="s">
        <v>68</v>
      </c>
      <c r="D17" s="43" t="s">
        <v>69</v>
      </c>
      <c r="F17" s="56">
        <f>0.4*1*9.81/8</f>
        <v>0.49050000000000005</v>
      </c>
    </row>
    <row r="18" spans="1:7" x14ac:dyDescent="0.3">
      <c r="A18" s="76">
        <v>-30.103999999999999</v>
      </c>
      <c r="B18" s="77">
        <v>-63.777999999999999</v>
      </c>
      <c r="C18" s="78">
        <v>-121.419</v>
      </c>
      <c r="D18" s="79">
        <v>-178.41300000000001</v>
      </c>
    </row>
    <row r="19" spans="1:7" x14ac:dyDescent="0.3">
      <c r="A19" s="76">
        <v>-73.341999999999999</v>
      </c>
      <c r="B19" s="77">
        <v>-146.15199999999999</v>
      </c>
      <c r="C19" s="78">
        <v>-252.881</v>
      </c>
      <c r="D19" s="79">
        <v>-359.59899999999999</v>
      </c>
    </row>
    <row r="20" spans="1:7" x14ac:dyDescent="0.3">
      <c r="A20" s="76">
        <v>-37.872999999999998</v>
      </c>
      <c r="B20" s="77">
        <v>-78.221000000000004</v>
      </c>
      <c r="C20" s="78">
        <v>-138.99799999999999</v>
      </c>
      <c r="D20" s="79">
        <v>-197.13</v>
      </c>
      <c r="F20">
        <f>762.13*2</f>
        <v>1524.26</v>
      </c>
      <c r="G20">
        <f>457.13*2</f>
        <v>914.26</v>
      </c>
    </row>
    <row r="21" spans="1:7" x14ac:dyDescent="0.3">
      <c r="A21" s="76">
        <v>-30.103999999999999</v>
      </c>
      <c r="B21" s="77">
        <v>-63.777999999999999</v>
      </c>
      <c r="C21" s="78">
        <v>-121.419</v>
      </c>
      <c r="D21" s="79">
        <v>-178.41300000000001</v>
      </c>
    </row>
    <row r="22" spans="1:7" x14ac:dyDescent="0.3">
      <c r="A22" s="76">
        <v>-73.341999999999999</v>
      </c>
      <c r="B22" s="77">
        <v>-146.15199999999999</v>
      </c>
      <c r="C22" s="78">
        <v>-252.881</v>
      </c>
      <c r="D22" s="79">
        <v>-359.59899999999999</v>
      </c>
      <c r="F22">
        <f>F20+G20</f>
        <v>2438.52</v>
      </c>
    </row>
    <row r="23" spans="1:7" x14ac:dyDescent="0.3">
      <c r="A23" s="76">
        <v>-37.872999999999998</v>
      </c>
      <c r="B23" s="77">
        <v>-78.221000000000004</v>
      </c>
      <c r="C23" s="78">
        <v>-138.99799999999999</v>
      </c>
      <c r="D23" s="79">
        <v>-197.13</v>
      </c>
    </row>
    <row r="24" spans="1:7" x14ac:dyDescent="0.3">
      <c r="A24" s="76">
        <v>-73.941999999999993</v>
      </c>
      <c r="B24" s="77">
        <v>-147.86099999999999</v>
      </c>
      <c r="C24" s="78">
        <v>-246.63900000000001</v>
      </c>
      <c r="D24" s="79">
        <v>-344.67500000000001</v>
      </c>
    </row>
    <row r="25" spans="1:7" x14ac:dyDescent="0.3">
      <c r="A25" s="76">
        <v>-67.671999999999997</v>
      </c>
      <c r="B25" s="77">
        <v>-135.00299999999999</v>
      </c>
      <c r="C25" s="78">
        <v>-229.642</v>
      </c>
      <c r="D25" s="79">
        <v>-328.03800000000001</v>
      </c>
    </row>
    <row r="26" spans="1:7" x14ac:dyDescent="0.3">
      <c r="A26" s="76">
        <v>-147.999</v>
      </c>
      <c r="B26" s="77">
        <v>-285.339</v>
      </c>
      <c r="C26" s="78">
        <v>-433.80700000000002</v>
      </c>
      <c r="D26" s="79">
        <v>-585.86400000000003</v>
      </c>
    </row>
    <row r="27" spans="1:7" x14ac:dyDescent="0.3">
      <c r="A27" s="42"/>
      <c r="B27" s="42"/>
      <c r="C27" s="41"/>
      <c r="D27" s="41"/>
    </row>
    <row r="28" spans="1:7" x14ac:dyDescent="0.3">
      <c r="A28" s="42">
        <f>SUM(A18:A26)</f>
        <v>-572.25099999999998</v>
      </c>
      <c r="B28" s="42">
        <f>SUM(B18:B26)</f>
        <v>-1144.5049999999999</v>
      </c>
      <c r="C28" s="41">
        <f>SUM(C18:C26)</f>
        <v>-1936.6840000000002</v>
      </c>
      <c r="D28" s="41">
        <f>SUM(D18:D26)</f>
        <v>-2728.8610000000003</v>
      </c>
    </row>
    <row r="29" spans="1:7" x14ac:dyDescent="0.3">
      <c r="A29" s="42" t="s">
        <v>70</v>
      </c>
      <c r="B29" s="42" t="s">
        <v>62</v>
      </c>
      <c r="C29" s="41" t="s">
        <v>61</v>
      </c>
      <c r="D29" s="41" t="s">
        <v>65</v>
      </c>
    </row>
    <row r="30" spans="1:7" x14ac:dyDescent="0.3">
      <c r="A30" s="42"/>
      <c r="B30" s="42"/>
      <c r="C30" s="41"/>
      <c r="D30" s="41"/>
    </row>
    <row r="31" spans="1:7" ht="15.6" x14ac:dyDescent="0.3">
      <c r="A31" s="44">
        <v>-572.25099999999998</v>
      </c>
      <c r="B31" s="44">
        <f>B28-A28</f>
        <v>-572.25399999999991</v>
      </c>
      <c r="C31" s="45">
        <f>C28-B28</f>
        <v>-792.17900000000031</v>
      </c>
      <c r="D31" s="45">
        <f>D28-C28</f>
        <v>-792.17700000000013</v>
      </c>
    </row>
  </sheetData>
  <mergeCells count="1">
    <mergeCell ref="A15:D1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45543-74BC-4107-8789-69C2370F0008}">
  <dimension ref="A1:M36"/>
  <sheetViews>
    <sheetView tabSelected="1" zoomScale="70" zoomScaleNormal="70" workbookViewId="0">
      <selection activeCell="G21" sqref="G21"/>
    </sheetView>
  </sheetViews>
  <sheetFormatPr defaultRowHeight="14.4" x14ac:dyDescent="0.3"/>
  <cols>
    <col min="2" max="3" width="12.5546875" customWidth="1"/>
    <col min="5" max="5" width="12.33203125" customWidth="1"/>
    <col min="6" max="6" width="13.44140625" customWidth="1"/>
  </cols>
  <sheetData>
    <row r="1" spans="1:13" x14ac:dyDescent="0.3">
      <c r="A1" s="74" t="s">
        <v>97</v>
      </c>
      <c r="B1" s="74"/>
      <c r="C1" s="74"/>
      <c r="D1" s="74"/>
      <c r="E1" s="74"/>
      <c r="G1" s="74" t="s">
        <v>104</v>
      </c>
      <c r="H1" s="74"/>
      <c r="I1" s="74"/>
      <c r="J1" s="74"/>
      <c r="K1" s="74"/>
    </row>
    <row r="2" spans="1:13" x14ac:dyDescent="0.3">
      <c r="A2" s="59"/>
      <c r="B2" s="59"/>
      <c r="C2" s="59"/>
      <c r="D2" s="59"/>
      <c r="E2" s="59"/>
    </row>
    <row r="3" spans="1:13" x14ac:dyDescent="0.3">
      <c r="A3" s="73" t="s">
        <v>102</v>
      </c>
      <c r="B3" s="73"/>
      <c r="C3" s="73"/>
      <c r="D3" s="73"/>
      <c r="E3" s="73"/>
      <c r="G3" s="75" t="s">
        <v>102</v>
      </c>
      <c r="H3" s="75"/>
      <c r="I3" s="75"/>
      <c r="J3" s="75"/>
      <c r="K3" s="75"/>
      <c r="L3" s="75"/>
      <c r="M3" s="75"/>
    </row>
    <row r="4" spans="1:13" x14ac:dyDescent="0.3">
      <c r="A4" s="58" t="s">
        <v>27</v>
      </c>
      <c r="B4" s="58" t="s">
        <v>98</v>
      </c>
      <c r="C4" s="58" t="s">
        <v>99</v>
      </c>
      <c r="D4" s="58" t="s">
        <v>100</v>
      </c>
      <c r="E4" s="58" t="s">
        <v>101</v>
      </c>
      <c r="G4" s="58" t="s">
        <v>27</v>
      </c>
      <c r="H4" s="58" t="s">
        <v>105</v>
      </c>
      <c r="I4" s="58" t="s">
        <v>106</v>
      </c>
      <c r="J4" s="60" t="s">
        <v>107</v>
      </c>
      <c r="K4" s="60" t="s">
        <v>108</v>
      </c>
      <c r="L4" s="60" t="s">
        <v>109</v>
      </c>
      <c r="M4" s="58" t="s">
        <v>110</v>
      </c>
    </row>
    <row r="5" spans="1:13" x14ac:dyDescent="0.3">
      <c r="A5" s="58">
        <v>1</v>
      </c>
      <c r="B5" s="58">
        <v>1.1000000000000001E-3</v>
      </c>
      <c r="C5" s="58">
        <v>1.1999999999999999E-3</v>
      </c>
      <c r="D5" s="58">
        <f>ABS(C5+B5/2)</f>
        <v>1.7499999999999998E-3</v>
      </c>
      <c r="E5" s="58">
        <f>ABS(C5/D5)</f>
        <v>0.68571428571428572</v>
      </c>
      <c r="G5" s="58">
        <v>1</v>
      </c>
      <c r="H5" s="58">
        <v>1.1000000000000001E-3</v>
      </c>
      <c r="I5" s="58">
        <v>1.1999999999999999E-3</v>
      </c>
      <c r="J5" s="58">
        <v>1.1000000000000001E-3</v>
      </c>
      <c r="K5" s="58">
        <v>1.1999999999999999E-3</v>
      </c>
      <c r="L5" s="58">
        <f>(K5+J5)/2</f>
        <v>1.15E-3</v>
      </c>
      <c r="M5" s="58">
        <f>L5/L6</f>
        <v>0.76666666666666661</v>
      </c>
    </row>
    <row r="6" spans="1:13" x14ac:dyDescent="0.3">
      <c r="A6" s="58">
        <v>2</v>
      </c>
      <c r="B6">
        <v>2.5000000000000001E-3</v>
      </c>
      <c r="C6">
        <v>2.8E-3</v>
      </c>
      <c r="D6" s="58">
        <f t="shared" ref="D6:D8" si="0">ABS(C6+B6/2)</f>
        <v>4.0499999999999998E-3</v>
      </c>
      <c r="E6" s="58">
        <f t="shared" ref="E6:E8" si="1">ABS(C6/D6)</f>
        <v>0.6913580246913581</v>
      </c>
      <c r="G6" s="58">
        <v>2</v>
      </c>
      <c r="H6" s="58">
        <v>2.5000000000000001E-3</v>
      </c>
      <c r="I6" s="58">
        <v>2.8E-3</v>
      </c>
      <c r="J6" s="58">
        <f t="shared" ref="J6:K8" si="2">ABS(H6-H5)</f>
        <v>1.4E-3</v>
      </c>
      <c r="K6" s="58">
        <f t="shared" si="2"/>
        <v>1.6000000000000001E-3</v>
      </c>
      <c r="L6" s="58">
        <f t="shared" ref="L6:L8" si="3">(K6+J6)/2</f>
        <v>1.5E-3</v>
      </c>
      <c r="M6" s="58">
        <f>L6/L7</f>
        <v>1.3636363636363635</v>
      </c>
    </row>
    <row r="7" spans="1:13" x14ac:dyDescent="0.3">
      <c r="A7" s="58">
        <v>3</v>
      </c>
      <c r="B7" s="58">
        <v>3.7000000000000002E-3</v>
      </c>
      <c r="C7" s="58">
        <v>3.8E-3</v>
      </c>
      <c r="D7" s="58">
        <f t="shared" si="0"/>
        <v>5.6500000000000005E-3</v>
      </c>
      <c r="E7" s="58">
        <f t="shared" si="1"/>
        <v>0.67256637168141586</v>
      </c>
      <c r="G7" s="58">
        <v>3</v>
      </c>
      <c r="H7" s="58">
        <v>3.7000000000000002E-3</v>
      </c>
      <c r="I7" s="58">
        <v>3.8E-3</v>
      </c>
      <c r="J7" s="58">
        <f t="shared" si="2"/>
        <v>1.2000000000000001E-3</v>
      </c>
      <c r="K7" s="58">
        <f t="shared" si="2"/>
        <v>1E-3</v>
      </c>
      <c r="L7" s="58">
        <f t="shared" si="3"/>
        <v>1.1000000000000001E-3</v>
      </c>
      <c r="M7" s="58">
        <f>L7/L8</f>
        <v>1.5714285714285718</v>
      </c>
    </row>
    <row r="8" spans="1:13" x14ac:dyDescent="0.3">
      <c r="A8" s="58">
        <v>4</v>
      </c>
      <c r="B8" s="58">
        <v>4.4000000000000003E-3</v>
      </c>
      <c r="C8" s="58">
        <v>4.4999999999999997E-3</v>
      </c>
      <c r="D8" s="58">
        <f t="shared" si="0"/>
        <v>6.6999999999999994E-3</v>
      </c>
      <c r="E8" s="58">
        <f t="shared" si="1"/>
        <v>0.67164179104477617</v>
      </c>
      <c r="G8" s="58">
        <v>4</v>
      </c>
      <c r="H8" s="58">
        <v>4.4000000000000003E-3</v>
      </c>
      <c r="I8" s="58">
        <v>4.4999999999999997E-3</v>
      </c>
      <c r="J8" s="58">
        <f t="shared" si="2"/>
        <v>7.000000000000001E-4</v>
      </c>
      <c r="K8" s="58">
        <f t="shared" si="2"/>
        <v>6.9999999999999967E-4</v>
      </c>
      <c r="L8" s="58">
        <f t="shared" si="3"/>
        <v>6.9999999999999988E-4</v>
      </c>
      <c r="M8" s="58" t="s">
        <v>111</v>
      </c>
    </row>
    <row r="11" spans="1:13" x14ac:dyDescent="0.3">
      <c r="A11" s="73" t="s">
        <v>103</v>
      </c>
      <c r="B11" s="73"/>
      <c r="C11" s="73"/>
      <c r="D11" s="73"/>
      <c r="E11" s="73"/>
      <c r="G11" s="75" t="s">
        <v>103</v>
      </c>
      <c r="H11" s="75"/>
      <c r="I11" s="75"/>
      <c r="J11" s="75"/>
      <c r="K11" s="75"/>
      <c r="L11" s="75"/>
      <c r="M11" s="75"/>
    </row>
    <row r="12" spans="1:13" x14ac:dyDescent="0.3">
      <c r="A12" s="58" t="s">
        <v>27</v>
      </c>
      <c r="B12" s="58" t="s">
        <v>98</v>
      </c>
      <c r="C12" s="58" t="s">
        <v>99</v>
      </c>
      <c r="D12" s="58" t="s">
        <v>100</v>
      </c>
      <c r="E12" s="58" t="s">
        <v>101</v>
      </c>
      <c r="G12" s="58" t="s">
        <v>27</v>
      </c>
      <c r="H12" s="58" t="s">
        <v>105</v>
      </c>
      <c r="I12" s="58" t="s">
        <v>106</v>
      </c>
      <c r="J12" s="60" t="s">
        <v>107</v>
      </c>
      <c r="K12" s="60" t="s">
        <v>108</v>
      </c>
      <c r="L12" s="60" t="s">
        <v>109</v>
      </c>
      <c r="M12" s="58" t="s">
        <v>110</v>
      </c>
    </row>
    <row r="13" spans="1:13" x14ac:dyDescent="0.3">
      <c r="A13" s="58">
        <v>1</v>
      </c>
      <c r="B13">
        <v>3.2000000000000002E-3</v>
      </c>
      <c r="C13">
        <v>3.2000000000000002E-3</v>
      </c>
      <c r="D13" s="58">
        <f>ABS(C13+B13/2)</f>
        <v>4.8000000000000004E-3</v>
      </c>
      <c r="E13" s="58">
        <f>C13/D13</f>
        <v>0.66666666666666663</v>
      </c>
      <c r="G13" s="58">
        <v>1</v>
      </c>
      <c r="H13" s="58">
        <v>3.2000000000000002E-3</v>
      </c>
      <c r="I13" s="58">
        <v>3.2000000000000002E-3</v>
      </c>
      <c r="J13" s="58">
        <v>8.9999999999999998E-4</v>
      </c>
      <c r="K13" s="58">
        <v>1E-3</v>
      </c>
      <c r="L13" s="58">
        <f>K13+J13/2</f>
        <v>1.4499999999999999E-3</v>
      </c>
      <c r="M13" s="58">
        <f>L13/L14</f>
        <v>0.44615384615384607</v>
      </c>
    </row>
    <row r="14" spans="1:13" x14ac:dyDescent="0.3">
      <c r="A14" s="58">
        <v>2</v>
      </c>
      <c r="B14" s="58">
        <v>5.3E-3</v>
      </c>
      <c r="C14" s="58">
        <v>5.4000000000000003E-3</v>
      </c>
      <c r="D14" s="58">
        <f>C14+B14/2</f>
        <v>8.0499999999999999E-3</v>
      </c>
      <c r="E14" s="58">
        <f>C14/D14</f>
        <v>0.67080745341614911</v>
      </c>
      <c r="G14" s="58">
        <v>2</v>
      </c>
      <c r="H14" s="58">
        <v>5.3E-3</v>
      </c>
      <c r="I14" s="58">
        <v>5.4000000000000003E-3</v>
      </c>
      <c r="J14" s="58">
        <f>ABS(H14-H13)</f>
        <v>2.0999999999999999E-3</v>
      </c>
      <c r="K14" s="58">
        <f>ABS(I14-I13)</f>
        <v>2.2000000000000001E-3</v>
      </c>
      <c r="L14" s="58">
        <f>K14+J14/2</f>
        <v>3.2500000000000003E-3</v>
      </c>
      <c r="M14" s="58">
        <f t="shared" ref="M14:M15" si="4">L14/L15</f>
        <v>1.354166666666667</v>
      </c>
    </row>
    <row r="15" spans="1:13" x14ac:dyDescent="0.3">
      <c r="A15" s="58">
        <v>3</v>
      </c>
      <c r="B15">
        <v>6.8999999999999999E-3</v>
      </c>
      <c r="C15">
        <v>7.0000000000000001E-3</v>
      </c>
      <c r="D15" s="58">
        <f t="shared" ref="D15:D16" si="5">C15+B15/2</f>
        <v>1.0450000000000001E-2</v>
      </c>
      <c r="E15" s="58">
        <f t="shared" ref="E15:E16" si="6">C15/D15</f>
        <v>0.66985645933014348</v>
      </c>
      <c r="G15" s="58">
        <v>3</v>
      </c>
      <c r="H15">
        <v>6.8999999999999999E-3</v>
      </c>
      <c r="I15">
        <v>7.0000000000000001E-3</v>
      </c>
      <c r="J15" s="58">
        <f t="shared" ref="J15:J16" si="7">ABS(H15-H14)</f>
        <v>1.5999999999999999E-3</v>
      </c>
      <c r="K15" s="58">
        <f t="shared" ref="K15:K16" si="8">ABS(I15-I14)</f>
        <v>1.5999999999999999E-3</v>
      </c>
      <c r="L15" s="58">
        <f t="shared" ref="L15:L16" si="9">K15+J15/2</f>
        <v>2.3999999999999998E-3</v>
      </c>
      <c r="M15" s="58">
        <f t="shared" si="4"/>
        <v>1.777777777777777</v>
      </c>
    </row>
    <row r="16" spans="1:13" x14ac:dyDescent="0.3">
      <c r="A16" s="58">
        <v>4</v>
      </c>
      <c r="B16" s="58">
        <v>7.7999999999999996E-3</v>
      </c>
      <c r="C16" s="58">
        <v>7.9000000000000008E-3</v>
      </c>
      <c r="D16" s="58">
        <f t="shared" si="5"/>
        <v>1.1800000000000001E-2</v>
      </c>
      <c r="E16" s="58">
        <f t="shared" si="6"/>
        <v>0.66949152542372881</v>
      </c>
      <c r="G16" s="58">
        <v>4</v>
      </c>
      <c r="H16" s="58">
        <v>7.7999999999999996E-3</v>
      </c>
      <c r="I16" s="58">
        <v>7.9000000000000008E-3</v>
      </c>
      <c r="J16" s="58">
        <f t="shared" si="7"/>
        <v>8.9999999999999976E-4</v>
      </c>
      <c r="K16" s="58">
        <f t="shared" si="8"/>
        <v>9.0000000000000063E-4</v>
      </c>
      <c r="L16" s="58">
        <f t="shared" si="9"/>
        <v>1.3500000000000005E-3</v>
      </c>
      <c r="M16" s="58"/>
    </row>
    <row r="22" spans="1:9" ht="15.6" x14ac:dyDescent="0.3">
      <c r="A22" s="72" t="s">
        <v>112</v>
      </c>
      <c r="B22" s="72"/>
      <c r="C22" s="72"/>
      <c r="D22" s="72"/>
      <c r="E22" s="72"/>
    </row>
    <row r="23" spans="1:9" x14ac:dyDescent="0.3">
      <c r="A23" s="73" t="s">
        <v>103</v>
      </c>
      <c r="B23" s="73"/>
      <c r="C23" s="73"/>
      <c r="D23" s="73"/>
      <c r="E23" s="73"/>
      <c r="F23" s="73"/>
      <c r="H23" t="s">
        <v>117</v>
      </c>
      <c r="I23">
        <f>0.19*27*0.015+1.2825</f>
        <v>1.35945</v>
      </c>
    </row>
    <row r="24" spans="1:9" x14ac:dyDescent="0.3">
      <c r="A24" s="58" t="s">
        <v>27</v>
      </c>
      <c r="B24" s="58" t="s">
        <v>105</v>
      </c>
      <c r="C24" s="58" t="s">
        <v>113</v>
      </c>
      <c r="D24" s="60" t="s">
        <v>115</v>
      </c>
      <c r="E24" s="58" t="s">
        <v>114</v>
      </c>
    </row>
    <row r="25" spans="1:9" x14ac:dyDescent="0.3">
      <c r="A25" s="58">
        <v>1</v>
      </c>
      <c r="B25" s="58">
        <v>3.2000000000000002E-3</v>
      </c>
      <c r="C25" s="58">
        <v>4.5</v>
      </c>
      <c r="D25" s="58">
        <f>B26-B25</f>
        <v>2.2000000000000001E-3</v>
      </c>
      <c r="E25" s="58">
        <f>D25/C25</f>
        <v>4.8888888888888897E-4</v>
      </c>
      <c r="H25" t="s">
        <v>118</v>
      </c>
      <c r="I25">
        <f>2*0.25*0.4+4*0.4*0.4+2*0.4*0.3+0.45*0.45</f>
        <v>1.2825000000000002</v>
      </c>
    </row>
    <row r="26" spans="1:9" x14ac:dyDescent="0.3">
      <c r="A26" s="58">
        <v>2</v>
      </c>
      <c r="B26" s="58">
        <v>5.4000000000000003E-3</v>
      </c>
      <c r="C26" s="58">
        <v>3</v>
      </c>
      <c r="D26" s="58">
        <f t="shared" ref="D26:D28" si="10">B27-B26</f>
        <v>1.5999999999999999E-3</v>
      </c>
      <c r="E26" s="58">
        <f t="shared" ref="E26:E28" si="11">D26/C26</f>
        <v>5.3333333333333325E-4</v>
      </c>
    </row>
    <row r="27" spans="1:9" x14ac:dyDescent="0.3">
      <c r="A27" s="58">
        <v>3</v>
      </c>
      <c r="B27" s="58">
        <v>7.0000000000000001E-3</v>
      </c>
      <c r="C27" s="58">
        <v>3</v>
      </c>
      <c r="D27" s="58">
        <f t="shared" si="10"/>
        <v>9.0000000000000063E-4</v>
      </c>
      <c r="E27" s="58">
        <f t="shared" si="11"/>
        <v>3.0000000000000019E-4</v>
      </c>
      <c r="H27">
        <f>I25/I23</f>
        <v>0.94339622641509446</v>
      </c>
    </row>
    <row r="28" spans="1:9" x14ac:dyDescent="0.3">
      <c r="A28" s="58">
        <v>4</v>
      </c>
      <c r="B28" s="58">
        <v>7.9000000000000008E-3</v>
      </c>
      <c r="C28" s="58">
        <v>3</v>
      </c>
      <c r="D28" s="58">
        <f t="shared" si="10"/>
        <v>-7.9000000000000008E-3</v>
      </c>
      <c r="E28" s="58">
        <f t="shared" si="11"/>
        <v>-2.6333333333333334E-3</v>
      </c>
    </row>
    <row r="31" spans="1:9" x14ac:dyDescent="0.3">
      <c r="A31" s="73" t="s">
        <v>102</v>
      </c>
      <c r="B31" s="73"/>
      <c r="C31" s="73"/>
      <c r="D31" s="73"/>
      <c r="E31" s="73"/>
      <c r="F31" s="73"/>
    </row>
    <row r="32" spans="1:9" x14ac:dyDescent="0.3">
      <c r="A32" s="58" t="s">
        <v>27</v>
      </c>
      <c r="B32" s="58" t="s">
        <v>105</v>
      </c>
      <c r="C32" s="58" t="s">
        <v>113</v>
      </c>
      <c r="D32" s="60" t="s">
        <v>115</v>
      </c>
      <c r="E32" s="58" t="s">
        <v>114</v>
      </c>
    </row>
    <row r="33" spans="1:5" x14ac:dyDescent="0.3">
      <c r="A33" s="58">
        <v>1</v>
      </c>
      <c r="B33" s="58">
        <v>1.1000000000000001E-3</v>
      </c>
      <c r="C33" s="58">
        <v>2.9</v>
      </c>
      <c r="D33" s="58">
        <f>B34-B33</f>
        <v>1.4E-3</v>
      </c>
      <c r="E33" s="61">
        <f>D33/C33</f>
        <v>4.8275862068965518E-4</v>
      </c>
    </row>
    <row r="34" spans="1:5" x14ac:dyDescent="0.3">
      <c r="A34" s="58">
        <v>2</v>
      </c>
      <c r="B34" s="58">
        <v>2.5000000000000001E-3</v>
      </c>
      <c r="C34" s="58">
        <v>2.9</v>
      </c>
      <c r="D34" s="58">
        <f t="shared" ref="D34:D36" si="12">B35-B34</f>
        <v>1.2000000000000001E-3</v>
      </c>
      <c r="E34" s="61">
        <f t="shared" ref="E34:E36" si="13">D34/C34</f>
        <v>4.1379310344827591E-4</v>
      </c>
    </row>
    <row r="35" spans="1:5" x14ac:dyDescent="0.3">
      <c r="A35" s="58">
        <v>3</v>
      </c>
      <c r="B35" s="58">
        <v>3.7000000000000002E-3</v>
      </c>
      <c r="C35" s="58">
        <v>2.9</v>
      </c>
      <c r="D35" s="58">
        <f t="shared" si="12"/>
        <v>7.000000000000001E-4</v>
      </c>
      <c r="E35" s="61">
        <f t="shared" si="13"/>
        <v>2.4137931034482762E-4</v>
      </c>
    </row>
    <row r="36" spans="1:5" x14ac:dyDescent="0.3">
      <c r="A36" s="58">
        <v>4</v>
      </c>
      <c r="B36" s="58">
        <v>4.4000000000000003E-3</v>
      </c>
      <c r="C36" s="58">
        <v>2.9</v>
      </c>
      <c r="D36" s="58">
        <f t="shared" si="12"/>
        <v>-4.4000000000000003E-3</v>
      </c>
      <c r="E36" s="61">
        <f t="shared" si="13"/>
        <v>-1.517241379310345E-3</v>
      </c>
    </row>
  </sheetData>
  <mergeCells count="9">
    <mergeCell ref="G1:K1"/>
    <mergeCell ref="G3:M3"/>
    <mergeCell ref="G11:M11"/>
    <mergeCell ref="A22:E22"/>
    <mergeCell ref="A23:F23"/>
    <mergeCell ref="A31:F31"/>
    <mergeCell ref="A1:E1"/>
    <mergeCell ref="A3:E3"/>
    <mergeCell ref="A11:E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Eşdeğer Elle Çözüm</vt:lpstr>
      <vt:lpstr>Eşdeğer Deprem Yükü </vt:lpstr>
      <vt:lpstr>Yeni Yönetmelik</vt:lpstr>
      <vt:lpstr>Düzensizlik Kontrolleri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ALPER</dc:creator>
  <cp:lastModifiedBy>ALPER</cp:lastModifiedBy>
  <dcterms:created xsi:type="dcterms:W3CDTF">2015-06-05T18:19:34Z</dcterms:created>
  <dcterms:modified xsi:type="dcterms:W3CDTF">2019-08-20T17:39:00Z</dcterms:modified>
</cp:coreProperties>
</file>