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55" firstSheet="0" activeTab="0"/>
  </bookViews>
  <sheets>
    <sheet name="PPM ProForma 10-yr" sheetId="1" state="visible" r:id="rId2"/>
    <sheet name=" Build-1 Income_Expenses" sheetId="2" state="visible" r:id="rId3"/>
    <sheet name="Sheet2" sheetId="3" state="visible" r:id="rId4"/>
  </sheets>
  <definedNames>
    <definedName function="false" hidden="false" localSheetId="1" name="_xlnm.Print_Area" vbProcedure="false">' Build-1 Income_Expenses'!$T$102:$AE$150</definedName>
    <definedName function="false" hidden="false" localSheetId="0" name="_xlnm.Print_Area" vbProcedure="false">'PPM ProForma 10-yr'!$B$1:$AC$41</definedName>
    <definedName function="false" hidden="false" localSheetId="0" name="Excel_BuiltIn_Print_Area" vbProcedure="false">"NA()"</definedName>
    <definedName function="false" hidden="false" localSheetId="0" name="_xlnm.Print_Area" vbProcedure="false">"NA()"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14" authorId="0">
      <text>
        <r>
          <rPr>
            <sz val="11"/>
            <color rgb="FF000000"/>
            <rFont val="Arial"/>
            <family val="2"/>
          </rPr>
          <t xml:space="preserve">16 machines x 20 loads @ $5ea./week = 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D1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1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2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29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6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66" authorId="0">
      <text>
        <r>
          <rPr>
            <sz val="10"/>
            <rFont val="Arial"/>
            <family val="2"/>
          </rPr>
          <t xml:space="preserve">$15,000 per trailer/furnished with deck</t>
        </r>
      </text>
    </comment>
    <comment ref="D6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77" authorId="0">
      <text>
        <r>
          <rPr>
            <sz val="10"/>
            <rFont val="Arial"/>
            <family val="2"/>
          </rPr>
          <t xml:space="preserve">LongTerm residents not included in KOA number</t>
        </r>
      </text>
    </comment>
    <comment ref="D7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D115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119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128" authorId="0">
      <text>
        <r>
          <rPr>
            <sz val="10"/>
            <rFont val="Arial"/>
            <family val="2"/>
          </rPr>
          <t xml:space="preserve">LongTerm residents not included in KOA number.</t>
        </r>
      </text>
    </comment>
    <comment ref="D129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135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E19" authorId="0">
      <text>
        <r>
          <rPr>
            <sz val="10"/>
            <rFont val="Arial"/>
            <family val="2"/>
          </rPr>
          <t xml:space="preserve">Lottery and beer wine – 15% net </t>
        </r>
      </text>
    </comment>
    <comment ref="E69" authorId="0">
      <text>
        <r>
          <rPr>
            <sz val="10"/>
            <rFont val="Arial"/>
            <family val="2"/>
          </rPr>
          <t xml:space="preserve">Lottery and beer wine – 15% net
Propane expected to contribute significant revenue. </t>
        </r>
      </text>
    </comment>
    <comment ref="E120" authorId="0">
      <text>
        <r>
          <rPr>
            <sz val="10"/>
            <rFont val="Arial"/>
            <family val="2"/>
          </rPr>
          <t xml:space="preserve">Lottery and beer wine – 15% net </t>
        </r>
      </text>
    </comment>
    <comment ref="K69" authorId="0">
      <text>
        <r>
          <rPr>
            <sz val="10"/>
            <rFont val="Arial"/>
            <family val="2"/>
          </rPr>
          <t xml:space="preserve">Propane sales alone are expected to be ≈75,000 gals/season.</t>
        </r>
      </text>
    </comment>
    <comment ref="K84" authorId="0">
      <text>
        <r>
          <rPr>
            <sz val="10"/>
            <rFont val="Arial"/>
            <family val="2"/>
          </rPr>
          <t xml:space="preserve">Estimate 2/3
of applicable check-ins would receive 10% discount</t>
        </r>
      </text>
    </comment>
    <comment ref="K135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M4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48" authorId="0">
      <text>
        <r>
          <rPr>
            <sz val="10"/>
            <rFont val="Arial"/>
            <family val="2"/>
          </rPr>
          <t xml:space="preserve">Net/Site</t>
        </r>
      </text>
    </comment>
    <comment ref="M9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98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146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148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N48" authorId="0">
      <text>
        <r>
          <rPr>
            <sz val="10"/>
            <rFont val="Arial"/>
            <family val="2"/>
          </rPr>
          <t xml:space="preserve">Net/Month</t>
        </r>
      </text>
    </comment>
    <comment ref="N148" authorId="0">
      <text>
        <r>
          <rPr>
            <sz val="10"/>
            <rFont val="Arial"/>
            <family val="2"/>
          </rPr>
          <t xml:space="preserve">Net/Month</t>
        </r>
      </text>
    </comment>
    <comment ref="V6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V6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V77" authorId="0">
      <text>
        <r>
          <rPr>
            <sz val="10"/>
            <rFont val="Arial"/>
            <family val="2"/>
          </rPr>
          <t xml:space="preserve">LongTerm residents not included in KOA number</t>
        </r>
      </text>
    </comment>
    <comment ref="V7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V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W69" authorId="0">
      <text>
        <r>
          <rPr>
            <sz val="10"/>
            <rFont val="Arial"/>
            <family val="2"/>
          </rPr>
          <t xml:space="preserve">Lottery and beer wine – 15% net
Propane expected to contribute significant revenue. </t>
        </r>
      </text>
    </comment>
    <comment ref="AC69" authorId="0">
      <text>
        <r>
          <rPr>
            <sz val="10"/>
            <rFont val="Arial"/>
            <family val="2"/>
          </rPr>
          <t xml:space="preserve">Propane sales alone are expected to be ≈75,000 gals/season.</t>
        </r>
      </text>
    </comment>
    <comment ref="AC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AE9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AE98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AF147" authorId="0">
      <text>
        <r>
          <rPr>
            <sz val="10"/>
            <rFont val="Arial"/>
            <family val="2"/>
          </rPr>
          <t xml:space="preserve">Net/Month</t>
        </r>
      </text>
    </comment>
  </commentList>
</comments>
</file>

<file path=xl/sharedStrings.xml><?xml version="1.0" encoding="utf-8"?>
<sst xmlns="http://schemas.openxmlformats.org/spreadsheetml/2006/main" count="451" uniqueCount="173">
  <si>
    <t>BREAK-EVEN </t>
  </si>
  <si>
    <t>INCOME STABILIZED</t>
  </si>
  <si>
    <t>5-Yr  PRO FORMA</t>
  </si>
  <si>
    <t>QUARTERLY</t>
  </si>
  <si>
    <t>Total 5 Yr</t>
  </si>
  <si>
    <t>Q1 2020</t>
  </si>
  <si>
    <t>Q2 2020</t>
  </si>
  <si>
    <t>Q3 2020</t>
  </si>
  <si>
    <t>Q4 2020</t>
  </si>
  <si>
    <t>1st Yr.</t>
  </si>
  <si>
    <t>Q1 2021</t>
  </si>
  <si>
    <t>Q2 2021</t>
  </si>
  <si>
    <t>Q3 2021</t>
  </si>
  <si>
    <t>Q4 2021</t>
  </si>
  <si>
    <t>2nd Yr.</t>
  </si>
  <si>
    <t>Q1 2022</t>
  </si>
  <si>
    <t>Q2 2022</t>
  </si>
  <si>
    <t>Q3 2022</t>
  </si>
  <si>
    <t>Q4 2022</t>
  </si>
  <si>
    <t>3rd Yr.</t>
  </si>
  <si>
    <t>Q1 2023</t>
  </si>
  <si>
    <t>Q2 2023</t>
  </si>
  <si>
    <t>Q3 2023</t>
  </si>
  <si>
    <t>Q4 2023</t>
  </si>
  <si>
    <t>4th Yr.</t>
  </si>
  <si>
    <t>Q1 2024</t>
  </si>
  <si>
    <t>Q2 2024</t>
  </si>
  <si>
    <t>Q3 2024</t>
  </si>
  <si>
    <t>Q4 2024</t>
  </si>
  <si>
    <t>5th Yr.</t>
  </si>
  <si>
    <t>248 Sites</t>
  </si>
  <si>
    <t>277 Sites</t>
  </si>
  <si>
    <t>321 Sites</t>
  </si>
  <si>
    <t>321 sites</t>
  </si>
  <si>
    <t>KOA Fee</t>
  </si>
  <si>
    <t>Semi-annual Rental</t>
  </si>
  <si>
    <t>RV Camping Daily</t>
  </si>
  <si>
    <t>RV Monthly Rents</t>
  </si>
  <si>
    <t>Cabins:Furnished/ParkModel</t>
  </si>
  <si>
    <t>Glamping Pods</t>
  </si>
  <si>
    <t>Tents</t>
  </si>
  <si>
    <t>Storage &amp; Parking</t>
  </si>
  <si>
    <t>Laundries – 16 Washers &amp; 12 Dryers</t>
  </si>
  <si>
    <t>Store </t>
  </si>
  <si>
    <t>Propane &amp; Fuel</t>
  </si>
  <si>
    <t>Recreational Concessions</t>
  </si>
  <si>
    <r>
      <t xml:space="preserve">Internet &amp; Misc.</t>
    </r>
    <r>
      <rPr>
        <sz val="9"/>
        <color rgb="FF000000"/>
        <rFont val="Arial"/>
        <family val="2"/>
      </rPr>
      <t xml:space="preserve"> (Net zero after Cost of Access)</t>
    </r>
  </si>
  <si>
    <t>TOTAL INCOME</t>
  </si>
  <si>
    <t>KOA Royalty/FranchiseFee 8%</t>
  </si>
  <si>
    <t>Discounts and Incentives (see algorithm)</t>
  </si>
  <si>
    <t>Payroll</t>
  </si>
  <si>
    <t>Insurance</t>
  </si>
  <si>
    <t>La Paz County Property Tax</t>
  </si>
  <si>
    <t>Water Maintenance</t>
  </si>
  <si>
    <t>Gas/Electric</t>
  </si>
  <si>
    <t>Trash</t>
  </si>
  <si>
    <t>Contingencies &amp; Marketing, incl. KOA Mkt</t>
  </si>
  <si>
    <t>Reserve</t>
  </si>
  <si>
    <t>Maintenance &amp; Repairs</t>
  </si>
  <si>
    <t>Developer's Fee</t>
  </si>
  <si>
    <t>TOTAL EXPENSES</t>
  </si>
  <si>
    <t>NET OPERATING INCOME (NOI)*</t>
  </si>
  <si>
    <t> Debt Service (36-month Interest Only)</t>
  </si>
  <si>
    <r>
      <t xml:space="preserve">* </t>
    </r>
    <r>
      <rPr>
        <sz val="10"/>
        <color rgb="FF000000"/>
        <rFont val="Arial"/>
        <family val="2"/>
      </rPr>
      <t xml:space="preserve">Take out Const.Loan with $4M USDA Bank Loan. </t>
    </r>
  </si>
  <si>
    <t>CASHFLOW</t>
  </si>
  <si>
    <t>Accumulating Net Operating Income (NOI)*</t>
  </si>
  <si>
    <t>Accumulating CashFlow </t>
  </si>
  <si>
    <t>Cap Rate Valuation Estimate</t>
  </si>
  <si>
    <t>Cap Rate&gt;</t>
  </si>
  <si>
    <t>N/A</t>
  </si>
  <si>
    <t>* Excludes depreciation and amortization</t>
  </si>
  <si>
    <t>RATES AND OCCUPANCIES RV Park/Campground</t>
  </si>
  <si>
    <r>
      <t xml:space="preserve">Build-1 INCOME BREAKDOWN</t>
    </r>
    <r>
      <rPr>
        <sz val="10"/>
        <rFont val="Arial"/>
        <family val="2"/>
      </rPr>
      <t xml:space="preserve"> (Expected Case)</t>
    </r>
  </si>
  <si>
    <t>1st Build</t>
  </si>
  <si>
    <t>Total Sites</t>
  </si>
  <si>
    <t>Vacancy</t>
  </si>
  <si>
    <t>Annual</t>
  </si>
  <si>
    <t>%GOI</t>
  </si>
  <si>
    <t>Per Site</t>
  </si>
  <si>
    <t>RV Camping, Back In</t>
  </si>
  <si>
    <t>/day</t>
  </si>
  <si>
    <t>RV Pull Through</t>
  </si>
  <si>
    <t>Cabins</t>
  </si>
  <si>
    <t>GlampingPods</t>
  </si>
  <si>
    <t>Tent Area</t>
  </si>
  <si>
    <t>/mo</t>
  </si>
  <si>
    <t>Rec Village</t>
  </si>
  <si>
    <t>Glamping</t>
  </si>
  <si>
    <t>Cabin/Park Model</t>
  </si>
  <si>
    <t>Laundry</t>
  </si>
  <si>
    <r>
      <t xml:space="preserve">Store </t>
    </r>
    <r>
      <rPr>
        <sz val="8"/>
        <rFont val="Arial"/>
        <family val="2"/>
      </rPr>
      <t xml:space="preserve">(Lease income based on store sales)</t>
    </r>
  </si>
  <si>
    <r>
      <t xml:space="preserve">Recreation, &amp; Misc.</t>
    </r>
    <r>
      <rPr>
        <sz val="8"/>
        <rFont val="Arial"/>
        <family val="2"/>
      </rPr>
      <t xml:space="preserve">(Concession Fees based on concession sales.)</t>
    </r>
  </si>
  <si>
    <t>YEAR-3</t>
  </si>
  <si>
    <t>(ATV and Other Sports, Tours, Rentals, Equipment, Propane Sales, etc.)</t>
  </si>
  <si>
    <t>EXPECT YEAR-4</t>
  </si>
  <si>
    <t>2nd Build</t>
  </si>
  <si>
    <t>RV Camping, Pull-Thru</t>
  </si>
  <si>
    <t>Park Model RV ShortTerm</t>
  </si>
  <si>
    <t>Park Model RV LongTerm</t>
  </si>
  <si>
    <t>/mo.</t>
  </si>
  <si>
    <t>Total Gross Operating Income—1st Build</t>
  </si>
  <si>
    <t>Total Gross Operating Income—Both Builds</t>
  </si>
  <si>
    <t>Build-1 EXPENSES BREAKDOWN</t>
  </si>
  <si>
    <t>KOA Royalty and Advertising – 10% of Lodging Revenue</t>
  </si>
  <si>
    <t>Managers and Workers – 2-full time, 2-seasonal, plus 1</t>
  </si>
  <si>
    <t>Taxes, AZ Vacation 5.78%</t>
  </si>
  <si>
    <t>Contingencies &amp; Marketing</t>
  </si>
  <si>
    <t>Maintenance &amp; Repairs &amp; Reserve</t>
  </si>
  <si>
    <t>Total ANNUAL EXPENSES</t>
  </si>
  <si>
    <t>Build-1 Annual NET OPERATING INCOME</t>
  </si>
  <si>
    <t>/Mo</t>
  </si>
  <si>
    <r>
      <t xml:space="preserve">Final Buildout INCOME BREAKDOWN</t>
    </r>
    <r>
      <rPr>
        <sz val="10"/>
        <rFont val="Arial"/>
        <family val="2"/>
      </rPr>
      <t xml:space="preserve"> (Conservative/Expected Case)</t>
    </r>
  </si>
  <si>
    <t>1st Phase</t>
  </si>
  <si>
    <t>Days Ocp'd</t>
  </si>
  <si>
    <t>RV Camping</t>
  </si>
  <si>
    <t>SemiAnnual</t>
  </si>
  <si>
    <t>Park Model</t>
  </si>
  <si>
    <t>Tent</t>
  </si>
  <si>
    <t>Monthly</t>
  </si>
  <si>
    <t>RecVillage</t>
  </si>
  <si>
    <t>Store</t>
  </si>
  <si>
    <t>Rec Concessions</t>
  </si>
  <si>
    <t>Frnshd Cabin/Park Model</t>
  </si>
  <si>
    <r>
      <t xml:space="preserve">Store </t>
    </r>
    <r>
      <rPr>
        <sz val="8"/>
        <rFont val="Arial"/>
        <family val="2"/>
      </rPr>
      <t xml:space="preserve">(Lease income based on store lease)</t>
    </r>
  </si>
  <si>
    <t>2nd Phase</t>
  </si>
  <si>
    <t>Store Consessions</t>
  </si>
  <si>
    <t>RV ShortTerm (Monthly)</t>
  </si>
  <si>
    <t>RV or Park Model (Annual)</t>
  </si>
  <si>
    <t>Recreation Concessions</t>
  </si>
  <si>
    <t>Total Gross Operating Income</t>
  </si>
  <si>
    <t>Laundries</t>
  </si>
  <si>
    <t>Final Buildout EXPENSES BREAKDOWN</t>
  </si>
  <si>
    <t>Propane</t>
  </si>
  <si>
    <r>
      <t xml:space="preserve">Discounts &amp; Incentives (</t>
    </r>
    <r>
      <rPr>
        <sz val="8"/>
        <rFont val="Arial"/>
        <family val="2"/>
      </rPr>
      <t xml:space="preserve">Travel Clubs &amp; Membership Discounts</t>
    </r>
    <r>
      <rPr>
        <sz val="10"/>
        <rFont val="Arial"/>
        <family val="2"/>
      </rPr>
      <t xml:space="preserve">) </t>
    </r>
  </si>
  <si>
    <r>
      <t xml:space="preserve">Managers and Workers – 2-full time, 4-seasonal, </t>
    </r>
    <r>
      <rPr>
        <sz val="7"/>
        <rFont val="Arial"/>
        <family val="2"/>
      </rPr>
      <t xml:space="preserve">plus</t>
    </r>
    <r>
      <rPr>
        <sz val="10"/>
        <rFont val="Arial"/>
        <family val="2"/>
      </rPr>
      <t xml:space="preserve"> Mgr</t>
    </r>
  </si>
  <si>
    <r>
      <t xml:space="preserve">Managers and Workers – 2-full time, 2-seasonal, </t>
    </r>
    <r>
      <rPr>
        <sz val="7"/>
        <rFont val="Arial"/>
        <family val="2"/>
      </rPr>
      <t xml:space="preserve">plus</t>
    </r>
    <r>
      <rPr>
        <sz val="10"/>
        <rFont val="Arial"/>
        <family val="2"/>
      </rPr>
      <t xml:space="preserve"> Mgr</t>
    </r>
  </si>
  <si>
    <t>Internet &amp; Misc</t>
  </si>
  <si>
    <t>Expected</t>
  </si>
  <si>
    <t>Less than</t>
  </si>
  <si>
    <t>Contingencies* &amp; Marketing</t>
  </si>
  <si>
    <t>Maintenance &amp; Repairs over/above park workers</t>
  </si>
  <si>
    <t>* See list of contingency expenses included</t>
  </si>
  <si>
    <t>Final Buildout Annual NET OPERATING INCOME</t>
  </si>
  <si>
    <t>ASSUMING 8% CAP RATE, VALUE OF PROJECT MAY BE</t>
  </si>
  <si>
    <r>
      <t xml:space="preserve">Final Buildout INCOME BREAKDOWN</t>
    </r>
    <r>
      <rPr>
        <sz val="10"/>
        <rFont val="Arial"/>
        <family val="2"/>
      </rPr>
      <t xml:space="preserve"> (</t>
    </r>
    <r>
      <rPr>
        <b val="true"/>
        <sz val="10"/>
        <color rgb="FFFF420E"/>
        <rFont val="Arial"/>
        <family val="2"/>
      </rPr>
      <t xml:space="preserve">Less</t>
    </r>
    <r>
      <rPr>
        <sz val="10"/>
        <rFont val="Arial"/>
        <family val="2"/>
      </rPr>
      <t xml:space="preserve"> </t>
    </r>
    <r>
      <rPr>
        <b val="true"/>
        <sz val="10"/>
        <color rgb="FFFF420E"/>
        <rFont val="Arial"/>
        <family val="2"/>
      </rPr>
      <t xml:space="preserve">Than Expected</t>
    </r>
    <r>
      <rPr>
        <sz val="10"/>
        <rFont val="Arial"/>
        <family val="2"/>
      </rPr>
      <t xml:space="preserve">, or </t>
    </r>
    <r>
      <rPr>
        <b val="true"/>
        <sz val="10"/>
        <color rgb="FFFF420E"/>
        <rFont val="Arial"/>
        <family val="2"/>
      </rPr>
      <t xml:space="preserve">Worse</t>
    </r>
    <r>
      <rPr>
        <sz val="10"/>
        <rFont val="Arial"/>
        <family val="2"/>
      </rPr>
      <t xml:space="preserve"> Case)</t>
    </r>
  </si>
  <si>
    <r>
      <t xml:space="preserve">Full Buildout INCOME BREAKDOWN</t>
    </r>
    <r>
      <rPr>
        <sz val="10"/>
        <rFont val="Arial"/>
        <family val="2"/>
      </rPr>
      <t xml:space="preserve"> assuming 2019 Rates &amp; Occupancies</t>
    </r>
  </si>
  <si>
    <t>% GOI</t>
  </si>
  <si>
    <t>Furnished/Park Model</t>
  </si>
  <si>
    <t>.</t>
  </si>
  <si>
    <t>Total Gross Operating Income (GOI)</t>
  </si>
  <si>
    <t>Final configuration of Park would find Premium Lots with Luxury Homes on South side, and</t>
  </si>
  <si>
    <t>Luxury RV Park and Recreation Village to the North.</t>
  </si>
  <si>
    <t>During 2nd Build “rent up”, 18 Premium Lots may sell at ≈ $110,000, yielding ≈ $2 million.</t>
  </si>
  <si>
    <r>
      <t xml:space="preserve">Possible strategy: Build Rec Village and 1</t>
    </r>
    <r>
      <rPr>
        <vertAlign val="superscript"/>
        <sz val="11"/>
        <color rgb="FF000000"/>
        <rFont val="Arial"/>
        <family val="2"/>
      </rPr>
      <t xml:space="preserve">st</t>
    </r>
    <r>
      <rPr>
        <sz val="11"/>
        <color rgb="FF000000"/>
        <rFont val="Arial"/>
        <family val="2"/>
      </rPr>
      <t xml:space="preserve"> Build, then as park populates, begin adding </t>
    </r>
  </si>
  <si>
    <r>
      <t xml:space="preserve">improvements to South side (2</t>
    </r>
    <r>
      <rPr>
        <vertAlign val="superscript"/>
        <sz val="11"/>
        <color rgb="FF000000"/>
        <rFont val="Arial"/>
        <family val="2"/>
      </rPr>
      <t xml:space="preserve">nd</t>
    </r>
    <r>
      <rPr>
        <sz val="11"/>
        <color rgb="FF000000"/>
        <rFont val="Arial"/>
        <family val="2"/>
      </rPr>
      <t xml:space="preserve"> Build), while marketing the sale of Fee Simple Lots to guests.  </t>
    </r>
  </si>
  <si>
    <r>
      <t xml:space="preserve">The Arroyos Preserve OFF SEASON is presumed</t>
    </r>
    <r>
      <rPr>
        <u val="single"/>
        <sz val="11"/>
        <color rgb="FF000000"/>
        <rFont val="Arial"/>
        <family val="2"/>
      </rPr>
      <t xml:space="preserve"> to be shorter</t>
    </r>
    <r>
      <rPr>
        <sz val="11"/>
        <color rgb="FF000000"/>
        <rFont val="Arial"/>
        <family val="2"/>
      </rPr>
      <t xml:space="preserve"> than typical RV parks in Southern</t>
    </r>
  </si>
  <si>
    <t>Arizona because of its Off-Road recreational component &amp; marketing, so the typical guest that would</t>
  </si>
  <si>
    <t>be expected during both in- and off-season would likely be an off-highway vehicle enthusiast</t>
  </si>
  <si>
    <t>found from marketing in OHV trade media, groups and clubs, as well as from the park's exposure</t>
  </si>
  <si>
    <t>to prospective customers from KOA and RV Business News type publications and press releases.</t>
  </si>
  <si>
    <t>Rental rates and occupancies used are not comparable to those found in Quartzsite for this reason.</t>
  </si>
  <si>
    <t>Final project evolves into Luxury RV Park and Villas, with classy Recreation Village area, including driverless shuttle.</t>
  </si>
  <si>
    <t>worksheet for cap rates</t>
  </si>
  <si>
    <t>X</t>
  </si>
  <si>
    <t>"=cap rate</t>
  </si>
  <si>
    <t>N</t>
  </si>
  <si>
    <t>“=Net Operating Income</t>
  </si>
  <si>
    <t>V</t>
  </si>
  <si>
    <t>“=Value or Price</t>
  </si>
  <si>
    <t>.09=10000000*900000</t>
  </si>
  <si>
    <t>V=N/X</t>
  </si>
  <si>
    <t>X=V/N</t>
  </si>
  <si>
    <t>N=V/X</t>
  </si>
</sst>
</file>

<file path=xl/styles.xml><?xml version="1.0" encoding="utf-8"?>
<styleSheet xmlns="http://schemas.openxmlformats.org/spreadsheetml/2006/main">
  <numFmts count="11">
    <numFmt numFmtId="164" formatCode="#,##0"/>
    <numFmt numFmtId="165" formatCode="#,##0;[RED]\(#,##0\)"/>
    <numFmt numFmtId="166" formatCode="#,###"/>
    <numFmt numFmtId="167" formatCode="[$$-409]#,##0;[RED]\-[$$-409]#,##0"/>
    <numFmt numFmtId="168" formatCode="#,##0;\(#,##0\)"/>
    <numFmt numFmtId="169" formatCode="0.0%"/>
    <numFmt numFmtId="170" formatCode="#"/>
    <numFmt numFmtId="171" formatCode="0%"/>
    <numFmt numFmtId="172" formatCode="0.00%"/>
    <numFmt numFmtId="173" formatCode="\$#,##0"/>
    <numFmt numFmtId="174" formatCode="#,##0\ ;\(#,##0\)"/>
  </numFmts>
  <fonts count="43">
    <font>
      <sz val="11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</font>
    <font>
      <sz val="9"/>
      <color rgb="FFFFFFFF"/>
      <name val="Arial"/>
      <family val="2"/>
    </font>
    <font>
      <b val="true"/>
      <sz val="11"/>
      <color rgb="FF000000"/>
      <name val="Arial"/>
      <family val="2"/>
    </font>
    <font>
      <b val="true"/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 val="true"/>
      <u val="single"/>
      <sz val="11"/>
      <color rgb="FF000000"/>
      <name val="Arial"/>
      <family val="2"/>
    </font>
    <font>
      <b val="true"/>
      <u val="single"/>
      <sz val="11"/>
      <name val="Arial"/>
      <family val="2"/>
    </font>
    <font>
      <sz val="11"/>
      <name val="Times New Roman"/>
      <family val="1"/>
    </font>
    <font>
      <sz val="14"/>
      <color rgb="FF000000"/>
      <name val="Verdana"/>
      <family val="2"/>
    </font>
    <font>
      <u val="double"/>
      <sz val="11"/>
      <color rgb="FF000000"/>
      <name val="Arial"/>
      <family val="2"/>
    </font>
    <font>
      <u val="single"/>
      <sz val="11"/>
      <color rgb="FF000000"/>
      <name val="Arial"/>
      <family val="2"/>
    </font>
    <font>
      <sz val="11"/>
      <color rgb="FF999999"/>
      <name val="Arial"/>
      <family val="2"/>
    </font>
    <font>
      <sz val="72"/>
      <color rgb="FF000000"/>
      <name val="Times New Roman"/>
      <family val="1"/>
    </font>
    <font>
      <sz val="10"/>
      <name val="Arial"/>
      <family val="2"/>
    </font>
    <font>
      <b val="true"/>
      <sz val="10"/>
      <name val="Arial"/>
      <family val="2"/>
    </font>
    <font>
      <sz val="10"/>
      <color rgb="FF83CAFF"/>
      <name val="Arial"/>
      <family val="2"/>
    </font>
    <font>
      <sz val="10"/>
      <color rgb="FFB2B2B2"/>
      <name val="Arial"/>
      <family val="2"/>
    </font>
    <font>
      <sz val="8"/>
      <name val="Arial"/>
      <family val="2"/>
    </font>
    <font>
      <i val="true"/>
      <sz val="9"/>
      <name val="Arial"/>
      <family val="2"/>
    </font>
    <font>
      <sz val="11"/>
      <color rgb="FF83CAFF"/>
      <name val="Arial"/>
      <family val="2"/>
    </font>
    <font>
      <b val="true"/>
      <sz val="10"/>
      <color rgb="FF83CAFF"/>
      <name val="Arial"/>
      <family val="2"/>
    </font>
    <font>
      <sz val="10"/>
      <color rgb="FF99CCFF"/>
      <name val="Arial"/>
      <family val="2"/>
    </font>
    <font>
      <b val="true"/>
      <sz val="10"/>
      <color rgb="FF99CCFF"/>
      <name val="Arial"/>
      <family val="2"/>
    </font>
    <font>
      <sz val="11"/>
      <color rgb="FF99CCFF"/>
      <name val="Arial"/>
      <family val="2"/>
    </font>
    <font>
      <sz val="10"/>
      <color rgb="FF00CC33"/>
      <name val="Arial"/>
      <family val="2"/>
    </font>
    <font>
      <sz val="10"/>
      <color rgb="FFFF0000"/>
      <name val="Arial"/>
      <family val="2"/>
    </font>
    <font>
      <sz val="10"/>
      <color rgb="FF999999"/>
      <name val="Arial"/>
      <family val="2"/>
    </font>
    <font>
      <sz val="7"/>
      <name val="Arial"/>
      <family val="2"/>
    </font>
    <font>
      <sz val="8"/>
      <color rgb="FF0000FF"/>
      <name val="Arial"/>
      <family val="2"/>
    </font>
    <font>
      <b val="true"/>
      <sz val="9"/>
      <name val="Arial"/>
      <family val="2"/>
    </font>
    <font>
      <b val="true"/>
      <sz val="10"/>
      <color rgb="FFFF420E"/>
      <name val="Arial"/>
      <family val="2"/>
    </font>
    <font>
      <sz val="10"/>
      <color rgb="FFCCCCCC"/>
      <name val="Arial"/>
      <family val="2"/>
    </font>
    <font>
      <sz val="10"/>
      <color rgb="FF800000"/>
      <name val="Arial"/>
      <family val="2"/>
    </font>
    <font>
      <strike val="true"/>
      <sz val="10"/>
      <name val="Arial"/>
      <family val="2"/>
    </font>
    <font>
      <i val="true"/>
      <sz val="10"/>
      <name val="Arial"/>
      <family val="2"/>
    </font>
    <font>
      <vertAlign val="superscript"/>
      <sz val="11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9900"/>
        <bgColor rgb="FF009933"/>
      </patternFill>
    </fill>
    <fill>
      <patternFill patternType="solid">
        <fgColor rgb="FF009933"/>
        <bgColor rgb="FF009900"/>
      </patternFill>
    </fill>
    <fill>
      <patternFill patternType="solid">
        <fgColor rgb="FFDDDDDD"/>
        <bgColor rgb="FFE6E6FF"/>
      </patternFill>
    </fill>
    <fill>
      <patternFill patternType="solid">
        <fgColor rgb="FFFFFFCC"/>
        <bgColor rgb="FFFFFFFF"/>
      </patternFill>
    </fill>
    <fill>
      <patternFill patternType="solid">
        <fgColor rgb="FFEEEEEE"/>
        <bgColor rgb="FFE6E6FF"/>
      </patternFill>
    </fill>
    <fill>
      <patternFill patternType="solid">
        <fgColor rgb="FFCCFFCC"/>
        <bgColor rgb="FFCCFFFF"/>
      </patternFill>
    </fill>
    <fill>
      <patternFill patternType="solid">
        <fgColor rgb="FFFFCCFF"/>
        <bgColor rgb="FFE6E6FF"/>
      </patternFill>
    </fill>
    <fill>
      <patternFill patternType="solid">
        <fgColor rgb="FFCCFFFF"/>
        <bgColor rgb="FFCCFFCC"/>
      </patternFill>
    </fill>
    <fill>
      <patternFill patternType="solid">
        <fgColor rgb="FF99CC99"/>
        <bgColor rgb="FF99CC66"/>
      </patternFill>
    </fill>
    <fill>
      <patternFill patternType="solid">
        <fgColor rgb="FF99CC66"/>
        <bgColor rgb="FF99CC99"/>
      </patternFill>
    </fill>
    <fill>
      <patternFill patternType="solid">
        <fgColor rgb="FFE6E6FF"/>
        <bgColor rgb="FFEEEEEE"/>
      </patternFill>
    </fill>
    <fill>
      <patternFill patternType="solid">
        <fgColor rgb="FFCC9900"/>
        <bgColor rgb="FF808000"/>
      </patternFill>
    </fill>
    <fill>
      <patternFill patternType="solid">
        <fgColor rgb="FFCCCCCC"/>
        <bgColor rgb="FFDDDDDD"/>
      </patternFill>
    </fill>
    <fill>
      <patternFill patternType="solid">
        <fgColor rgb="FF99FF99"/>
        <bgColor rgb="FFCC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thin">
        <color rgb="FFFF420E"/>
      </bottom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hair">
        <color rgb="FF111111"/>
      </bottom>
      <diagonal/>
    </border>
    <border diagonalUp="false" diagonalDown="false">
      <left/>
      <right/>
      <top style="hair">
        <color rgb="FF111111"/>
      </top>
      <bottom/>
      <diagonal/>
    </border>
    <border diagonalUp="false" diagonalDown="false">
      <left/>
      <right/>
      <top style="hair">
        <color rgb="FF99CCFF"/>
      </top>
      <bottom style="hair">
        <color rgb="FF99CCFF"/>
      </bottom>
      <diagonal/>
    </border>
    <border diagonalUp="false" diagonalDown="false">
      <left/>
      <right/>
      <top/>
      <bottom style="hair">
        <color rgb="FF99CC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6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7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8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9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7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1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11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11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11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11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11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1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1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8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8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8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18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18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8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8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8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8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3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8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2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8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8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8" borderId="3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6" fillId="8" borderId="3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1" fontId="26" fillId="8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8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8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6" fillId="8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6" fillId="8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26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26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2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8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6" fillId="8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8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6" fillId="8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8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8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0" fillId="8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8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8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8" fillId="8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18" fillId="8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8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2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1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1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8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1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1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1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18" fillId="1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8" fillId="1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8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1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0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2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1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1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1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12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12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0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2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8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9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1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8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8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1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8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1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1" fontId="3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6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33"/>
      <rgbColor rgb="FF0000FF"/>
      <rgbColor rgb="FF99FF99"/>
      <rgbColor rgb="FFFF00FF"/>
      <rgbColor rgb="FF00FFFF"/>
      <rgbColor rgb="FF800000"/>
      <rgbColor rgb="FF009900"/>
      <rgbColor rgb="FF000080"/>
      <rgbColor rgb="FF808000"/>
      <rgbColor rgb="FF800080"/>
      <rgbColor rgb="FF009933"/>
      <rgbColor rgb="FFCCCCCC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E6E6FF"/>
      <rgbColor rgb="FF99CCFF"/>
      <rgbColor rgb="FFFF99CC"/>
      <rgbColor rgb="FF99CC99"/>
      <rgbColor rgb="FFFFCCFF"/>
      <rgbColor rgb="FF3366FF"/>
      <rgbColor rgb="FF83CAFF"/>
      <rgbColor rgb="FF99CC66"/>
      <rgbColor rgb="FFFFCC00"/>
      <rgbColor rgb="FFCC9900"/>
      <rgbColor rgb="FFFF420E"/>
      <rgbColor rgb="FF666699"/>
      <rgbColor rgb="FF999999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675720</xdr:colOff>
      <xdr:row>12</xdr:row>
      <xdr:rowOff>120600</xdr:rowOff>
    </xdr:from>
    <xdr:to>
      <xdr:col>6</xdr:col>
      <xdr:colOff>659880</xdr:colOff>
      <xdr:row>20</xdr:row>
      <xdr:rowOff>167040</xdr:rowOff>
    </xdr:to>
    <xdr:sp>
      <xdr:nvSpPr>
        <xdr:cNvPr id="0" name="CustomShape 1"/>
        <xdr:cNvSpPr/>
      </xdr:nvSpPr>
      <xdr:spPr>
        <a:xfrm>
          <a:off x="6002640" y="2198880"/>
          <a:ext cx="770040" cy="143820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>
            <a:lnSpc>
              <a:spcPct val="100000"/>
            </a:lnSpc>
          </a:pPr>
          <a:r>
            <a:rPr lang="en-US" sz="7200">
              <a:solidFill>
                <a:srgbClr val="000000"/>
              </a:solidFill>
              <a:latin typeface="Times New Roman"/>
              <a:ea typeface="Segoe UI"/>
            </a:rPr>
            <a:t>1</a:t>
          </a:r>
          <a:endParaRPr/>
        </a:p>
      </xdr:txBody>
    </xdr:sp>
    <xdr:clientData/>
  </xdr:twoCellAnchor>
  <xdr:twoCellAnchor editAs="oneCell">
    <xdr:from>
      <xdr:col>11</xdr:col>
      <xdr:colOff>0</xdr:colOff>
      <xdr:row>12</xdr:row>
      <xdr:rowOff>120240</xdr:rowOff>
    </xdr:from>
    <xdr:to>
      <xdr:col>11</xdr:col>
      <xdr:colOff>757800</xdr:colOff>
      <xdr:row>18</xdr:row>
      <xdr:rowOff>127800</xdr:rowOff>
    </xdr:to>
    <xdr:sp>
      <xdr:nvSpPr>
        <xdr:cNvPr id="1" name="CustomShape 1"/>
        <xdr:cNvSpPr/>
      </xdr:nvSpPr>
      <xdr:spPr>
        <a:xfrm>
          <a:off x="10043640" y="2198520"/>
          <a:ext cx="757800" cy="105156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>
            <a:lnSpc>
              <a:spcPct val="100000"/>
            </a:lnSpc>
          </a:pPr>
          <a:r>
            <a:rPr lang="en-US" sz="7200">
              <a:solidFill>
                <a:srgbClr val="000000"/>
              </a:solidFill>
              <a:latin typeface="Times New Roman"/>
              <a:ea typeface="Segoe UI"/>
            </a:rPr>
            <a:t>2</a:t>
          </a:r>
          <a:endParaRPr/>
        </a:p>
      </xdr:txBody>
    </xdr:sp>
    <xdr:clientData/>
  </xdr:twoCellAnchor>
  <xdr:twoCellAnchor editAs="oneCell">
    <xdr:from>
      <xdr:col>15</xdr:col>
      <xdr:colOff>707760</xdr:colOff>
      <xdr:row>12</xdr:row>
      <xdr:rowOff>95400</xdr:rowOff>
    </xdr:from>
    <xdr:to>
      <xdr:col>16</xdr:col>
      <xdr:colOff>609120</xdr:colOff>
      <xdr:row>18</xdr:row>
      <xdr:rowOff>135720</xdr:rowOff>
    </xdr:to>
    <xdr:sp>
      <xdr:nvSpPr>
        <xdr:cNvPr id="2" name="CustomShape 1"/>
        <xdr:cNvSpPr/>
      </xdr:nvSpPr>
      <xdr:spPr>
        <a:xfrm>
          <a:off x="13932720" y="2173680"/>
          <a:ext cx="687600" cy="108432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>
            <a:lnSpc>
              <a:spcPct val="100000"/>
            </a:lnSpc>
          </a:pPr>
          <a:r>
            <a:rPr lang="en-US" sz="7200">
              <a:solidFill>
                <a:srgbClr val="000000"/>
              </a:solidFill>
              <a:latin typeface="Times New Roman"/>
              <a:ea typeface="Segoe UI"/>
            </a:rPr>
            <a:t>3</a:t>
          </a:r>
          <a:endParaRPr/>
        </a:p>
      </xdr:txBody>
    </xdr:sp>
    <xdr:clientData/>
  </xdr:twoCellAnchor>
  <xdr:twoCellAnchor editAs="oneCell">
    <xdr:from>
      <xdr:col>26</xdr:col>
      <xdr:colOff>97560</xdr:colOff>
      <xdr:row>12</xdr:row>
      <xdr:rowOff>113040</xdr:rowOff>
    </xdr:from>
    <xdr:to>
      <xdr:col>26</xdr:col>
      <xdr:colOff>703800</xdr:colOff>
      <xdr:row>43</xdr:row>
      <xdr:rowOff>54720</xdr:rowOff>
    </xdr:to>
    <xdr:sp>
      <xdr:nvSpPr>
        <xdr:cNvPr id="3" name="CustomShape 1"/>
        <xdr:cNvSpPr/>
      </xdr:nvSpPr>
      <xdr:spPr>
        <a:xfrm>
          <a:off x="21982680" y="2191320"/>
          <a:ext cx="606240" cy="531612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>
            <a:lnSpc>
              <a:spcPct val="100000"/>
            </a:lnSpc>
          </a:pPr>
          <a:r>
            <a:rPr lang="en-US" sz="7200">
              <a:solidFill>
                <a:srgbClr val="000000"/>
              </a:solidFill>
              <a:latin typeface="Times New Roman"/>
              <a:ea typeface="Segoe UI"/>
            </a:rPr>
            <a:t>5</a:t>
          </a:r>
          <a:endParaRPr/>
        </a:p>
      </xdr:txBody>
    </xdr:sp>
    <xdr:clientData/>
  </xdr:twoCellAnchor>
  <xdr:twoCellAnchor editAs="oneCell">
    <xdr:from>
      <xdr:col>21</xdr:col>
      <xdr:colOff>30960</xdr:colOff>
      <xdr:row>12</xdr:row>
      <xdr:rowOff>118800</xdr:rowOff>
    </xdr:from>
    <xdr:to>
      <xdr:col>21</xdr:col>
      <xdr:colOff>674280</xdr:colOff>
      <xdr:row>19</xdr:row>
      <xdr:rowOff>167040</xdr:rowOff>
    </xdr:to>
    <xdr:sp>
      <xdr:nvSpPr>
        <xdr:cNvPr id="4" name="CustomShape 1"/>
        <xdr:cNvSpPr/>
      </xdr:nvSpPr>
      <xdr:spPr>
        <a:xfrm>
          <a:off x="17985240" y="2197080"/>
          <a:ext cx="643320" cy="126612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>
            <a:lnSpc>
              <a:spcPct val="100000"/>
            </a:lnSpc>
          </a:pPr>
          <a:r>
            <a:rPr lang="en-US" sz="7200">
              <a:solidFill>
                <a:srgbClr val="000000"/>
              </a:solidFill>
              <a:latin typeface="Times New Roman"/>
              <a:ea typeface="Segoe UI"/>
            </a:rPr>
            <a:t>4</a:t>
          </a:r>
          <a:endParaRPr/>
        </a:p>
      </xdr:txBody>
    </xdr:sp>
    <xdr:clientData/>
  </xdr:twoCellAnchor>
  <xdr:twoCellAnchor editAs="absolute">
    <xdr:from>
      <xdr:col>13</xdr:col>
      <xdr:colOff>139680</xdr:colOff>
      <xdr:row>68</xdr:row>
      <xdr:rowOff>25560</xdr:rowOff>
    </xdr:from>
    <xdr:to>
      <xdr:col>15</xdr:col>
      <xdr:colOff>453600</xdr:colOff>
      <xdr:row>69</xdr:row>
      <xdr:rowOff>35640</xdr:rowOff>
    </xdr:to>
    <xdr:sp>
      <xdr:nvSpPr>
        <xdr:cNvPr id="5" name="CustomShape 1"/>
        <xdr:cNvSpPr/>
      </xdr:nvSpPr>
      <xdr:spPr>
        <a:xfrm>
          <a:off x="11792520" y="11859840"/>
          <a:ext cx="1886040" cy="185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absolute">
    <xdr:from>
      <xdr:col>29</xdr:col>
      <xdr:colOff>63000</xdr:colOff>
      <xdr:row>0</xdr:row>
      <xdr:rowOff>111960</xdr:rowOff>
    </xdr:from>
    <xdr:to>
      <xdr:col>29</xdr:col>
      <xdr:colOff>76320</xdr:colOff>
      <xdr:row>43</xdr:row>
      <xdr:rowOff>93960</xdr:rowOff>
    </xdr:to>
    <xdr:sp>
      <xdr:nvSpPr>
        <xdr:cNvPr id="6" name="Line 1"/>
        <xdr:cNvSpPr/>
      </xdr:nvSpPr>
      <xdr:spPr>
        <a:xfrm flipH="1">
          <a:off x="24390360" y="111960"/>
          <a:ext cx="13320" cy="7434720"/>
        </a:xfrm>
        <a:prstGeom prst="line">
          <a:avLst/>
        </a:prstGeom>
        <a:ln w="36720">
          <a:solidFill>
            <a:srgbClr val="3465a4"/>
          </a:solidFill>
          <a:round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img1.wsimg.com/blobby/go/f9e3a0fb-605a-4149-a3d0-1321eb3788fa/downloads/Expense%20Contingencies.pdf?ver=1554503779723" TargetMode="External"/><Relationship Id="rId3" Type="http://schemas.openxmlformats.org/officeDocument/2006/relationships/hyperlink" Target="https://img1.wsimg.com/blobby/go/f9e3a0fb-605a-4149-a3d0-1321eb3788fa/downloads/Expense%20Contingencies.pdf?ver=1554503779723" TargetMode="External"/><Relationship Id="rId4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21" activeCellId="0" sqref="C21"/>
    </sheetView>
  </sheetViews>
  <sheetFormatPr defaultRowHeight="13.8"/>
  <cols>
    <col collapsed="false" hidden="false" max="1" min="1" style="0" width="3.86511627906977"/>
    <col collapsed="false" hidden="false" max="2" min="2" style="0" width="9.82790697674419"/>
    <col collapsed="false" hidden="false" max="3" min="3" style="0" width="35"/>
    <col collapsed="false" hidden="false" max="4" min="4" style="0" width="10.0093023255814"/>
    <col collapsed="false" hidden="false" max="5" min="5" style="0" width="10.1255813953488"/>
    <col collapsed="false" hidden="false" max="11" min="6" style="0" width="10.1581395348837"/>
    <col collapsed="false" hidden="false" max="12" min="12" style="0" width="10.6325581395349"/>
    <col collapsed="false" hidden="false" max="18" min="13" style="0" width="10.1581395348837"/>
    <col collapsed="false" hidden="false" max="19" min="19" style="0" width="10.3209302325581"/>
    <col collapsed="false" hidden="false" max="23" min="20" style="0" width="10.1581395348837"/>
    <col collapsed="false" hidden="false" max="24" min="24" style="1" width="10.1581395348837"/>
    <col collapsed="false" hidden="false" max="27" min="25" style="0" width="10.1581395348837"/>
    <col collapsed="false" hidden="false" max="28" min="28" style="0" width="11.2744186046512"/>
    <col collapsed="false" hidden="false" max="29" min="29" style="0" width="10.1255813953488"/>
    <col collapsed="false" hidden="false" max="30" min="30" style="0" width="16.753488372093"/>
    <col collapsed="false" hidden="false" max="1025" min="31" style="0" width="10.6232558139535"/>
  </cols>
  <sheetData>
    <row r="1" customFormat="false" ht="10.25" hidden="false" customHeight="true" outlineLevel="0" collapsed="false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3"/>
      <c r="U1" s="3"/>
      <c r="V1" s="3"/>
      <c r="W1" s="3"/>
      <c r="X1" s="5" t="s">
        <v>1</v>
      </c>
      <c r="Y1" s="3"/>
      <c r="Z1" s="3"/>
      <c r="AA1" s="3"/>
      <c r="AB1" s="3"/>
      <c r="AC1" s="6"/>
    </row>
    <row r="2" customFormat="false" ht="15.75" hidden="false" customHeight="true" outlineLevel="0" collapsed="false">
      <c r="B2" s="7" t="s">
        <v>2</v>
      </c>
      <c r="D2" s="8"/>
      <c r="E2" s="9"/>
      <c r="F2" s="9"/>
      <c r="G2" s="9"/>
      <c r="H2" s="8"/>
      <c r="I2" s="8"/>
      <c r="J2" s="8"/>
      <c r="K2" s="8"/>
      <c r="L2" s="8"/>
      <c r="M2" s="8"/>
      <c r="N2" s="8"/>
      <c r="O2" s="10"/>
      <c r="S2" s="4"/>
      <c r="W2" s="11"/>
      <c r="X2" s="5"/>
      <c r="AC2" s="12"/>
    </row>
    <row r="3" customFormat="false" ht="14.35" hidden="false" customHeight="true" outlineLevel="0" collapsed="false">
      <c r="B3" s="13"/>
      <c r="D3" s="14"/>
      <c r="E3" s="9"/>
      <c r="F3" s="9"/>
      <c r="G3" s="9"/>
      <c r="H3" s="8"/>
      <c r="I3" s="14"/>
      <c r="J3" s="14"/>
      <c r="K3" s="8"/>
      <c r="L3" s="8"/>
      <c r="M3" s="8"/>
      <c r="N3" s="14"/>
      <c r="O3" s="15"/>
      <c r="S3" s="4"/>
      <c r="T3" s="16"/>
      <c r="X3" s="5"/>
      <c r="Y3" s="16"/>
      <c r="AC3" s="12"/>
      <c r="AD3" s="10"/>
    </row>
    <row r="4" customFormat="false" ht="13.7" hidden="false" customHeight="true" outlineLevel="0" collapsed="false">
      <c r="B4" s="17"/>
      <c r="C4" s="18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1" t="s">
        <v>9</v>
      </c>
      <c r="J4" s="22" t="s">
        <v>10</v>
      </c>
      <c r="K4" s="20" t="s">
        <v>11</v>
      </c>
      <c r="L4" s="20" t="s">
        <v>12</v>
      </c>
      <c r="M4" s="20" t="s">
        <v>13</v>
      </c>
      <c r="N4" s="23" t="s">
        <v>14</v>
      </c>
      <c r="O4" s="22" t="s">
        <v>15</v>
      </c>
      <c r="P4" s="20" t="s">
        <v>16</v>
      </c>
      <c r="Q4" s="20" t="s">
        <v>17</v>
      </c>
      <c r="R4" s="20" t="s">
        <v>18</v>
      </c>
      <c r="S4" s="24" t="s">
        <v>19</v>
      </c>
      <c r="T4" s="22" t="s">
        <v>20</v>
      </c>
      <c r="U4" s="20" t="s">
        <v>21</v>
      </c>
      <c r="V4" s="20" t="s">
        <v>22</v>
      </c>
      <c r="W4" s="20" t="s">
        <v>23</v>
      </c>
      <c r="X4" s="25" t="s">
        <v>24</v>
      </c>
      <c r="Y4" s="22" t="s">
        <v>25</v>
      </c>
      <c r="Z4" s="26" t="s">
        <v>26</v>
      </c>
      <c r="AA4" s="20" t="s">
        <v>27</v>
      </c>
      <c r="AB4" s="20" t="s">
        <v>28</v>
      </c>
      <c r="AC4" s="23" t="s">
        <v>29</v>
      </c>
      <c r="AD4" s="27"/>
    </row>
    <row r="5" customFormat="false" ht="13.7" hidden="false" customHeight="true" outlineLevel="0" collapsed="false">
      <c r="B5" s="28"/>
      <c r="C5" s="29"/>
      <c r="D5" s="30"/>
      <c r="E5" s="31"/>
      <c r="F5" s="31"/>
      <c r="G5" s="32"/>
      <c r="H5" s="31"/>
      <c r="I5" s="33"/>
      <c r="J5" s="28"/>
      <c r="K5" s="29"/>
      <c r="L5" s="34"/>
      <c r="M5" s="29"/>
      <c r="N5" s="35" t="s">
        <v>30</v>
      </c>
      <c r="O5" s="36"/>
      <c r="P5" s="31"/>
      <c r="Q5" s="32"/>
      <c r="R5" s="31"/>
      <c r="S5" s="37" t="s">
        <v>31</v>
      </c>
      <c r="T5" s="13"/>
      <c r="X5" s="38" t="s">
        <v>32</v>
      </c>
      <c r="Y5" s="36"/>
      <c r="Z5" s="31"/>
      <c r="AA5" s="32"/>
      <c r="AB5" s="31"/>
      <c r="AC5" s="35" t="s">
        <v>33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customFormat="false" ht="13.7" hidden="false" customHeight="true" outlineLevel="0" collapsed="false">
      <c r="B6" s="39"/>
      <c r="C6" s="40"/>
      <c r="D6" s="41"/>
      <c r="E6" s="42"/>
      <c r="F6" s="42"/>
      <c r="G6" s="43"/>
      <c r="H6" s="42"/>
      <c r="I6" s="44"/>
      <c r="J6" s="45" t="n">
        <f aca="false">(($L$6/3*2)/3)*2</f>
        <v>0</v>
      </c>
      <c r="K6" s="46" t="n">
        <f aca="false">($L$5/3*2)/3</f>
        <v>0</v>
      </c>
      <c r="L6" s="43"/>
      <c r="M6" s="47" t="n">
        <f aca="false">$L$6/3</f>
        <v>0</v>
      </c>
      <c r="N6" s="35"/>
      <c r="O6" s="48"/>
      <c r="P6" s="42"/>
      <c r="Q6" s="43"/>
      <c r="R6" s="42"/>
      <c r="S6" s="37"/>
      <c r="T6" s="49"/>
      <c r="U6" s="50"/>
      <c r="V6" s="51"/>
      <c r="W6" s="52"/>
      <c r="X6" s="38"/>
      <c r="Y6" s="48"/>
      <c r="Z6" s="42"/>
      <c r="AA6" s="43"/>
      <c r="AB6" s="42"/>
      <c r="AC6" s="35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="53" customFormat="true" ht="13.7" hidden="false" customHeight="true" outlineLevel="0" collapsed="false">
      <c r="B7" s="54" t="s">
        <v>34</v>
      </c>
      <c r="C7" s="55" t="s">
        <v>35</v>
      </c>
      <c r="D7" s="56" t="n">
        <f aca="false">+I7+N7+S7+X7+AC7</f>
        <v>147200</v>
      </c>
      <c r="E7" s="57"/>
      <c r="F7" s="57"/>
      <c r="G7" s="57"/>
      <c r="H7" s="8" t="n">
        <v>0</v>
      </c>
      <c r="I7" s="58" t="n">
        <f aca="false">SUM(E7:H7)</f>
        <v>0</v>
      </c>
      <c r="J7" s="59" t="n">
        <v>4483.55555555556</v>
      </c>
      <c r="K7" s="59" t="n">
        <v>2241.77777777778</v>
      </c>
      <c r="L7" s="60" t="n">
        <v>312</v>
      </c>
      <c r="M7" s="59" t="n">
        <v>3362.66666666667</v>
      </c>
      <c r="N7" s="58" t="n">
        <f aca="false">SUM(J7:M7)</f>
        <v>10400</v>
      </c>
      <c r="O7" s="61" t="n">
        <v>10648.4444444444</v>
      </c>
      <c r="P7" s="62" t="n">
        <v>5324.22222222222</v>
      </c>
      <c r="Q7" s="57" t="n">
        <v>741</v>
      </c>
      <c r="R7" s="62" t="n">
        <v>7986.33333333333</v>
      </c>
      <c r="S7" s="63" t="n">
        <f aca="false">SUM(O7:R7)</f>
        <v>24699.9999999999</v>
      </c>
      <c r="T7" s="61" t="n">
        <v>22116</v>
      </c>
      <c r="U7" s="62" t="n">
        <v>11058</v>
      </c>
      <c r="V7" s="57" t="n">
        <v>1539</v>
      </c>
      <c r="W7" s="62" t="n">
        <v>16587</v>
      </c>
      <c r="X7" s="64" t="n">
        <f aca="false">SUM(T7:W7)</f>
        <v>51300</v>
      </c>
      <c r="Y7" s="61" t="n">
        <v>26211.5555555556</v>
      </c>
      <c r="Z7" s="62" t="n">
        <v>13105.7777777778</v>
      </c>
      <c r="AA7" s="57" t="n">
        <v>1824</v>
      </c>
      <c r="AB7" s="62" t="n">
        <v>19658.6666666667</v>
      </c>
      <c r="AC7" s="65" t="n">
        <f aca="false">SUM(Y7:AB7)</f>
        <v>60800.0000000001</v>
      </c>
      <c r="AD7" s="66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53" customFormat="true" ht="13.7" hidden="false" customHeight="true" outlineLevel="0" collapsed="false">
      <c r="B8" s="54" t="s">
        <v>34</v>
      </c>
      <c r="C8" s="9" t="s">
        <v>36</v>
      </c>
      <c r="D8" s="56" t="n">
        <f aca="false">+I8+N8+S8+X8+AC8</f>
        <v>2832843.79733333</v>
      </c>
      <c r="E8" s="8"/>
      <c r="F8" s="8"/>
      <c r="G8" s="8"/>
      <c r="H8" s="8" t="n">
        <f aca="false">W8*0.2</f>
        <v>47776.8973333334</v>
      </c>
      <c r="I8" s="58" t="n">
        <f aca="false">SUM(E8:H8)</f>
        <v>47776.8973333334</v>
      </c>
      <c r="J8" s="59" t="n">
        <v>167278.396888889</v>
      </c>
      <c r="K8" s="59" t="n">
        <v>83639.1984444445</v>
      </c>
      <c r="L8" s="60" t="n">
        <v>11640.507</v>
      </c>
      <c r="M8" s="59" t="n">
        <v>125458.797666667</v>
      </c>
      <c r="N8" s="58" t="n">
        <f aca="false">SUM(J8:M8)</f>
        <v>388016.9</v>
      </c>
      <c r="O8" s="61" t="n">
        <v>295183.502222222</v>
      </c>
      <c r="P8" s="62" t="n">
        <v>147591.751111111</v>
      </c>
      <c r="Q8" s="57" t="n">
        <v>20541.12</v>
      </c>
      <c r="R8" s="62" t="n">
        <v>221387.626666667</v>
      </c>
      <c r="S8" s="63" t="n">
        <f aca="false">SUM(O8:R8)</f>
        <v>684704</v>
      </c>
      <c r="T8" s="61" t="n">
        <v>318512.648888889</v>
      </c>
      <c r="U8" s="62" t="n">
        <v>159256.324444444</v>
      </c>
      <c r="V8" s="57" t="n">
        <v>22164.54</v>
      </c>
      <c r="W8" s="62" t="n">
        <v>238884.486666667</v>
      </c>
      <c r="X8" s="64" t="n">
        <f aca="false">SUM(T8:W8)</f>
        <v>738818</v>
      </c>
      <c r="Y8" s="61" t="n">
        <v>419698.737777778</v>
      </c>
      <c r="Z8" s="62" t="n">
        <v>209849.368888889</v>
      </c>
      <c r="AA8" s="57" t="n">
        <v>29205.84</v>
      </c>
      <c r="AB8" s="62" t="n">
        <v>314774.053333333</v>
      </c>
      <c r="AC8" s="65" t="n">
        <f aca="false">SUM(Y8:AB8)</f>
        <v>973528</v>
      </c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7" hidden="false" customHeight="true" outlineLevel="0" collapsed="false">
      <c r="B9" s="54" t="s">
        <v>34</v>
      </c>
      <c r="C9" s="9" t="s">
        <v>37</v>
      </c>
      <c r="D9" s="56" t="n">
        <f aca="false">+I9+N9+S9+X9+AC9</f>
        <v>790763.16</v>
      </c>
      <c r="E9" s="8"/>
      <c r="F9" s="8"/>
      <c r="G9" s="8"/>
      <c r="H9" s="8" t="n">
        <v>0</v>
      </c>
      <c r="I9" s="58" t="n">
        <f aca="false">SUM(E9:H9)</f>
        <v>0</v>
      </c>
      <c r="J9" s="59" t="n">
        <v>43159</v>
      </c>
      <c r="K9" s="59" t="n">
        <v>21232</v>
      </c>
      <c r="L9" s="60" t="n">
        <v>2864.16</v>
      </c>
      <c r="M9" s="59" t="n">
        <v>36173</v>
      </c>
      <c r="N9" s="58" t="n">
        <f aca="false">SUM(J9:M9)</f>
        <v>103428.16</v>
      </c>
      <c r="O9" s="61" t="n">
        <v>54692.48</v>
      </c>
      <c r="P9" s="62" t="n">
        <v>27346.24</v>
      </c>
      <c r="Q9" s="57" t="n">
        <v>3805.92</v>
      </c>
      <c r="R9" s="62" t="n">
        <v>41019.36</v>
      </c>
      <c r="S9" s="63" t="n">
        <f aca="false">SUM(O9:R9)</f>
        <v>126864</v>
      </c>
      <c r="T9" s="61" t="n">
        <v>119538.057777778</v>
      </c>
      <c r="U9" s="62" t="n">
        <v>59769.0288888889</v>
      </c>
      <c r="V9" s="57" t="n">
        <v>8318.37</v>
      </c>
      <c r="W9" s="62" t="n">
        <v>89653.5433333333</v>
      </c>
      <c r="X9" s="64" t="n">
        <f aca="false">SUM(T9:W9)</f>
        <v>277279</v>
      </c>
      <c r="Y9" s="61" t="n">
        <v>122087.217777778</v>
      </c>
      <c r="Z9" s="62" t="n">
        <v>61043.6088888889</v>
      </c>
      <c r="AA9" s="57" t="n">
        <v>8495.76</v>
      </c>
      <c r="AB9" s="62" t="n">
        <v>91565.4133333333</v>
      </c>
      <c r="AC9" s="65" t="n">
        <f aca="false">SUM(Y9:AB9)</f>
        <v>283192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customFormat="false" ht="13.7" hidden="false" customHeight="true" outlineLevel="0" collapsed="false">
      <c r="B10" s="54" t="str">
        <f aca="false">+B8</f>
        <v>KOA Fee</v>
      </c>
      <c r="C10" s="9" t="s">
        <v>38</v>
      </c>
      <c r="D10" s="56" t="n">
        <f aca="false">+I10+N10+S10+X10+AC10</f>
        <v>406931.2</v>
      </c>
      <c r="E10" s="8"/>
      <c r="F10" s="8"/>
      <c r="G10" s="8"/>
      <c r="H10" s="8" t="n">
        <f aca="false">W10*0.2</f>
        <v>6876.6</v>
      </c>
      <c r="I10" s="58" t="n">
        <f aca="false">SUM(E10:H10)</f>
        <v>6876.6</v>
      </c>
      <c r="J10" s="59" t="n">
        <v>34372.7475555555</v>
      </c>
      <c r="K10" s="59" t="n">
        <v>17186.3737777778</v>
      </c>
      <c r="L10" s="60" t="n">
        <v>2391.918</v>
      </c>
      <c r="M10" s="59" t="n">
        <v>25779.5606666667</v>
      </c>
      <c r="N10" s="58" t="n">
        <f aca="false">SUM(J10:M10)</f>
        <v>79730.6</v>
      </c>
      <c r="O10" s="61" t="n">
        <v>45649</v>
      </c>
      <c r="P10" s="62" t="n">
        <v>22825</v>
      </c>
      <c r="Q10" s="57" t="n">
        <v>0</v>
      </c>
      <c r="R10" s="62" t="n">
        <v>34237</v>
      </c>
      <c r="S10" s="63" t="n">
        <f aca="false">SUM(O10:R10)</f>
        <v>102711</v>
      </c>
      <c r="T10" s="61" t="n">
        <v>45844</v>
      </c>
      <c r="U10" s="62" t="n">
        <v>22922</v>
      </c>
      <c r="V10" s="57" t="n">
        <v>0</v>
      </c>
      <c r="W10" s="62" t="n">
        <v>34383</v>
      </c>
      <c r="X10" s="64" t="n">
        <f aca="false">SUM(T10:W10)</f>
        <v>103149</v>
      </c>
      <c r="Y10" s="61" t="n">
        <v>50873</v>
      </c>
      <c r="Z10" s="62" t="n">
        <v>25436</v>
      </c>
      <c r="AA10" s="57" t="n">
        <v>0</v>
      </c>
      <c r="AB10" s="62" t="n">
        <v>38155</v>
      </c>
      <c r="AC10" s="65" t="n">
        <f aca="false">SUM(Y10:AB10)</f>
        <v>114464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customFormat="false" ht="13.7" hidden="false" customHeight="true" outlineLevel="0" collapsed="false">
      <c r="B11" s="54" t="str">
        <f aca="false">+B10</f>
        <v>KOA Fee</v>
      </c>
      <c r="C11" s="9" t="s">
        <v>39</v>
      </c>
      <c r="D11" s="56" t="n">
        <f aca="false">+I11+N11+S11+X11+AC11</f>
        <v>698616.6</v>
      </c>
      <c r="E11" s="8"/>
      <c r="F11" s="8"/>
      <c r="G11" s="8"/>
      <c r="H11" s="8" t="n">
        <f aca="false">W11*0.2</f>
        <v>13875.8</v>
      </c>
      <c r="I11" s="58" t="n">
        <f aca="false">SUM(E11:H11)</f>
        <v>13875.8</v>
      </c>
      <c r="J11" s="59" t="n">
        <v>43260.1893333333</v>
      </c>
      <c r="K11" s="59" t="n">
        <v>21630.0946666667</v>
      </c>
      <c r="L11" s="60" t="n">
        <v>3010.374</v>
      </c>
      <c r="M11" s="59" t="n">
        <v>32445.142</v>
      </c>
      <c r="N11" s="58" t="n">
        <f aca="false">SUM(J11:M11)</f>
        <v>100345.8</v>
      </c>
      <c r="O11" s="61" t="n">
        <v>74720</v>
      </c>
      <c r="P11" s="62" t="n">
        <v>37260</v>
      </c>
      <c r="Q11" s="57" t="n">
        <v>0</v>
      </c>
      <c r="R11" s="62" t="n">
        <v>56139</v>
      </c>
      <c r="S11" s="63" t="n">
        <f aca="false">SUM(O11:R11)</f>
        <v>168119</v>
      </c>
      <c r="T11" s="61" t="n">
        <v>92506</v>
      </c>
      <c r="U11" s="62" t="n">
        <v>46253</v>
      </c>
      <c r="V11" s="57" t="n">
        <v>0</v>
      </c>
      <c r="W11" s="62" t="n">
        <v>69379</v>
      </c>
      <c r="X11" s="64" t="n">
        <f aca="false">SUM(T11:W11)</f>
        <v>208138</v>
      </c>
      <c r="Y11" s="61" t="n">
        <v>92506</v>
      </c>
      <c r="Z11" s="62" t="n">
        <v>46253</v>
      </c>
      <c r="AA11" s="57" t="n">
        <v>0</v>
      </c>
      <c r="AB11" s="62" t="n">
        <v>69379</v>
      </c>
      <c r="AC11" s="65" t="n">
        <f aca="false">SUM(Y11:AB11)</f>
        <v>208138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customFormat="false" ht="13.7" hidden="false" customHeight="true" outlineLevel="0" collapsed="false">
      <c r="B12" s="54" t="str">
        <f aca="false">+B11</f>
        <v>KOA Fee</v>
      </c>
      <c r="C12" s="9" t="s">
        <v>40</v>
      </c>
      <c r="D12" s="56" t="n">
        <f aca="false">+I12+N12+S12+X12+AC12</f>
        <v>49425.8</v>
      </c>
      <c r="E12" s="8"/>
      <c r="F12" s="8"/>
      <c r="G12" s="8"/>
      <c r="H12" s="8" t="n">
        <f aca="false">W12*0.2</f>
        <v>1129</v>
      </c>
      <c r="I12" s="58" t="n">
        <f aca="false">SUM(E12:H12)</f>
        <v>1129</v>
      </c>
      <c r="J12" s="59" t="n">
        <v>1309.19822222222</v>
      </c>
      <c r="K12" s="59" t="n">
        <v>654.599111111112</v>
      </c>
      <c r="L12" s="60" t="n">
        <v>91.1040000000001</v>
      </c>
      <c r="M12" s="59" t="n">
        <v>981.898666666667</v>
      </c>
      <c r="N12" s="58" t="n">
        <f aca="false">SUM(J12:M12)</f>
        <v>3036.8</v>
      </c>
      <c r="O12" s="61" t="n">
        <v>4552</v>
      </c>
      <c r="P12" s="62" t="n">
        <v>2261</v>
      </c>
      <c r="Q12" s="57" t="n">
        <v>0</v>
      </c>
      <c r="R12" s="62" t="n">
        <v>3407</v>
      </c>
      <c r="S12" s="63" t="n">
        <f aca="false">SUM(O12:R12)</f>
        <v>10220</v>
      </c>
      <c r="T12" s="61" t="n">
        <v>7527</v>
      </c>
      <c r="U12" s="62" t="n">
        <v>3764</v>
      </c>
      <c r="V12" s="57" t="n">
        <v>0</v>
      </c>
      <c r="W12" s="62" t="n">
        <v>5645</v>
      </c>
      <c r="X12" s="64" t="n">
        <f aca="false">SUM(T12:W12)</f>
        <v>16936</v>
      </c>
      <c r="Y12" s="61" t="n">
        <v>8046</v>
      </c>
      <c r="Z12" s="62" t="n">
        <v>4023</v>
      </c>
      <c r="AA12" s="57" t="n">
        <v>0</v>
      </c>
      <c r="AB12" s="62" t="n">
        <v>6035</v>
      </c>
      <c r="AC12" s="65" t="n">
        <f aca="false">SUM(Y12:AB12)</f>
        <v>18104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customFormat="false" ht="13.7" hidden="false" customHeight="true" outlineLevel="0" collapsed="false">
      <c r="B13" s="54"/>
      <c r="C13" s="9" t="s">
        <v>41</v>
      </c>
      <c r="D13" s="56" t="n">
        <f aca="false">+I13+N13+S13+X13+AC13</f>
        <v>98725</v>
      </c>
      <c r="E13" s="8"/>
      <c r="F13" s="8"/>
      <c r="G13" s="8"/>
      <c r="H13" s="8"/>
      <c r="I13" s="58"/>
      <c r="J13" s="59" t="n">
        <v>3114.77777777778</v>
      </c>
      <c r="K13" s="59" t="n">
        <v>1557.38888888889</v>
      </c>
      <c r="L13" s="60" t="n">
        <v>216.75</v>
      </c>
      <c r="M13" s="59" t="n">
        <v>2336.08333333333</v>
      </c>
      <c r="N13" s="58" t="n">
        <f aca="false">SUM(J13:M13)</f>
        <v>7225</v>
      </c>
      <c r="O13" s="61" t="n">
        <v>7975.55555555556</v>
      </c>
      <c r="P13" s="62" t="n">
        <v>3987.77777777778</v>
      </c>
      <c r="Q13" s="57" t="n">
        <v>555</v>
      </c>
      <c r="R13" s="62" t="n">
        <v>5981.66666666667</v>
      </c>
      <c r="S13" s="63" t="n">
        <f aca="false">SUM(O13:R13)</f>
        <v>18500</v>
      </c>
      <c r="T13" s="61" t="n">
        <v>14226.6666666667</v>
      </c>
      <c r="U13" s="62" t="n">
        <v>7113.33333333333</v>
      </c>
      <c r="V13" s="57" t="n">
        <v>990</v>
      </c>
      <c r="W13" s="62" t="n">
        <v>10670</v>
      </c>
      <c r="X13" s="64" t="n">
        <f aca="false">SUM(T13:W13)</f>
        <v>33000</v>
      </c>
      <c r="Y13" s="61" t="n">
        <v>17244.4444444444</v>
      </c>
      <c r="Z13" s="62" t="n">
        <v>8622.22222222222</v>
      </c>
      <c r="AA13" s="57" t="n">
        <v>1200</v>
      </c>
      <c r="AB13" s="62" t="n">
        <v>12933.3333333333</v>
      </c>
      <c r="AC13" s="65" t="n">
        <f aca="false">SUM(Y13:AB13)</f>
        <v>39999.9999999999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="10" customFormat="true" ht="13.7" hidden="false" customHeight="true" outlineLevel="0" collapsed="false">
      <c r="B14" s="68"/>
      <c r="C14" s="8" t="s">
        <v>42</v>
      </c>
      <c r="D14" s="56" t="n">
        <f aca="false">+I14+N14+S14+X14+AC14</f>
        <v>151678.333333333</v>
      </c>
      <c r="E14" s="8"/>
      <c r="F14" s="8"/>
      <c r="G14" s="8"/>
      <c r="H14" s="8" t="n">
        <f aca="false">W14*0.2</f>
        <v>2651.33333333334</v>
      </c>
      <c r="I14" s="58" t="n">
        <f aca="false">SUM(E14:H14)</f>
        <v>2651.33333333334</v>
      </c>
      <c r="J14" s="59" t="n">
        <v>12168.9733333333</v>
      </c>
      <c r="K14" s="59" t="n">
        <v>6084.48666666667</v>
      </c>
      <c r="L14" s="60" t="n">
        <v>846.81</v>
      </c>
      <c r="M14" s="59" t="n">
        <v>9126.73</v>
      </c>
      <c r="N14" s="58" t="n">
        <f aca="false">SUM(J14:M14)</f>
        <v>28227</v>
      </c>
      <c r="O14" s="61" t="n">
        <v>15864.8888888889</v>
      </c>
      <c r="P14" s="62" t="n">
        <v>7932.44444444444</v>
      </c>
      <c r="Q14" s="57" t="n">
        <v>1104</v>
      </c>
      <c r="R14" s="62" t="n">
        <v>11898.6666666667</v>
      </c>
      <c r="S14" s="63" t="n">
        <f aca="false">SUM(O14:R14)</f>
        <v>36800</v>
      </c>
      <c r="T14" s="61" t="n">
        <v>17675.5555555556</v>
      </c>
      <c r="U14" s="62" t="n">
        <v>8837.77777777778</v>
      </c>
      <c r="V14" s="57" t="n">
        <v>1230</v>
      </c>
      <c r="W14" s="62" t="n">
        <v>13256.6666666667</v>
      </c>
      <c r="X14" s="64" t="n">
        <f aca="false">SUM(T14:W14)</f>
        <v>41000.0000000001</v>
      </c>
      <c r="Y14" s="61" t="n">
        <v>18537.7777777778</v>
      </c>
      <c r="Z14" s="62" t="n">
        <v>9268.88888888889</v>
      </c>
      <c r="AA14" s="57" t="n">
        <v>1290</v>
      </c>
      <c r="AB14" s="62" t="n">
        <v>13903.3333333333</v>
      </c>
      <c r="AC14" s="65" t="n">
        <f aca="false">SUM(Y14:AB14)</f>
        <v>43000</v>
      </c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7" hidden="false" customHeight="true" outlineLevel="0" collapsed="false">
      <c r="B15" s="54"/>
      <c r="C15" s="9" t="s">
        <v>43</v>
      </c>
      <c r="D15" s="56" t="n">
        <f aca="false">+I15+N15+S15+X15+AC15</f>
        <v>120013.333333333</v>
      </c>
      <c r="E15" s="8"/>
      <c r="F15" s="8"/>
      <c r="G15" s="8"/>
      <c r="H15" s="8" t="n">
        <f aca="false">W15*0.2</f>
        <v>2263.33333333334</v>
      </c>
      <c r="I15" s="58" t="n">
        <f aca="false">SUM(E15:H15)</f>
        <v>2263.33333333334</v>
      </c>
      <c r="J15" s="59" t="n">
        <v>5496.66666666667</v>
      </c>
      <c r="K15" s="59" t="n">
        <v>2748.33333333333</v>
      </c>
      <c r="L15" s="60" t="n">
        <v>382.5</v>
      </c>
      <c r="M15" s="59" t="n">
        <v>4122.5</v>
      </c>
      <c r="N15" s="58" t="n">
        <f aca="false">SUM(J15:M15)</f>
        <v>12750</v>
      </c>
      <c r="O15" s="61" t="n">
        <v>15088.8888888889</v>
      </c>
      <c r="P15" s="62" t="n">
        <v>7544.44444444444</v>
      </c>
      <c r="Q15" s="57" t="n">
        <v>1050</v>
      </c>
      <c r="R15" s="62" t="n">
        <v>11316.6666666667</v>
      </c>
      <c r="S15" s="63" t="n">
        <f aca="false">SUM(O15:R15)</f>
        <v>35000</v>
      </c>
      <c r="T15" s="61" t="n">
        <v>15088.8888888889</v>
      </c>
      <c r="U15" s="62" t="n">
        <v>7544.44444444444</v>
      </c>
      <c r="V15" s="57" t="n">
        <v>1050</v>
      </c>
      <c r="W15" s="62" t="n">
        <v>11316.6666666667</v>
      </c>
      <c r="X15" s="64" t="n">
        <f aca="false">SUM(T15:W15)</f>
        <v>35000</v>
      </c>
      <c r="Y15" s="61" t="n">
        <v>15088.8888888889</v>
      </c>
      <c r="Z15" s="62" t="n">
        <v>7544.44444444444</v>
      </c>
      <c r="AA15" s="57" t="n">
        <v>1050</v>
      </c>
      <c r="AB15" s="62" t="n">
        <v>11316.6666666667</v>
      </c>
      <c r="AC15" s="65" t="n">
        <f aca="false">SUM(Y15:AB15)</f>
        <v>35000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customFormat="false" ht="13.7" hidden="false" customHeight="true" outlineLevel="0" collapsed="false">
      <c r="B16" s="54"/>
      <c r="C16" s="9" t="s">
        <v>44</v>
      </c>
      <c r="D16" s="56" t="n">
        <f aca="false">+I16+N16+S16+X16+AC16</f>
        <v>239700</v>
      </c>
      <c r="E16" s="8"/>
      <c r="F16" s="8"/>
      <c r="G16" s="8"/>
      <c r="H16" s="8"/>
      <c r="I16" s="58"/>
      <c r="J16" s="59" t="n">
        <v>8061.77777777778</v>
      </c>
      <c r="K16" s="59" t="n">
        <v>4030.88888888889</v>
      </c>
      <c r="L16" s="60" t="n">
        <v>561</v>
      </c>
      <c r="M16" s="59" t="n">
        <v>6046.33333333333</v>
      </c>
      <c r="N16" s="58" t="n">
        <f aca="false">SUM(J16:M16)</f>
        <v>18700</v>
      </c>
      <c r="O16" s="61" t="n">
        <v>19831.1111111111</v>
      </c>
      <c r="P16" s="62" t="n">
        <v>9915.55555555556</v>
      </c>
      <c r="Q16" s="57" t="n">
        <v>1380</v>
      </c>
      <c r="R16" s="62" t="n">
        <v>14873.3333333333</v>
      </c>
      <c r="S16" s="63" t="n">
        <f aca="false">SUM(O16:R16)</f>
        <v>46000</v>
      </c>
      <c r="T16" s="61" t="n">
        <v>36644.4444444444</v>
      </c>
      <c r="U16" s="62" t="n">
        <v>18322.2222222222</v>
      </c>
      <c r="V16" s="57" t="n">
        <v>2550</v>
      </c>
      <c r="W16" s="62" t="n">
        <v>27483.3333333333</v>
      </c>
      <c r="X16" s="64" t="n">
        <f aca="false">SUM(T16:W16)</f>
        <v>84999.9999999999</v>
      </c>
      <c r="Y16" s="61" t="n">
        <v>38800</v>
      </c>
      <c r="Z16" s="62" t="n">
        <v>19400</v>
      </c>
      <c r="AA16" s="57" t="n">
        <v>2700</v>
      </c>
      <c r="AB16" s="62" t="n">
        <v>29100</v>
      </c>
      <c r="AC16" s="65" t="n">
        <f aca="false">SUM(Y16:AB16)</f>
        <v>90000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customFormat="false" ht="13.7" hidden="false" customHeight="true" outlineLevel="0" collapsed="false">
      <c r="A17" s="10"/>
      <c r="B17" s="69"/>
      <c r="C17" s="9" t="s">
        <v>45</v>
      </c>
      <c r="D17" s="56" t="n">
        <f aca="false">+I17+N17+S17+X17+AC17</f>
        <v>225538.666666667</v>
      </c>
      <c r="E17" s="8"/>
      <c r="F17" s="8"/>
      <c r="G17" s="8"/>
      <c r="H17" s="8" t="n">
        <f aca="false">W17*0.2</f>
        <v>4138.66666666666</v>
      </c>
      <c r="I17" s="58" t="n">
        <f aca="false">SUM(E17:H17)</f>
        <v>4138.66666666666</v>
      </c>
      <c r="J17" s="59" t="n">
        <v>16123.5555555556</v>
      </c>
      <c r="K17" s="59" t="n">
        <v>8061.77777777778</v>
      </c>
      <c r="L17" s="60" t="n">
        <v>1122</v>
      </c>
      <c r="M17" s="59" t="n">
        <v>12092.6666666667</v>
      </c>
      <c r="N17" s="58" t="n">
        <f aca="false">SUM(J17:M17)</f>
        <v>37400</v>
      </c>
      <c r="O17" s="61" t="n">
        <v>19831.1111111111</v>
      </c>
      <c r="P17" s="62" t="n">
        <v>9915.55555555556</v>
      </c>
      <c r="Q17" s="57" t="n">
        <v>1380</v>
      </c>
      <c r="R17" s="62" t="n">
        <v>14873.3333333333</v>
      </c>
      <c r="S17" s="63" t="n">
        <f aca="false">SUM(O17:R17)</f>
        <v>46000</v>
      </c>
      <c r="T17" s="61" t="n">
        <v>27591.1111111111</v>
      </c>
      <c r="U17" s="62" t="n">
        <v>13795.5555555556</v>
      </c>
      <c r="V17" s="57" t="n">
        <v>1920</v>
      </c>
      <c r="W17" s="62" t="n">
        <v>20693.3333333333</v>
      </c>
      <c r="X17" s="64" t="n">
        <f aca="false">SUM(T17:W17)</f>
        <v>64000</v>
      </c>
      <c r="Y17" s="61" t="n">
        <v>31902.2222222222</v>
      </c>
      <c r="Z17" s="62" t="n">
        <v>15951.1111111111</v>
      </c>
      <c r="AA17" s="57" t="n">
        <v>2220</v>
      </c>
      <c r="AB17" s="62" t="n">
        <v>23926.6666666667</v>
      </c>
      <c r="AC17" s="65" t="n">
        <f aca="false">SUM(Y17:AB17)</f>
        <v>74000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customFormat="false" ht="13.7" hidden="false" customHeight="true" outlineLevel="0" collapsed="false">
      <c r="A18" s="10"/>
      <c r="B18" s="69"/>
      <c r="C18" s="70" t="s">
        <v>46</v>
      </c>
      <c r="D18" s="56" t="n">
        <f aca="false">+I18+N18+S18+X18+AC18</f>
        <v>0</v>
      </c>
      <c r="E18" s="71"/>
      <c r="F18" s="71"/>
      <c r="G18" s="71"/>
      <c r="H18" s="8" t="n">
        <v>0</v>
      </c>
      <c r="I18" s="58" t="n">
        <f aca="false">SUM(E18:H18)</f>
        <v>0</v>
      </c>
      <c r="J18" s="61" t="n">
        <v>0</v>
      </c>
      <c r="K18" s="61" t="n">
        <v>0</v>
      </c>
      <c r="L18" s="61" t="n">
        <v>0</v>
      </c>
      <c r="M18" s="61" t="n">
        <v>0</v>
      </c>
      <c r="N18" s="58" t="n">
        <f aca="false">SUM(J18:M18)</f>
        <v>0</v>
      </c>
      <c r="O18" s="61" t="n">
        <v>0</v>
      </c>
      <c r="P18" s="61" t="n">
        <v>0</v>
      </c>
      <c r="Q18" s="61" t="n">
        <v>0</v>
      </c>
      <c r="R18" s="61" t="n">
        <v>0</v>
      </c>
      <c r="S18" s="63" t="n">
        <f aca="false">SUM(O18:R18)</f>
        <v>0</v>
      </c>
      <c r="T18" s="61" t="n">
        <v>0</v>
      </c>
      <c r="U18" s="61" t="n">
        <v>0</v>
      </c>
      <c r="V18" s="61" t="n">
        <v>0</v>
      </c>
      <c r="W18" s="61" t="n">
        <v>0</v>
      </c>
      <c r="X18" s="64" t="n">
        <f aca="false">SUM(T18:W18)</f>
        <v>0</v>
      </c>
      <c r="Y18" s="61" t="n">
        <v>0</v>
      </c>
      <c r="Z18" s="61" t="n">
        <v>0</v>
      </c>
      <c r="AA18" s="61" t="n">
        <v>0</v>
      </c>
      <c r="AB18" s="61" t="n">
        <v>0</v>
      </c>
      <c r="AC18" s="65" t="n">
        <f aca="false">SUM(Y18:AB18)</f>
        <v>0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customFormat="false" ht="13.7" hidden="false" customHeight="true" outlineLevel="0" collapsed="false">
      <c r="A19" s="10"/>
      <c r="B19" s="69"/>
      <c r="C19" s="72" t="s">
        <v>47</v>
      </c>
      <c r="D19" s="73" t="n">
        <f aca="false">+I19+N19+S19+X19+AC19</f>
        <v>5761435.89066667</v>
      </c>
      <c r="E19" s="74" t="n">
        <f aca="false">SUM(E6:E18)</f>
        <v>0</v>
      </c>
      <c r="F19" s="74" t="n">
        <f aca="false">SUM(F6:F18)</f>
        <v>0</v>
      </c>
      <c r="G19" s="74" t="n">
        <f aca="false">SUM(G6:G18)</f>
        <v>0</v>
      </c>
      <c r="H19" s="74" t="n">
        <f aca="false">SUM(H7:H18)</f>
        <v>78711.6306666668</v>
      </c>
      <c r="I19" s="75" t="n">
        <f aca="false">SUM(E19:H19)</f>
        <v>78711.6306666668</v>
      </c>
      <c r="J19" s="76" t="n">
        <f aca="false">SUM(J7:J18)</f>
        <v>338828.838666667</v>
      </c>
      <c r="K19" s="77" t="n">
        <f aca="false">SUM(K7:K18)</f>
        <v>169066.919333333</v>
      </c>
      <c r="L19" s="77" t="n">
        <f aca="false">SUM(L7:L18)</f>
        <v>23439.123</v>
      </c>
      <c r="M19" s="77" t="n">
        <f aca="false">SUM(M7:M18)</f>
        <v>257925.379</v>
      </c>
      <c r="N19" s="75" t="n">
        <f aca="false">SUM(N7:N18)</f>
        <v>789260.26</v>
      </c>
      <c r="O19" s="78" t="n">
        <f aca="false">SUM(O7:O18)</f>
        <v>564036.982222222</v>
      </c>
      <c r="P19" s="79" t="n">
        <f aca="false">SUM(P7:P18)</f>
        <v>281903.991111111</v>
      </c>
      <c r="Q19" s="79" t="n">
        <f aca="false">SUM(Q7:Q18)</f>
        <v>30557.04</v>
      </c>
      <c r="R19" s="79" t="n">
        <f aca="false">SUM(R7:R18)</f>
        <v>423119.986666667</v>
      </c>
      <c r="S19" s="80" t="n">
        <f aca="false">SUM(O19:R19)</f>
        <v>1299618</v>
      </c>
      <c r="T19" s="81" t="n">
        <f aca="false">SUM(T7:T18)</f>
        <v>717270.373333334</v>
      </c>
      <c r="U19" s="82" t="n">
        <f aca="false">SUM(U7:U18)</f>
        <v>358635.686666666</v>
      </c>
      <c r="V19" s="82" t="n">
        <f aca="false">SUM(V7:V18)</f>
        <v>39761.91</v>
      </c>
      <c r="W19" s="82" t="n">
        <f aca="false">SUM(W7:W18)</f>
        <v>537952.03</v>
      </c>
      <c r="X19" s="73" t="n">
        <f aca="false">SUM(X7:X18)</f>
        <v>1653620</v>
      </c>
      <c r="Y19" s="78" t="n">
        <f aca="false">SUM(Y7:Y18)</f>
        <v>840995.844444445</v>
      </c>
      <c r="Z19" s="79" t="n">
        <f aca="false">SUM(Z7:Z18)</f>
        <v>420497.422222222</v>
      </c>
      <c r="AA19" s="79" t="n">
        <f aca="false">SUM(AA7:AA18)</f>
        <v>47985.6</v>
      </c>
      <c r="AB19" s="79" t="n">
        <f aca="false">SUM(AB7:AB18)</f>
        <v>630747.133333333</v>
      </c>
      <c r="AC19" s="75" t="n">
        <f aca="false">SUM(AC7:AC18)</f>
        <v>1940226</v>
      </c>
      <c r="AD19" s="53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customFormat="false" ht="13.7" hidden="false" customHeight="true" outlineLevel="0" collapsed="false">
      <c r="A20" s="10"/>
      <c r="B20" s="69"/>
      <c r="C20" s="9" t="s">
        <v>48</v>
      </c>
      <c r="D20" s="56" t="n">
        <f aca="false">+I20+N20+S20+X20+AC20</f>
        <v>388489.7808</v>
      </c>
      <c r="E20" s="8"/>
      <c r="F20" s="8"/>
      <c r="G20" s="8"/>
      <c r="H20" s="8"/>
      <c r="I20" s="58" t="n">
        <f aca="false">SUM(E20:H20)</f>
        <v>0</v>
      </c>
      <c r="J20" s="83" t="n">
        <f aca="false">SUM(J7:J12)*0.08</f>
        <v>23509.0470044444</v>
      </c>
      <c r="K20" s="8" t="n">
        <f aca="false">SUM(K7:K12)*0.08</f>
        <v>11726.7235022222</v>
      </c>
      <c r="L20" s="8" t="n">
        <f aca="false">SUM(L7:L12)*0.08</f>
        <v>1624.80504</v>
      </c>
      <c r="M20" s="8" t="n">
        <f aca="false">SUM(M7:M12)*0.08</f>
        <v>17936.0852533334</v>
      </c>
      <c r="N20" s="58" t="n">
        <f aca="false">SUM(J20:M20)</f>
        <v>54796.6608</v>
      </c>
      <c r="O20" s="84" t="n">
        <f aca="false">SUM(O7:O12)*0.08</f>
        <v>38835.6341333333</v>
      </c>
      <c r="P20" s="85" t="n">
        <f aca="false">SUM(P7:P12)*0.08</f>
        <v>19408.6570666667</v>
      </c>
      <c r="Q20" s="85" t="n">
        <f aca="false">SUM(Q7:Q12)*0.08</f>
        <v>2007.0432</v>
      </c>
      <c r="R20" s="85" t="n">
        <f aca="false">SUM(R7:R12)*0.08</f>
        <v>29134.1056</v>
      </c>
      <c r="S20" s="63" t="n">
        <f aca="false">SUM(O20:R20)</f>
        <v>89385.44</v>
      </c>
      <c r="T20" s="84" t="n">
        <f aca="false">SUM(T7:T12)*0.08</f>
        <v>48483.4965333334</v>
      </c>
      <c r="U20" s="85" t="n">
        <f aca="false">SUM(U7:U12)*0.08</f>
        <v>24241.7882666666</v>
      </c>
      <c r="V20" s="85" t="n">
        <f aca="false">SUM(V7:V12)*0.08</f>
        <v>2561.7528</v>
      </c>
      <c r="W20" s="85" t="n">
        <f aca="false">SUM(W7:W12)*0.08</f>
        <v>36362.5624</v>
      </c>
      <c r="X20" s="64" t="n">
        <f aca="false">SUM(T20:W20)</f>
        <v>111649.6</v>
      </c>
      <c r="Y20" s="83" t="n">
        <f aca="false">SUM(Y7:Y12)*0.08</f>
        <v>57553.8008888889</v>
      </c>
      <c r="Z20" s="8" t="n">
        <f aca="false">SUM(Z7:Z12)*0.08</f>
        <v>28776.8604444445</v>
      </c>
      <c r="AA20" s="8" t="n">
        <f aca="false">SUM(AA7:AA12)*0.08</f>
        <v>3162.048</v>
      </c>
      <c r="AB20" s="8" t="n">
        <f aca="false">SUM(AB7:AB12)*0.08</f>
        <v>43165.3706666666</v>
      </c>
      <c r="AC20" s="65" t="n">
        <f aca="false">SUM(Y20:AB20)</f>
        <v>132658.08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customFormat="false" ht="13.7" hidden="false" customHeight="true" outlineLevel="0" collapsed="false">
      <c r="A21" s="10"/>
      <c r="B21" s="69"/>
      <c r="C21" s="9" t="s">
        <v>49</v>
      </c>
      <c r="D21" s="56" t="n">
        <f aca="false">+I21+N21+S21+X21+AC21</f>
        <v>240919.746488889</v>
      </c>
      <c r="E21" s="8" t="n">
        <f aca="false">0.0578*SUM(E9:E12)</f>
        <v>0</v>
      </c>
      <c r="F21" s="8" t="n">
        <f aca="false">0.0578*SUM(F9:F12)</f>
        <v>0</v>
      </c>
      <c r="G21" s="8" t="n">
        <f aca="false">0.0578*SUM(G9:G12)</f>
        <v>0</v>
      </c>
      <c r="H21" s="8" t="n">
        <f aca="false">W21*0.2</f>
        <v>4143.7264888889</v>
      </c>
      <c r="I21" s="58" t="n">
        <f aca="false">SUM(E21:H21)</f>
        <v>4143.7264888889</v>
      </c>
      <c r="J21" s="83" t="n">
        <f aca="false">((((J8+J10)/3)*2)+((J11+J12)/3))*0.1</f>
        <v>14929.0558814815</v>
      </c>
      <c r="K21" s="8" t="n">
        <f aca="false">((((K8+K10)/3)*2)+((K11+K12)/3))*0.1</f>
        <v>7464.52794074074</v>
      </c>
      <c r="L21" s="8" t="n">
        <f aca="false">((((L8+L10)/3)*2)+((L11+L12)/3))*0.1</f>
        <v>1038.8776</v>
      </c>
      <c r="M21" s="8" t="n">
        <f aca="false">((((M8+M10)/3)*2)+((M11+M12)/3))*0.1</f>
        <v>11196.7919111111</v>
      </c>
      <c r="N21" s="58" t="n">
        <f aca="false">SUM(J21:M21)</f>
        <v>34629.2533333333</v>
      </c>
      <c r="O21" s="83" t="n">
        <f aca="false">((((O8+O10)/3)*2)+((O11+O12)/3))*0.1</f>
        <v>25364.5668148148</v>
      </c>
      <c r="P21" s="8" t="n">
        <f aca="false">((((P8+P10)/3)*2)+((P11+P12)/3))*0.1</f>
        <v>12678.4834074074</v>
      </c>
      <c r="Q21" s="8" t="n">
        <f aca="false">((((Q8+Q10)/3)*2)+((Q11+Q12)/3))*0.1</f>
        <v>1369.408</v>
      </c>
      <c r="R21" s="8" t="n">
        <f aca="false">((((R8+R10)/3)*2)+((R11+R12)/3))*0.1</f>
        <v>19026.5084444445</v>
      </c>
      <c r="S21" s="63" t="n">
        <f aca="false">SUM(O21:R21)</f>
        <v>58438.9666666667</v>
      </c>
      <c r="T21" s="83" t="n">
        <f aca="false">((((T8+T10)/3)*2)+((T11+T12)/3))*0.1</f>
        <v>27624.8765925926</v>
      </c>
      <c r="U21" s="8" t="n">
        <f aca="false">((((U8+U10)/3)*2)+((U11+U12)/3))*0.1</f>
        <v>13812.4549629629</v>
      </c>
      <c r="V21" s="8" t="n">
        <f aca="false">((((V8+V10)/3)*2)+((V11+V12)/3))*0.1</f>
        <v>1477.636</v>
      </c>
      <c r="W21" s="8" t="n">
        <f aca="false">((((W8+W10)/3)*2)+((W11+W12)/3))*0.1</f>
        <v>20718.6324444445</v>
      </c>
      <c r="X21" s="64" t="n">
        <f aca="false">SUM(T21:W21)</f>
        <v>63633.6</v>
      </c>
      <c r="Y21" s="83" t="n">
        <f aca="false">((((Y8+Y10)/3)*2)+((Y11+Y12)/3))*0.1</f>
        <v>34723.1825185185</v>
      </c>
      <c r="Z21" s="8" t="n">
        <f aca="false">((((Z8+Z10)/3)*2)+((Z11+Z12)/3))*0.1</f>
        <v>17361.5579259259</v>
      </c>
      <c r="AA21" s="8" t="n">
        <f aca="false">((((AA8+AA10)/3)*2)+((AA11+AA12)/3))*0.1</f>
        <v>1947.056</v>
      </c>
      <c r="AB21" s="8" t="n">
        <f aca="false">((((AB8+AB10)/3)*2)+((AB11+AB12)/3))*0.1</f>
        <v>26042.4035555555</v>
      </c>
      <c r="AC21" s="65" t="n">
        <f aca="false">SUM(Y21:AB21)</f>
        <v>80074.2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customFormat="false" ht="13.7" hidden="false" customHeight="true" outlineLevel="0" collapsed="false">
      <c r="B22" s="86"/>
      <c r="C22" s="9" t="s">
        <v>50</v>
      </c>
      <c r="D22" s="56" t="n">
        <f aca="false">+I22+N22+S22+X22+AC22</f>
        <v>1041154.1629805</v>
      </c>
      <c r="E22" s="8"/>
      <c r="F22" s="8"/>
      <c r="G22" s="8" t="n">
        <v>6000</v>
      </c>
      <c r="H22" s="8" t="n">
        <f aca="false">W22*0.2</f>
        <v>18398.4</v>
      </c>
      <c r="I22" s="58" t="n">
        <f aca="false">SUM(E22:H22)</f>
        <v>24398.4</v>
      </c>
      <c r="J22" s="59" t="n">
        <v>75546</v>
      </c>
      <c r="K22" s="59" t="n">
        <v>38077</v>
      </c>
      <c r="L22" s="60" t="n">
        <v>5214.7229805</v>
      </c>
      <c r="M22" s="59" t="n">
        <v>56811</v>
      </c>
      <c r="N22" s="58" t="n">
        <f aca="false">SUM(J22:M22)</f>
        <v>175648.7229805</v>
      </c>
      <c r="O22" s="87" t="n">
        <v>96258.4888888889</v>
      </c>
      <c r="P22" s="87" t="n">
        <v>48129.2444444444</v>
      </c>
      <c r="Q22" s="88" t="n">
        <v>6698.4</v>
      </c>
      <c r="R22" s="87" t="n">
        <v>72193.8666666667</v>
      </c>
      <c r="S22" s="63" t="n">
        <f aca="false">SUM(O22:R22)</f>
        <v>223280</v>
      </c>
      <c r="T22" s="61" t="n">
        <v>122656</v>
      </c>
      <c r="U22" s="62" t="n">
        <v>61329</v>
      </c>
      <c r="V22" s="57" t="n">
        <v>8426.04</v>
      </c>
      <c r="W22" s="62" t="n">
        <v>91992</v>
      </c>
      <c r="X22" s="64" t="n">
        <f aca="false">SUM(T22:W22)</f>
        <v>284403.04</v>
      </c>
      <c r="Y22" s="61" t="n">
        <v>143742.791111111</v>
      </c>
      <c r="Z22" s="62" t="n">
        <v>71871.3955555556</v>
      </c>
      <c r="AA22" s="57" t="n">
        <v>10002.72</v>
      </c>
      <c r="AB22" s="62" t="n">
        <v>107807.093333333</v>
      </c>
      <c r="AC22" s="65" t="n">
        <f aca="false">SUM(Y22:AB22)</f>
        <v>333424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customFormat="false" ht="13.7" hidden="false" customHeight="true" outlineLevel="0" collapsed="false">
      <c r="B23" s="13"/>
      <c r="C23" s="9" t="s">
        <v>51</v>
      </c>
      <c r="D23" s="56" t="n">
        <f aca="false">+I23+N23+S23+X23+AC23</f>
        <v>124854</v>
      </c>
      <c r="E23" s="8" t="n">
        <v>3000</v>
      </c>
      <c r="F23" s="8" t="n">
        <v>2500</v>
      </c>
      <c r="G23" s="8" t="n">
        <v>2500</v>
      </c>
      <c r="H23" s="8" t="n">
        <f aca="false">W23*0.2</f>
        <v>1850</v>
      </c>
      <c r="I23" s="58" t="n">
        <f aca="false">SUM(E23:H23)</f>
        <v>9850</v>
      </c>
      <c r="J23" s="83" t="n">
        <v>4500</v>
      </c>
      <c r="K23" s="8" t="n">
        <v>4500</v>
      </c>
      <c r="L23" s="8" t="n">
        <v>5500</v>
      </c>
      <c r="M23" s="8" t="n">
        <v>5500</v>
      </c>
      <c r="N23" s="58" t="n">
        <f aca="false">SUM(J23:M23)</f>
        <v>20000</v>
      </c>
      <c r="O23" s="89" t="n">
        <v>5750</v>
      </c>
      <c r="P23" s="8" t="n">
        <v>5750</v>
      </c>
      <c r="Q23" s="8" t="n">
        <v>6750</v>
      </c>
      <c r="R23" s="8" t="n">
        <v>6750</v>
      </c>
      <c r="S23" s="63" t="n">
        <f aca="false">SUM(O23:R23)</f>
        <v>25000</v>
      </c>
      <c r="T23" s="84" t="n">
        <v>8250</v>
      </c>
      <c r="U23" s="85" t="n">
        <v>8250</v>
      </c>
      <c r="V23" s="85" t="n">
        <v>8250</v>
      </c>
      <c r="W23" s="85" t="n">
        <v>9250</v>
      </c>
      <c r="X23" s="64" t="n">
        <f aca="false">SUM(T23:W23)</f>
        <v>34000</v>
      </c>
      <c r="Y23" s="83" t="n">
        <v>8725</v>
      </c>
      <c r="Z23" s="8" t="n">
        <v>8725</v>
      </c>
      <c r="AA23" s="8" t="n">
        <v>8725</v>
      </c>
      <c r="AB23" s="8" t="n">
        <v>9829</v>
      </c>
      <c r="AC23" s="65" t="n">
        <f aca="false">SUM(Y23:AB23)</f>
        <v>36004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customFormat="false" ht="13.7" hidden="false" customHeight="true" outlineLevel="0" collapsed="false">
      <c r="B24" s="13"/>
      <c r="C24" s="9" t="s">
        <v>52</v>
      </c>
      <c r="D24" s="56" t="n">
        <f aca="false">+I24+N24+S24+X24+AC24</f>
        <v>142900</v>
      </c>
      <c r="E24" s="8"/>
      <c r="F24" s="8"/>
      <c r="G24" s="8"/>
      <c r="H24" s="8" t="n">
        <f aca="false">W24*0.2</f>
        <v>1900</v>
      </c>
      <c r="I24" s="58" t="n">
        <f aca="false">SUM(E24:H24)</f>
        <v>1900</v>
      </c>
      <c r="J24" s="83" t="n">
        <v>7625</v>
      </c>
      <c r="K24" s="8" t="n">
        <v>7625</v>
      </c>
      <c r="L24" s="8" t="n">
        <v>7625</v>
      </c>
      <c r="M24" s="8" t="n">
        <v>8125</v>
      </c>
      <c r="N24" s="58" t="n">
        <f aca="false">SUM(J24:M24)</f>
        <v>31000</v>
      </c>
      <c r="O24" s="83" t="n">
        <v>7500</v>
      </c>
      <c r="P24" s="8" t="n">
        <v>7500</v>
      </c>
      <c r="Q24" s="8" t="n">
        <v>8000</v>
      </c>
      <c r="R24" s="8" t="n">
        <v>8000</v>
      </c>
      <c r="S24" s="63" t="n">
        <f aca="false">SUM(O24:R24)</f>
        <v>31000</v>
      </c>
      <c r="T24" s="84" t="n">
        <v>9500</v>
      </c>
      <c r="U24" s="85" t="n">
        <v>9500</v>
      </c>
      <c r="V24" s="85" t="n">
        <v>9500</v>
      </c>
      <c r="W24" s="85" t="n">
        <v>9500</v>
      </c>
      <c r="X24" s="64" t="n">
        <f aca="false">SUM(T24:W24)</f>
        <v>38000</v>
      </c>
      <c r="Y24" s="83" t="n">
        <v>10250</v>
      </c>
      <c r="Z24" s="8" t="n">
        <v>10250</v>
      </c>
      <c r="AA24" s="8" t="n">
        <v>10250</v>
      </c>
      <c r="AB24" s="8" t="n">
        <v>10250</v>
      </c>
      <c r="AC24" s="65" t="n">
        <f aca="false">SUM(Y24:AB24)</f>
        <v>41000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customFormat="false" ht="13.7" hidden="false" customHeight="true" outlineLevel="0" collapsed="false">
      <c r="B25" s="13"/>
      <c r="C25" s="9" t="s">
        <v>53</v>
      </c>
      <c r="D25" s="56" t="n">
        <f aca="false">+I25+N25+S25+X25+AC25</f>
        <v>55570</v>
      </c>
      <c r="E25" s="8" t="n">
        <v>0</v>
      </c>
      <c r="F25" s="8" t="n">
        <v>0</v>
      </c>
      <c r="G25" s="8" t="n">
        <v>0</v>
      </c>
      <c r="H25" s="8" t="n">
        <f aca="false">W25*0.2</f>
        <v>770</v>
      </c>
      <c r="I25" s="58" t="n">
        <f aca="false">SUM(E25:H25)</f>
        <v>770</v>
      </c>
      <c r="J25" s="83" t="n">
        <v>3000</v>
      </c>
      <c r="K25" s="8" t="n">
        <v>3000</v>
      </c>
      <c r="L25" s="8" t="n">
        <v>3000</v>
      </c>
      <c r="M25" s="8" t="n">
        <v>3000</v>
      </c>
      <c r="N25" s="58" t="n">
        <f aca="false">SUM(J25:M25)</f>
        <v>12000</v>
      </c>
      <c r="O25" s="83" t="n">
        <v>3000</v>
      </c>
      <c r="P25" s="8" t="n">
        <v>3000</v>
      </c>
      <c r="Q25" s="8" t="n">
        <v>3000</v>
      </c>
      <c r="R25" s="8" t="n">
        <v>3000</v>
      </c>
      <c r="S25" s="63" t="n">
        <f aca="false">SUM(O25:R25)</f>
        <v>12000</v>
      </c>
      <c r="T25" s="84" t="n">
        <v>3850</v>
      </c>
      <c r="U25" s="85" t="n">
        <v>3850</v>
      </c>
      <c r="V25" s="85" t="n">
        <v>3850</v>
      </c>
      <c r="W25" s="85" t="n">
        <v>3850</v>
      </c>
      <c r="X25" s="64" t="n">
        <f aca="false">SUM(T25:W25)</f>
        <v>15400</v>
      </c>
      <c r="Y25" s="83" t="n">
        <v>3850</v>
      </c>
      <c r="Z25" s="8" t="n">
        <v>3950</v>
      </c>
      <c r="AA25" s="8" t="n">
        <v>3750</v>
      </c>
      <c r="AB25" s="8" t="n">
        <v>3850</v>
      </c>
      <c r="AC25" s="65" t="n">
        <f aca="false">SUM(Y25:AB25)</f>
        <v>15400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customFormat="false" ht="13.7" hidden="false" customHeight="true" outlineLevel="0" collapsed="false">
      <c r="B26" s="13"/>
      <c r="C26" s="9" t="s">
        <v>54</v>
      </c>
      <c r="D26" s="56" t="n">
        <f aca="false">+I26+N26+S26+X26+AC26</f>
        <v>252098.8</v>
      </c>
      <c r="E26" s="8" t="n">
        <v>0</v>
      </c>
      <c r="F26" s="8" t="n">
        <v>0</v>
      </c>
      <c r="G26" s="8" t="n">
        <v>0</v>
      </c>
      <c r="H26" s="8" t="n">
        <f aca="false">W26*0.2</f>
        <v>4101.8</v>
      </c>
      <c r="I26" s="58" t="n">
        <f aca="false">SUM(E26:H26)</f>
        <v>4101.8</v>
      </c>
      <c r="J26" s="83" t="n">
        <v>13000</v>
      </c>
      <c r="K26" s="8" t="n">
        <v>10500</v>
      </c>
      <c r="L26" s="8" t="n">
        <v>13000</v>
      </c>
      <c r="M26" s="8" t="n">
        <v>25500</v>
      </c>
      <c r="N26" s="58" t="n">
        <f aca="false">SUM(J26:M26)</f>
        <v>62000</v>
      </c>
      <c r="O26" s="83" t="n">
        <v>18000</v>
      </c>
      <c r="P26" s="8" t="n">
        <v>12000</v>
      </c>
      <c r="Q26" s="8" t="n">
        <v>12000</v>
      </c>
      <c r="R26" s="8" t="n">
        <v>20000</v>
      </c>
      <c r="S26" s="63" t="n">
        <f aca="false">SUM(O26:R26)</f>
        <v>62000</v>
      </c>
      <c r="T26" s="84" t="n">
        <v>24534</v>
      </c>
      <c r="U26" s="85" t="n">
        <v>11914</v>
      </c>
      <c r="V26" s="85" t="n">
        <v>5042</v>
      </c>
      <c r="W26" s="85" t="n">
        <v>20509</v>
      </c>
      <c r="X26" s="64" t="n">
        <f aca="false">SUM(T26:W26)</f>
        <v>61999</v>
      </c>
      <c r="Y26" s="83" t="n">
        <v>25437</v>
      </c>
      <c r="Z26" s="8" t="n">
        <v>11555</v>
      </c>
      <c r="AA26" s="8" t="n">
        <v>3996</v>
      </c>
      <c r="AB26" s="8" t="n">
        <v>21010</v>
      </c>
      <c r="AC26" s="65" t="n">
        <f aca="false">SUM(Y26:AB26)</f>
        <v>61998</v>
      </c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customFormat="false" ht="13.7" hidden="false" customHeight="true" outlineLevel="0" collapsed="false">
      <c r="B27" s="13"/>
      <c r="C27" s="9" t="s">
        <v>55</v>
      </c>
      <c r="D27" s="56" t="n">
        <f aca="false">+I27+N27+S27+X27+AC27</f>
        <v>27729</v>
      </c>
      <c r="E27" s="8" t="n">
        <v>0</v>
      </c>
      <c r="F27" s="8" t="n">
        <v>0</v>
      </c>
      <c r="G27" s="8" t="n">
        <v>0</v>
      </c>
      <c r="H27" s="8" t="n">
        <f aca="false">W27*0.2</f>
        <v>529</v>
      </c>
      <c r="I27" s="58" t="n">
        <f aca="false">SUM(E27:H27)</f>
        <v>529</v>
      </c>
      <c r="J27" s="83" t="n">
        <v>1750</v>
      </c>
      <c r="K27" s="8" t="n">
        <v>1250</v>
      </c>
      <c r="L27" s="8" t="n">
        <v>1250</v>
      </c>
      <c r="M27" s="8" t="n">
        <v>1250</v>
      </c>
      <c r="N27" s="58" t="n">
        <f aca="false">SUM(J27:M27)</f>
        <v>5500</v>
      </c>
      <c r="O27" s="83" t="n">
        <v>1625</v>
      </c>
      <c r="P27" s="8" t="n">
        <v>1625</v>
      </c>
      <c r="Q27" s="8" t="n">
        <v>1625</v>
      </c>
      <c r="R27" s="8" t="n">
        <v>1625</v>
      </c>
      <c r="S27" s="63" t="n">
        <f aca="false">SUM(O27:R27)</f>
        <v>6500</v>
      </c>
      <c r="T27" s="84" t="n">
        <v>2425</v>
      </c>
      <c r="U27" s="85" t="n">
        <v>1625</v>
      </c>
      <c r="V27" s="85" t="n">
        <v>905</v>
      </c>
      <c r="W27" s="85" t="n">
        <v>2645</v>
      </c>
      <c r="X27" s="64" t="n">
        <f aca="false">SUM(T27:W27)</f>
        <v>7600</v>
      </c>
      <c r="Y27" s="83" t="n">
        <v>2478</v>
      </c>
      <c r="Z27" s="8" t="n">
        <v>1598</v>
      </c>
      <c r="AA27" s="8" t="n">
        <v>804</v>
      </c>
      <c r="AB27" s="8" t="n">
        <v>2720</v>
      </c>
      <c r="AC27" s="65" t="n">
        <f aca="false">SUM(Y27:AB27)</f>
        <v>7600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customFormat="false" ht="13.7" hidden="false" customHeight="true" outlineLevel="0" collapsed="false">
      <c r="B28" s="13"/>
      <c r="C28" s="9" t="s">
        <v>56</v>
      </c>
      <c r="D28" s="56" t="n">
        <f aca="false">+I28+N28+S28+X28+AC28</f>
        <v>175130.6406953</v>
      </c>
      <c r="E28" s="8" t="n">
        <v>0</v>
      </c>
      <c r="F28" s="8" t="n">
        <v>0</v>
      </c>
      <c r="G28" s="8" t="n">
        <v>0</v>
      </c>
      <c r="H28" s="8" t="n">
        <f aca="false">W28*0.2</f>
        <v>2850</v>
      </c>
      <c r="I28" s="58" t="n">
        <f aca="false">SUM(E28:H28)</f>
        <v>2850</v>
      </c>
      <c r="J28" s="59" t="n">
        <v>10011</v>
      </c>
      <c r="K28" s="59" t="n">
        <v>5048</v>
      </c>
      <c r="L28" s="60" t="n">
        <v>690.6406953</v>
      </c>
      <c r="M28" s="59" t="n">
        <v>7531</v>
      </c>
      <c r="N28" s="58" t="n">
        <f aca="false">SUM(J28:M28)</f>
        <v>23280.6406953</v>
      </c>
      <c r="O28" s="61" t="n">
        <v>16813.3333333333</v>
      </c>
      <c r="P28" s="62" t="n">
        <v>8406.66666666667</v>
      </c>
      <c r="Q28" s="57" t="n">
        <v>1170</v>
      </c>
      <c r="R28" s="62" t="n">
        <v>12610</v>
      </c>
      <c r="S28" s="63" t="n">
        <f aca="false">SUM(O28:R28)</f>
        <v>39000</v>
      </c>
      <c r="T28" s="84" t="n">
        <v>14250</v>
      </c>
      <c r="U28" s="85" t="n">
        <v>14250</v>
      </c>
      <c r="V28" s="85" t="n">
        <v>12250</v>
      </c>
      <c r="W28" s="85" t="n">
        <v>14250</v>
      </c>
      <c r="X28" s="64" t="n">
        <f aca="false">SUM(T28:W28)</f>
        <v>55000</v>
      </c>
      <c r="Y28" s="83" t="n">
        <v>14300</v>
      </c>
      <c r="Z28" s="8" t="n">
        <v>14300</v>
      </c>
      <c r="AA28" s="8" t="n">
        <v>12100</v>
      </c>
      <c r="AB28" s="8" t="n">
        <v>14300</v>
      </c>
      <c r="AC28" s="65" t="n">
        <f aca="false">SUM(Y28:AB28)</f>
        <v>55000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customFormat="false" ht="13.7" hidden="false" customHeight="true" outlineLevel="0" collapsed="false">
      <c r="B29" s="13"/>
      <c r="C29" s="9" t="s">
        <v>57</v>
      </c>
      <c r="D29" s="56" t="n">
        <f aca="false">+I29+N29+S29+X29+AC29</f>
        <v>177948.49858825</v>
      </c>
      <c r="E29" s="8" t="n">
        <v>0</v>
      </c>
      <c r="F29" s="8" t="n">
        <v>0</v>
      </c>
      <c r="G29" s="8" t="n">
        <v>0</v>
      </c>
      <c r="H29" s="8" t="n">
        <f aca="false">W29*0.2</f>
        <v>3996.4</v>
      </c>
      <c r="I29" s="58" t="n">
        <f aca="false">SUM(E29:H29)</f>
        <v>3996.4</v>
      </c>
      <c r="J29" s="59" t="n">
        <v>10302</v>
      </c>
      <c r="K29" s="59" t="n">
        <v>5192</v>
      </c>
      <c r="L29" s="60" t="n">
        <v>711.09858825</v>
      </c>
      <c r="M29" s="59" t="n">
        <v>7747</v>
      </c>
      <c r="N29" s="58" t="n">
        <f aca="false">SUM(J29:M29)</f>
        <v>23952.09858825</v>
      </c>
      <c r="O29" s="83" t="n">
        <v>10000</v>
      </c>
      <c r="P29" s="8" t="n">
        <v>10000</v>
      </c>
      <c r="Q29" s="8" t="n">
        <v>10000</v>
      </c>
      <c r="R29" s="8" t="n">
        <v>10000</v>
      </c>
      <c r="S29" s="63" t="n">
        <f aca="false">SUM(O29:R29)</f>
        <v>40000</v>
      </c>
      <c r="T29" s="84" t="n">
        <v>20018</v>
      </c>
      <c r="U29" s="85" t="n">
        <v>15000</v>
      </c>
      <c r="V29" s="85" t="n">
        <v>0</v>
      </c>
      <c r="W29" s="85" t="n">
        <v>19982</v>
      </c>
      <c r="X29" s="64" t="n">
        <f aca="false">SUM(T29:W29)</f>
        <v>55000</v>
      </c>
      <c r="Y29" s="83" t="n">
        <v>20186</v>
      </c>
      <c r="Z29" s="8" t="n">
        <v>14667</v>
      </c>
      <c r="AA29" s="8" t="n">
        <f aca="false">(V29*0.1)+V29</f>
        <v>0</v>
      </c>
      <c r="AB29" s="8" t="n">
        <v>20147</v>
      </c>
      <c r="AC29" s="65" t="n">
        <f aca="false">SUM(Y29:AB29)</f>
        <v>55000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customFormat="false" ht="13.7" hidden="false" customHeight="true" outlineLevel="0" collapsed="false">
      <c r="B30" s="13"/>
      <c r="C30" s="9" t="s">
        <v>58</v>
      </c>
      <c r="D30" s="56" t="n">
        <f aca="false">+I30+N30+S30+X30+AC30</f>
        <v>116640.773058833</v>
      </c>
      <c r="E30" s="8" t="n">
        <v>0</v>
      </c>
      <c r="F30" s="8" t="n">
        <v>0</v>
      </c>
      <c r="G30" s="8" t="n">
        <v>0</v>
      </c>
      <c r="H30" s="8" t="n">
        <f aca="false">W30*0.2</f>
        <v>2136.78066666666</v>
      </c>
      <c r="I30" s="58" t="n">
        <f aca="false">SUM(E30:H30)</f>
        <v>2136.78066666666</v>
      </c>
      <c r="J30" s="59" t="n">
        <v>6868</v>
      </c>
      <c r="K30" s="59" t="n">
        <v>3461</v>
      </c>
      <c r="L30" s="60" t="n">
        <v>474.0657255</v>
      </c>
      <c r="M30" s="59" t="n">
        <v>5164</v>
      </c>
      <c r="N30" s="58" t="n">
        <f aca="false">SUM(J30:M30)</f>
        <v>15967.0657255</v>
      </c>
      <c r="O30" s="61" t="n">
        <v>11324.4266666667</v>
      </c>
      <c r="P30" s="62" t="n">
        <v>5662.21333333333</v>
      </c>
      <c r="Q30" s="57" t="n">
        <v>788.04</v>
      </c>
      <c r="R30" s="62" t="n">
        <v>8493.32</v>
      </c>
      <c r="S30" s="63" t="n">
        <f aca="false">SUM(O30:R30)</f>
        <v>26268</v>
      </c>
      <c r="T30" s="61" t="n">
        <v>14245.2044444444</v>
      </c>
      <c r="U30" s="62" t="n">
        <v>7122.60222222222</v>
      </c>
      <c r="V30" s="57" t="n">
        <v>991.29</v>
      </c>
      <c r="W30" s="62" t="n">
        <v>10683.9033333333</v>
      </c>
      <c r="X30" s="64" t="n">
        <f aca="false">SUM(T30:W30)</f>
        <v>33042.9999999999</v>
      </c>
      <c r="Y30" s="61" t="n">
        <v>12683</v>
      </c>
      <c r="Z30" s="62" t="n">
        <v>16910.7644444444</v>
      </c>
      <c r="AA30" s="57" t="n">
        <v>8455.38222222222</v>
      </c>
      <c r="AB30" s="62" t="n">
        <v>1176.78</v>
      </c>
      <c r="AC30" s="58" t="n">
        <f aca="false">SUM(Y30:AB30)</f>
        <v>39225.9266666666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="10" customFormat="true" ht="13.7" hidden="false" customHeight="true" outlineLevel="0" collapsed="false">
      <c r="B31" s="69"/>
      <c r="C31" s="8" t="s">
        <v>59</v>
      </c>
      <c r="D31" s="56" t="n">
        <f aca="false">+I31+N31+S31+X31+AC31</f>
        <v>450000</v>
      </c>
      <c r="E31" s="8" t="n">
        <v>30000</v>
      </c>
      <c r="F31" s="8" t="n">
        <v>30000</v>
      </c>
      <c r="G31" s="8" t="n">
        <v>30000</v>
      </c>
      <c r="H31" s="8" t="n">
        <v>30000</v>
      </c>
      <c r="I31" s="58" t="n">
        <f aca="false">SUM(E31:H31)</f>
        <v>120000</v>
      </c>
      <c r="J31" s="83" t="n">
        <v>30000</v>
      </c>
      <c r="K31" s="8" t="n">
        <v>30000</v>
      </c>
      <c r="L31" s="8" t="n">
        <v>30000</v>
      </c>
      <c r="M31" s="8" t="n">
        <v>30000</v>
      </c>
      <c r="N31" s="58" t="n">
        <f aca="false">SUM(J31:M31)</f>
        <v>120000</v>
      </c>
      <c r="O31" s="90" t="n">
        <v>24750</v>
      </c>
      <c r="P31" s="14" t="n">
        <v>24750</v>
      </c>
      <c r="Q31" s="14" t="n">
        <v>24750</v>
      </c>
      <c r="R31" s="14" t="n">
        <v>24750</v>
      </c>
      <c r="S31" s="63" t="n">
        <f aca="false">SUM(O31:R31)</f>
        <v>99000</v>
      </c>
      <c r="T31" s="90" t="n">
        <v>24750</v>
      </c>
      <c r="U31" s="14" t="n">
        <v>24750</v>
      </c>
      <c r="V31" s="14" t="n">
        <v>24750</v>
      </c>
      <c r="W31" s="14" t="n">
        <v>24750</v>
      </c>
      <c r="X31" s="64" t="n">
        <f aca="false">SUM(T31:W31)</f>
        <v>99000</v>
      </c>
      <c r="Y31" s="90" t="n">
        <v>3000</v>
      </c>
      <c r="Z31" s="14" t="n">
        <v>3000</v>
      </c>
      <c r="AA31" s="14" t="n">
        <v>3000</v>
      </c>
      <c r="AB31" s="14" t="n">
        <v>3000</v>
      </c>
      <c r="AC31" s="65" t="n">
        <f aca="false">SUM(Y31:AB31)</f>
        <v>12000</v>
      </c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7" hidden="false" customHeight="true" outlineLevel="0" collapsed="false">
      <c r="B32" s="13"/>
      <c r="C32" s="72" t="s">
        <v>60</v>
      </c>
      <c r="D32" s="73" t="n">
        <f aca="false">+I32+N32+S32+X32+AC32</f>
        <v>3193435.40261177</v>
      </c>
      <c r="E32" s="74" t="n">
        <f aca="false">SUM(E20:E31)</f>
        <v>33000</v>
      </c>
      <c r="F32" s="74" t="n">
        <f aca="false">SUM(F20:F31)</f>
        <v>32500</v>
      </c>
      <c r="G32" s="74" t="n">
        <f aca="false">SUM(G20:G31)</f>
        <v>38500</v>
      </c>
      <c r="H32" s="74" t="n">
        <f aca="false">SUM(H20:H31)</f>
        <v>70676.1071555556</v>
      </c>
      <c r="I32" s="75" t="n">
        <f aca="false">SUM(I20:I31)</f>
        <v>174676.107155556</v>
      </c>
      <c r="J32" s="91" t="n">
        <f aca="false">SUM(J20:J31)</f>
        <v>201040.102885926</v>
      </c>
      <c r="K32" s="74" t="n">
        <f aca="false">SUM(K20:K31)</f>
        <v>127844.251442963</v>
      </c>
      <c r="L32" s="74" t="n">
        <f aca="false">SUM(L20:L31)</f>
        <v>70129.21062955</v>
      </c>
      <c r="M32" s="74" t="n">
        <f aca="false">SUM(M20:M31)</f>
        <v>179760.877164444</v>
      </c>
      <c r="N32" s="75" t="n">
        <f aca="false">SUM(J32:M32)</f>
        <v>578774.442122883</v>
      </c>
      <c r="O32" s="91" t="n">
        <f aca="false">SUM(O20:O31)</f>
        <v>259221.449837037</v>
      </c>
      <c r="P32" s="74" t="n">
        <f aca="false">SUM(P20:P31)</f>
        <v>158910.264918519</v>
      </c>
      <c r="Q32" s="74" t="n">
        <f aca="false">SUM(Q20:Q31)</f>
        <v>78157.8912</v>
      </c>
      <c r="R32" s="74" t="n">
        <f aca="false">SUM(R20:R31)</f>
        <v>215582.800711111</v>
      </c>
      <c r="S32" s="80" t="n">
        <f aca="false">SUM(O32:R32)</f>
        <v>711872.406666667</v>
      </c>
      <c r="T32" s="91" t="n">
        <f aca="false">SUM(T20:T31)</f>
        <v>320586.57757037</v>
      </c>
      <c r="U32" s="74" t="n">
        <f aca="false">SUM(U20:U31)</f>
        <v>195644.845451852</v>
      </c>
      <c r="V32" s="74" t="n">
        <f aca="false">SUM(V20:V31)</f>
        <v>78003.7188</v>
      </c>
      <c r="W32" s="74" t="n">
        <f aca="false">SUM(W20:W31)</f>
        <v>264493.098177778</v>
      </c>
      <c r="X32" s="73" t="n">
        <f aca="false">SUM(T32:W32)</f>
        <v>858728.24</v>
      </c>
      <c r="Y32" s="91" t="n">
        <f aca="false">SUM(Y20:Y31)</f>
        <v>336928.774518518</v>
      </c>
      <c r="Z32" s="74" t="n">
        <f aca="false">SUM(Z20:Z31)</f>
        <v>202965.57837037</v>
      </c>
      <c r="AA32" s="74" t="n">
        <f aca="false">SUM(AA20:AA31)</f>
        <v>66192.2062222222</v>
      </c>
      <c r="AB32" s="74" t="n">
        <f aca="false">SUM(AB20:AB31)</f>
        <v>263297.647555555</v>
      </c>
      <c r="AC32" s="75" t="n">
        <f aca="false">SUM(Y32:AB32)</f>
        <v>869384.206666666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="92" customFormat="true" ht="13.7" hidden="false" customHeight="true" outlineLevel="0" collapsed="false">
      <c r="B33" s="93" t="s">
        <v>61</v>
      </c>
      <c r="C33" s="94"/>
      <c r="D33" s="95" t="n">
        <f aca="false">+I33+N33+S33+X33+AC33</f>
        <v>2568000.48805489</v>
      </c>
      <c r="E33" s="96" t="n">
        <f aca="false">E19-E32</f>
        <v>-33000</v>
      </c>
      <c r="F33" s="96" t="n">
        <f aca="false">F19-F32</f>
        <v>-32500</v>
      </c>
      <c r="G33" s="96" t="n">
        <f aca="false">G19-G32</f>
        <v>-38500</v>
      </c>
      <c r="H33" s="96" t="n">
        <f aca="false">H19-H32</f>
        <v>8035.52351111118</v>
      </c>
      <c r="I33" s="97" t="n">
        <f aca="false">SUM(E33:H33)</f>
        <v>-95964.4764888888</v>
      </c>
      <c r="J33" s="98" t="n">
        <f aca="false">J19-J32</f>
        <v>137788.735780741</v>
      </c>
      <c r="K33" s="99" t="n">
        <f aca="false">K19-K32</f>
        <v>41222.6678903705</v>
      </c>
      <c r="L33" s="99" t="n">
        <f aca="false">L19-L32</f>
        <v>-46690.08762955</v>
      </c>
      <c r="M33" s="99" t="n">
        <f aca="false">M19-M32</f>
        <v>78164.5018355559</v>
      </c>
      <c r="N33" s="97" t="n">
        <f aca="false">SUM(J33:M33)</f>
        <v>210485.817877117</v>
      </c>
      <c r="O33" s="100" t="n">
        <f aca="false">O19-O32</f>
        <v>304815.532385185</v>
      </c>
      <c r="P33" s="96" t="n">
        <f aca="false">P19-P32</f>
        <v>122993.726192593</v>
      </c>
      <c r="Q33" s="96" t="n">
        <f aca="false">Q19-Q32</f>
        <v>-47600.8512</v>
      </c>
      <c r="R33" s="96" t="n">
        <f aca="false">R19-R32</f>
        <v>207537.185955556</v>
      </c>
      <c r="S33" s="101" t="n">
        <f aca="false">SUM(O33:R33)</f>
        <v>587745.593333334</v>
      </c>
      <c r="T33" s="98" t="n">
        <f aca="false">T19-T32</f>
        <v>396683.795762963</v>
      </c>
      <c r="U33" s="99" t="n">
        <f aca="false">U19-U32</f>
        <v>162990.841214814</v>
      </c>
      <c r="V33" s="99" t="n">
        <f aca="false">V19-V32</f>
        <v>-38241.8088</v>
      </c>
      <c r="W33" s="99" t="n">
        <f aca="false">W19-W32</f>
        <v>273458.931822222</v>
      </c>
      <c r="X33" s="102" t="n">
        <f aca="false">SUM(T33:W33)</f>
        <v>794891.76</v>
      </c>
      <c r="Y33" s="100" t="n">
        <f aca="false">Y19-Y32</f>
        <v>504067.069925926</v>
      </c>
      <c r="Z33" s="96" t="n">
        <f aca="false">Z19-Z32</f>
        <v>217531.843851852</v>
      </c>
      <c r="AA33" s="96" t="n">
        <f aca="false">AA19-AA32</f>
        <v>-18206.6062222222</v>
      </c>
      <c r="AB33" s="96" t="n">
        <f aca="false">AB19-AB32</f>
        <v>367449.485777778</v>
      </c>
      <c r="AC33" s="97" t="n">
        <f aca="false">SUM(Y33:AB33)</f>
        <v>1070841.79333333</v>
      </c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ALL33" s="104"/>
      <c r="ALM33" s="104"/>
      <c r="ALN33" s="104"/>
      <c r="ALO33" s="104"/>
      <c r="ALP33" s="104"/>
      <c r="ALQ33" s="104"/>
      <c r="ALR33" s="104"/>
      <c r="ALS33" s="104"/>
      <c r="ALT33" s="104"/>
      <c r="ALU33" s="104"/>
      <c r="ALV33" s="104"/>
      <c r="ALW33" s="104"/>
      <c r="ALX33" s="104"/>
      <c r="ALY33" s="104"/>
      <c r="ALZ33" s="104"/>
      <c r="AMA33" s="104"/>
      <c r="AMB33" s="104"/>
      <c r="AMC33" s="104"/>
      <c r="AMD33" s="104"/>
      <c r="AME33" s="104"/>
      <c r="AMF33" s="104"/>
      <c r="AMG33" s="104"/>
      <c r="AMH33" s="104"/>
      <c r="AMI33" s="104"/>
      <c r="AMJ33" s="104"/>
    </row>
    <row r="34" customFormat="false" ht="13.7" hidden="false" customHeight="true" outlineLevel="0" collapsed="false">
      <c r="B34" s="105" t="n">
        <f aca="false">C35*0.075</f>
        <v>300000</v>
      </c>
      <c r="C34" s="106" t="str">
        <f aca="false">" Loan Amt = "&amp;TEXT(C35,"#,###")&amp;" Interest Only 3 Yrs"</f>
        <v> Loan Amt = 4,000,000 Interest Only 3 Yrs</v>
      </c>
      <c r="D34" s="107" t="n">
        <v>4000000</v>
      </c>
      <c r="E34" s="108" t="s">
        <v>62</v>
      </c>
      <c r="F34" s="108"/>
      <c r="G34" s="108"/>
      <c r="H34" s="29"/>
      <c r="I34" s="109" t="n">
        <v>300000</v>
      </c>
      <c r="N34" s="109" t="n">
        <v>300000</v>
      </c>
      <c r="O34" s="31"/>
      <c r="P34" s="31"/>
      <c r="Q34" s="31"/>
      <c r="R34" s="31"/>
      <c r="S34" s="109" t="n">
        <v>300000</v>
      </c>
      <c r="T34" s="110" t="s">
        <v>63</v>
      </c>
      <c r="U34" s="29"/>
      <c r="V34" s="29"/>
      <c r="W34" s="29"/>
      <c r="X34" s="111" t="n">
        <v>362400</v>
      </c>
      <c r="Y34" s="31"/>
      <c r="Z34" s="31"/>
      <c r="AA34" s="31"/>
      <c r="AB34" s="31"/>
      <c r="AC34" s="111" t="n">
        <v>362400</v>
      </c>
    </row>
    <row r="35" customFormat="false" ht="13.7" hidden="false" customHeight="true" outlineLevel="0" collapsed="false">
      <c r="B35" s="112"/>
      <c r="C35" s="113" t="n">
        <v>4000000</v>
      </c>
      <c r="D35" s="114"/>
      <c r="E35" s="115" t="s">
        <v>64</v>
      </c>
      <c r="F35" s="116"/>
      <c r="G35" s="116"/>
      <c r="H35" s="116"/>
      <c r="I35" s="117" t="n">
        <f aca="false">I33-I34</f>
        <v>-395964.476488889</v>
      </c>
      <c r="J35" s="116"/>
      <c r="K35" s="116"/>
      <c r="L35" s="116"/>
      <c r="M35" s="116"/>
      <c r="N35" s="117" t="n">
        <f aca="false">N33-N34</f>
        <v>-89514.182122883</v>
      </c>
      <c r="O35" s="116"/>
      <c r="P35" s="116"/>
      <c r="Q35" s="116"/>
      <c r="R35" s="116"/>
      <c r="S35" s="118" t="n">
        <f aca="false">S33-S34</f>
        <v>287745.593333334</v>
      </c>
      <c r="T35" s="116"/>
      <c r="U35" s="116"/>
      <c r="V35" s="116"/>
      <c r="W35" s="116"/>
      <c r="X35" s="64" t="n">
        <f aca="false">X33-X34</f>
        <v>432491.76</v>
      </c>
      <c r="Y35" s="116"/>
      <c r="Z35" s="116"/>
      <c r="AA35" s="116"/>
      <c r="AB35" s="116"/>
      <c r="AC35" s="58" t="n">
        <f aca="false">AC33-AC34</f>
        <v>708441.79333333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customFormat="false" ht="13.7" hidden="false" customHeight="true" outlineLevel="0" collapsed="false">
      <c r="B36" s="119" t="n">
        <f aca="false">C35*0.0906</f>
        <v>362400</v>
      </c>
      <c r="C36" s="120" t="str">
        <f aca="false">" Loan Amt = "&amp;TEXT(C35,"#,###")&amp;" @ 7.75% - 25Yrs"</f>
        <v> Loan Amt = 4,000,000 @ 7.75% - 25Yrs</v>
      </c>
      <c r="D36" s="88"/>
      <c r="E36" s="29"/>
      <c r="F36" s="29"/>
      <c r="G36" s="29"/>
      <c r="H36" s="29"/>
      <c r="I36" s="121"/>
      <c r="J36" s="29"/>
      <c r="K36" s="29"/>
      <c r="L36" s="29"/>
      <c r="M36" s="29"/>
      <c r="N36" s="121"/>
      <c r="O36" s="29"/>
      <c r="P36" s="29"/>
      <c r="S36" s="122"/>
      <c r="U36" s="29"/>
      <c r="V36" s="29"/>
      <c r="W36" s="29"/>
      <c r="X36" s="123"/>
      <c r="Y36" s="29"/>
      <c r="Z36" s="29"/>
      <c r="AA36" s="29"/>
      <c r="AB36" s="29"/>
      <c r="AC36" s="121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customFormat="false" ht="13.7" hidden="false" customHeight="true" outlineLevel="0" collapsed="false">
      <c r="C37" s="31"/>
      <c r="D37" s="36" t="s">
        <v>65</v>
      </c>
      <c r="E37" s="31"/>
      <c r="F37" s="31"/>
      <c r="G37" s="31"/>
      <c r="H37" s="31"/>
      <c r="I37" s="117" t="n">
        <f aca="false">I33</f>
        <v>-95964.4764888888</v>
      </c>
      <c r="J37" s="29"/>
      <c r="K37" s="29"/>
      <c r="L37" s="29"/>
      <c r="M37" s="29"/>
      <c r="N37" s="58" t="n">
        <f aca="false">I37+N33</f>
        <v>114521.341388228</v>
      </c>
      <c r="O37" s="31"/>
      <c r="P37" s="31"/>
      <c r="Q37" s="31"/>
      <c r="R37" s="31"/>
      <c r="S37" s="118" t="n">
        <f aca="false">N37+S33</f>
        <v>702266.934721562</v>
      </c>
      <c r="T37" s="29"/>
      <c r="U37" s="29"/>
      <c r="V37" s="29"/>
      <c r="W37" s="29"/>
      <c r="X37" s="64" t="n">
        <f aca="false">S37+X33</f>
        <v>1497158.69472156</v>
      </c>
      <c r="Y37" s="31"/>
      <c r="Z37" s="31"/>
      <c r="AA37" s="31"/>
      <c r="AB37" s="31"/>
      <c r="AC37" s="58" t="n">
        <f aca="false">X37+AC33</f>
        <v>2568000.48805489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customFormat="false" ht="13.7" hidden="false" customHeight="true" outlineLevel="0" collapsed="false">
      <c r="C38" s="72"/>
      <c r="D38" s="124" t="s">
        <v>66</v>
      </c>
      <c r="F38" s="89"/>
      <c r="G38" s="89"/>
      <c r="H38" s="125"/>
      <c r="I38" s="126" t="n">
        <f aca="false">I33-I34</f>
        <v>-395964.476488889</v>
      </c>
      <c r="J38" s="127"/>
      <c r="K38" s="89"/>
      <c r="L38" s="89"/>
      <c r="M38" s="127"/>
      <c r="N38" s="126" t="n">
        <f aca="false">I38+N35</f>
        <v>-485478.658611772</v>
      </c>
      <c r="O38" s="127"/>
      <c r="P38" s="127"/>
      <c r="Q38" s="89"/>
      <c r="R38" s="127"/>
      <c r="S38" s="128" t="n">
        <f aca="false">N38+S35</f>
        <v>-197733.065278438</v>
      </c>
      <c r="T38" s="127"/>
      <c r="U38" s="127"/>
      <c r="V38" s="89"/>
      <c r="W38" s="127"/>
      <c r="X38" s="129" t="n">
        <f aca="false">S38+X35</f>
        <v>234758.694721562</v>
      </c>
      <c r="Y38" s="127"/>
      <c r="Z38" s="127"/>
      <c r="AA38" s="89"/>
      <c r="AB38" s="127"/>
      <c r="AC38" s="117" t="n">
        <f aca="false">X38+AC35</f>
        <v>943200.488054892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customFormat="false" ht="13.7" hidden="false" customHeight="true" outlineLevel="0" collapsed="false">
      <c r="B39" s="130" t="n">
        <v>0.08</v>
      </c>
      <c r="C39" s="131" t="s">
        <v>67</v>
      </c>
      <c r="D39" s="132"/>
      <c r="E39" s="133"/>
      <c r="F39" s="134" t="n">
        <f aca="false">$B$39</f>
        <v>0.08</v>
      </c>
      <c r="G39" s="135" t="s">
        <v>68</v>
      </c>
      <c r="H39" s="136" t="s">
        <v>69</v>
      </c>
      <c r="I39" s="136"/>
      <c r="J39" s="136"/>
      <c r="K39" s="137" t="n">
        <f aca="false">$B$39</f>
        <v>0.08</v>
      </c>
      <c r="L39" s="135" t="s">
        <v>68</v>
      </c>
      <c r="M39" s="136" t="n">
        <f aca="false">N33/K39</f>
        <v>2631072.72346396</v>
      </c>
      <c r="N39" s="136"/>
      <c r="O39" s="136"/>
      <c r="P39" s="137" t="n">
        <f aca="false">$B$39</f>
        <v>0.08</v>
      </c>
      <c r="Q39" s="135" t="s">
        <v>68</v>
      </c>
      <c r="R39" s="136" t="n">
        <f aca="false">S33/P39</f>
        <v>7346819.91666667</v>
      </c>
      <c r="S39" s="136"/>
      <c r="T39" s="136"/>
      <c r="U39" s="137" t="n">
        <f aca="false">$B$39</f>
        <v>0.08</v>
      </c>
      <c r="V39" s="135" t="s">
        <v>68</v>
      </c>
      <c r="W39" s="136" t="n">
        <f aca="false">X33/U39</f>
        <v>9936147</v>
      </c>
      <c r="X39" s="138"/>
      <c r="Y39" s="136"/>
      <c r="Z39" s="137" t="n">
        <f aca="false">$B$39</f>
        <v>0.08</v>
      </c>
      <c r="AA39" s="135" t="s">
        <v>68</v>
      </c>
      <c r="AB39" s="136" t="n">
        <f aca="false">AC33/Z39</f>
        <v>13385522.4166666</v>
      </c>
      <c r="AC39" s="13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customFormat="false" ht="13.7" hidden="false" customHeight="true" outlineLevel="0" collapsed="false">
      <c r="D40" s="140" t="s">
        <v>70</v>
      </c>
      <c r="X40" s="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="10" customFormat="true" ht="12.1" hidden="false" customHeight="true" outlineLevel="0" collapsed="false">
      <c r="B41" s="0"/>
      <c r="C41" s="16"/>
      <c r="D41" s="48"/>
      <c r="E41" s="42"/>
      <c r="F41" s="42"/>
      <c r="G41" s="42"/>
      <c r="H41" s="42"/>
      <c r="I41" s="141"/>
      <c r="J41" s="48"/>
      <c r="K41" s="42"/>
      <c r="L41" s="42"/>
      <c r="M41" s="42"/>
      <c r="N41" s="141"/>
      <c r="O41" s="142"/>
      <c r="P41" s="143"/>
      <c r="Q41" s="143"/>
      <c r="R41" s="143"/>
      <c r="S41" s="141"/>
      <c r="T41" s="142"/>
      <c r="U41" s="143"/>
      <c r="V41" s="143"/>
      <c r="W41" s="143"/>
      <c r="X41" s="141"/>
      <c r="Y41" s="142"/>
      <c r="Z41" s="143"/>
      <c r="AA41" s="143"/>
      <c r="AB41" s="143"/>
      <c r="AC41" s="141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7" hidden="false" customHeight="true" outlineLevel="0" collapsed="false"/>
    <row r="1048576" customFormat="false" ht="12.8" hidden="false" customHeight="false" outlineLevel="0" collapsed="false"/>
  </sheetData>
  <sheetProtection sheet="true" objects="true" scenarios="true"/>
  <mergeCells count="6">
    <mergeCell ref="S1:S3"/>
    <mergeCell ref="X1:X3"/>
    <mergeCell ref="N5:N6"/>
    <mergeCell ref="S5:S6"/>
    <mergeCell ref="X5:X6"/>
    <mergeCell ref="AC5:AC6"/>
  </mergeCells>
  <printOptions headings="false" gridLines="false" gridLinesSet="true" horizontalCentered="true" verticalCentered="false"/>
  <pageMargins left="0.952083333333333" right="0.932638888888889" top="1.06736111111111" bottom="0.247222222222222" header="0.425" footer="0.00763888888888889"/>
  <pageSetup paperSize="1" scale="68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&amp;C&amp;12THE ARROYOS PRESERVE
Luxury RV/MobileHome Park and Off-Road Recreational Community
5-Year NOI ProForma</oddHeader>
    <oddFooter>&amp;C&amp;8&amp;F --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AO18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/>
  <cols>
    <col collapsed="false" hidden="false" max="1" min="1" style="0" width="5.65116279069768"/>
    <col collapsed="false" hidden="false" max="2" min="2" style="0" width="9.36279069767442"/>
    <col collapsed="false" hidden="false" max="3" min="3" style="0" width="1.25581395348837"/>
    <col collapsed="false" hidden="false" max="4" min="4" style="0" width="10.5023255813953"/>
    <col collapsed="false" hidden="false" max="5" min="5" style="0" width="9.93488372093023"/>
    <col collapsed="false" hidden="false" max="6" min="6" style="0" width="4.3953488372093"/>
    <col collapsed="false" hidden="false" max="7" min="7" style="0" width="4.27441860465116"/>
    <col collapsed="false" hidden="false" max="8" min="8" style="0" width="3.64186046511628"/>
    <col collapsed="false" hidden="false" max="9" min="9" style="0" width="5.65116279069768"/>
    <col collapsed="false" hidden="false" max="10" min="10" style="0" width="4.29767441860465"/>
    <col collapsed="false" hidden="false" max="11" min="11" style="53" width="10.5581395348837"/>
    <col collapsed="false" hidden="false" max="12" min="12" style="0" width="5.78604651162791"/>
    <col collapsed="false" hidden="false" max="13" min="13" style="53" width="6.06511627906977"/>
    <col collapsed="false" hidden="false" max="14" min="14" style="144" width="15.1441860465116"/>
    <col collapsed="false" hidden="false" max="15" min="15" style="53" width="9.64651162790698"/>
    <col collapsed="false" hidden="false" max="16" min="16" style="11" width="5.71162790697674"/>
    <col collapsed="false" hidden="false" max="17" min="17" style="0" width="10.5023255813953"/>
    <col collapsed="false" hidden="false" max="18" min="18" style="0" width="4.27441860465116"/>
    <col collapsed="false" hidden="false" max="19" min="19" style="0" width="4.89767441860465"/>
    <col collapsed="false" hidden="false" max="20" min="20" style="0" width="9.66511627906977"/>
    <col collapsed="false" hidden="false" max="21" min="21" style="0" width="1.45116279069767"/>
    <col collapsed="false" hidden="false" max="22" min="22" style="53" width="10.5023255813953"/>
    <col collapsed="false" hidden="false" max="23" min="23" style="0" width="10.5023255813953"/>
    <col collapsed="false" hidden="false" max="24" min="24" style="0" width="3.98604651162791"/>
    <col collapsed="false" hidden="false" max="25" min="25" style="0" width="4.29302325581395"/>
    <col collapsed="false" hidden="false" max="26" min="26" style="0" width="4.43720930232558"/>
    <col collapsed="false" hidden="false" max="27" min="27" style="0" width="7.83720930232558"/>
    <col collapsed="false" hidden="false" max="28" min="28" style="0" width="4.91627906976744"/>
    <col collapsed="false" hidden="false" max="29" min="29" style="0" width="9.3953488372093"/>
    <col collapsed="false" hidden="false" max="30" min="30" style="0" width="4.75813953488372"/>
    <col collapsed="false" hidden="false" max="31" min="31" style="0" width="5.68372093023256"/>
    <col collapsed="false" hidden="false" max="1025" min="32" style="0" width="10.5023255813953"/>
  </cols>
  <sheetData>
    <row r="1" customFormat="false" ht="13.8" hidden="false" customHeight="false" outlineLevel="0" collapsed="false">
      <c r="K1" s="0"/>
      <c r="M1" s="0"/>
      <c r="N1" s="0"/>
      <c r="O1" s="0"/>
      <c r="P1" s="0"/>
    </row>
    <row r="2" customFormat="false" ht="13.8" hidden="false" customHeight="false" outlineLevel="0" collapsed="false">
      <c r="B2" s="145"/>
      <c r="C2" s="145"/>
      <c r="D2" s="145"/>
      <c r="E2" s="146" t="s">
        <v>71</v>
      </c>
      <c r="F2" s="146"/>
      <c r="G2" s="146"/>
      <c r="H2" s="146"/>
      <c r="I2" s="146"/>
      <c r="J2" s="146"/>
      <c r="K2" s="146"/>
      <c r="L2" s="146"/>
      <c r="M2" s="147"/>
      <c r="N2" s="148"/>
      <c r="O2" s="149"/>
      <c r="P2" s="0"/>
    </row>
    <row r="3" customFormat="false" ht="13.8" hidden="false" customHeight="false" outlineLevel="0" collapsed="false">
      <c r="B3" s="145"/>
      <c r="C3" s="150"/>
      <c r="D3" s="151"/>
      <c r="E3" s="152" t="s">
        <v>72</v>
      </c>
      <c r="F3" s="152"/>
      <c r="G3" s="152"/>
      <c r="H3" s="152"/>
      <c r="I3" s="152"/>
      <c r="J3" s="152"/>
      <c r="K3" s="152"/>
      <c r="L3" s="152"/>
      <c r="M3" s="153"/>
      <c r="N3" s="148"/>
      <c r="O3" s="149"/>
      <c r="P3" s="0"/>
    </row>
    <row r="4" customFormat="false" ht="13.8" hidden="false" customHeight="false" outlineLevel="0" collapsed="false">
      <c r="B4" s="145"/>
      <c r="C4" s="154"/>
      <c r="D4" s="155"/>
      <c r="E4" s="156" t="str">
        <f aca="false">"Total "&amp;TEXT(F5+F12+F22,"###.#")&amp;" Sites in Build-1"</f>
        <v>Total 310 Sites in Build-1</v>
      </c>
      <c r="F4" s="156"/>
      <c r="G4" s="156"/>
      <c r="H4" s="156"/>
      <c r="I4" s="156"/>
      <c r="J4" s="156"/>
      <c r="K4" s="156"/>
      <c r="L4" s="156"/>
      <c r="M4" s="157"/>
      <c r="N4" s="148"/>
      <c r="O4" s="149"/>
      <c r="P4" s="0"/>
    </row>
    <row r="5" customFormat="false" ht="13.8" hidden="false" customHeight="false" outlineLevel="0" collapsed="false">
      <c r="B5" s="150" t="s">
        <v>73</v>
      </c>
      <c r="C5" s="158"/>
      <c r="D5" s="159" t="n">
        <f aca="false">K6+K7</f>
        <v>500845.7</v>
      </c>
      <c r="E5" s="160" t="s">
        <v>74</v>
      </c>
      <c r="F5" s="152" t="n">
        <f aca="false">SUM(F6:F10)</f>
        <v>122</v>
      </c>
      <c r="G5" s="161"/>
      <c r="H5" s="151"/>
      <c r="I5" s="162" t="s">
        <v>75</v>
      </c>
      <c r="J5" s="163"/>
      <c r="K5" s="164" t="s">
        <v>76</v>
      </c>
      <c r="L5" s="165" t="s">
        <v>77</v>
      </c>
      <c r="M5" s="164" t="s">
        <v>78</v>
      </c>
      <c r="N5" s="148"/>
      <c r="O5" s="149"/>
      <c r="P5" s="0"/>
    </row>
    <row r="6" customFormat="false" ht="13.8" hidden="false" customHeight="false" outlineLevel="0" collapsed="false">
      <c r="B6" s="166"/>
      <c r="C6" s="166"/>
      <c r="D6" s="145" t="s">
        <v>79</v>
      </c>
      <c r="E6" s="145"/>
      <c r="F6" s="167" t="n">
        <v>63</v>
      </c>
      <c r="G6" s="168" t="n">
        <v>46</v>
      </c>
      <c r="H6" s="169" t="s">
        <v>80</v>
      </c>
      <c r="I6" s="170" t="n">
        <v>0.77</v>
      </c>
      <c r="J6" s="171"/>
      <c r="K6" s="172" t="n">
        <f aca="false">(F6*G6)*365*(1-I6)</f>
        <v>243287.1</v>
      </c>
      <c r="L6" s="173" t="n">
        <f aca="false">ROUND(K6/$K$30,2)</f>
        <v>0.25</v>
      </c>
      <c r="M6" s="147" t="n">
        <f aca="false">K6/F6</f>
        <v>3861.7</v>
      </c>
      <c r="N6" s="148"/>
      <c r="O6" s="149"/>
      <c r="P6" s="174" t="n">
        <v>0.22</v>
      </c>
    </row>
    <row r="7" customFormat="false" ht="13.8" hidden="false" customHeight="false" outlineLevel="0" collapsed="false">
      <c r="B7" s="145"/>
      <c r="C7" s="145"/>
      <c r="D7" s="145" t="s">
        <v>81</v>
      </c>
      <c r="E7" s="145"/>
      <c r="F7" s="167" t="n">
        <v>59</v>
      </c>
      <c r="G7" s="168" t="n">
        <v>52</v>
      </c>
      <c r="H7" s="169" t="s">
        <v>80</v>
      </c>
      <c r="I7" s="170" t="n">
        <v>0.77</v>
      </c>
      <c r="J7" s="171"/>
      <c r="K7" s="172" t="n">
        <f aca="false">(F7*G7)*365*(1-I7)</f>
        <v>257558.6</v>
      </c>
      <c r="L7" s="173" t="n">
        <f aca="false">ROUND(K7/$K$30,2)</f>
        <v>0.26</v>
      </c>
      <c r="M7" s="147" t="n">
        <f aca="false">K7/F7</f>
        <v>4365.4</v>
      </c>
      <c r="N7" s="148"/>
      <c r="O7" s="0"/>
      <c r="P7" s="11" t="n">
        <f aca="false">49*49*P6*365</f>
        <v>192800.3</v>
      </c>
    </row>
    <row r="8" customFormat="false" ht="13.8" hidden="false" customHeight="false" outlineLevel="0" collapsed="false">
      <c r="B8" s="166"/>
      <c r="C8" s="166"/>
      <c r="D8" s="145" t="s">
        <v>82</v>
      </c>
      <c r="E8" s="145"/>
      <c r="F8" s="167" t="n">
        <v>0</v>
      </c>
      <c r="G8" s="168" t="n">
        <v>120</v>
      </c>
      <c r="H8" s="169" t="s">
        <v>80</v>
      </c>
      <c r="I8" s="170" t="n">
        <v>0.85</v>
      </c>
      <c r="J8" s="171"/>
      <c r="K8" s="172" t="n">
        <f aca="false">(F8*G8)*365*(1-I8)</f>
        <v>0</v>
      </c>
      <c r="L8" s="173" t="n">
        <f aca="false">ROUND(K8/$K$30,2)</f>
        <v>0</v>
      </c>
      <c r="M8" s="147"/>
      <c r="N8" s="148"/>
      <c r="O8" s="149"/>
      <c r="P8" s="0"/>
    </row>
    <row r="9" customFormat="false" ht="13.8" hidden="false" customHeight="false" outlineLevel="0" collapsed="false">
      <c r="B9" s="166"/>
      <c r="C9" s="166"/>
      <c r="D9" s="145" t="s">
        <v>83</v>
      </c>
      <c r="E9" s="145"/>
      <c r="F9" s="167" t="n">
        <v>0</v>
      </c>
      <c r="G9" s="168" t="n">
        <v>69</v>
      </c>
      <c r="H9" s="169" t="s">
        <v>80</v>
      </c>
      <c r="I9" s="170" t="n">
        <v>0.8</v>
      </c>
      <c r="J9" s="171"/>
      <c r="K9" s="172" t="n">
        <f aca="false">(F9*G9)*365*(1-I9)</f>
        <v>0</v>
      </c>
      <c r="L9" s="173" t="n">
        <f aca="false">ROUND(K9/$K$30,2)</f>
        <v>0</v>
      </c>
      <c r="M9" s="147"/>
      <c r="N9" s="148"/>
      <c r="O9" s="149"/>
      <c r="P9" s="11" t="n">
        <f aca="false">(F7*G7)/0.2</f>
        <v>15340</v>
      </c>
    </row>
    <row r="10" customFormat="false" ht="13.8" hidden="false" customHeight="false" outlineLevel="0" collapsed="false">
      <c r="B10" s="166"/>
      <c r="C10" s="166"/>
      <c r="D10" s="145" t="s">
        <v>84</v>
      </c>
      <c r="E10" s="145"/>
      <c r="F10" s="167" t="n">
        <v>0</v>
      </c>
      <c r="G10" s="168" t="n">
        <v>35</v>
      </c>
      <c r="H10" s="169" t="s">
        <v>80</v>
      </c>
      <c r="I10" s="170" t="n">
        <v>0.9</v>
      </c>
      <c r="J10" s="171"/>
      <c r="K10" s="172" t="n">
        <f aca="false">(F10*G10)*365*(1-I10)</f>
        <v>0</v>
      </c>
      <c r="L10" s="173" t="n">
        <f aca="false">ROUND(K10/$K$30,2)</f>
        <v>0</v>
      </c>
      <c r="M10" s="147"/>
      <c r="N10" s="148"/>
      <c r="O10" s="149"/>
      <c r="P10" s="0"/>
    </row>
    <row r="11" customFormat="false" ht="13.8" hidden="false" customHeight="false" outlineLevel="0" collapsed="false">
      <c r="B11" s="166"/>
      <c r="C11" s="166"/>
      <c r="D11" s="145"/>
      <c r="E11" s="145"/>
      <c r="F11" s="167"/>
      <c r="G11" s="168"/>
      <c r="H11" s="169"/>
      <c r="I11" s="170"/>
      <c r="J11" s="171"/>
      <c r="K11" s="175" t="n">
        <f aca="false">SUM(K6:K10)</f>
        <v>500845.7</v>
      </c>
      <c r="L11" s="173"/>
      <c r="M11" s="147" t="n">
        <f aca="false">K11/12</f>
        <v>41737.1416666667</v>
      </c>
      <c r="N11" s="148" t="s">
        <v>85</v>
      </c>
      <c r="O11" s="149"/>
      <c r="P11" s="0"/>
    </row>
    <row r="12" customFormat="false" ht="13.8" hidden="false" customHeight="false" outlineLevel="0" collapsed="false">
      <c r="B12" s="176" t="s">
        <v>86</v>
      </c>
      <c r="C12" s="145"/>
      <c r="D12" s="177" t="n">
        <f aca="false">K13+K14+K15+K16</f>
        <v>338026.5</v>
      </c>
      <c r="E12" s="178" t="s">
        <v>74</v>
      </c>
      <c r="F12" s="179" t="n">
        <f aca="false">SUM(F13:F16)</f>
        <v>52</v>
      </c>
      <c r="G12" s="180"/>
      <c r="H12" s="155"/>
      <c r="I12" s="181"/>
      <c r="J12" s="182"/>
      <c r="K12" s="183"/>
      <c r="L12" s="184"/>
      <c r="M12" s="157"/>
      <c r="N12" s="148"/>
      <c r="O12" s="149"/>
      <c r="P12" s="0"/>
    </row>
    <row r="13" customFormat="false" ht="13.8" hidden="false" customHeight="false" outlineLevel="0" collapsed="false">
      <c r="B13" s="145"/>
      <c r="C13" s="145"/>
      <c r="D13" s="145" t="s">
        <v>79</v>
      </c>
      <c r="E13" s="145"/>
      <c r="F13" s="167" t="n">
        <v>29</v>
      </c>
      <c r="G13" s="168" t="n">
        <v>56</v>
      </c>
      <c r="H13" s="169" t="s">
        <v>80</v>
      </c>
      <c r="I13" s="170" t="n">
        <v>0.7</v>
      </c>
      <c r="J13" s="171"/>
      <c r="K13" s="172" t="n">
        <f aca="false">(F13*G13)*365*(1-I13)</f>
        <v>177828</v>
      </c>
      <c r="L13" s="173" t="n">
        <f aca="false">ROUND(K13/$K$30,2)</f>
        <v>0.18</v>
      </c>
      <c r="M13" s="147" t="n">
        <f aca="false">K13/F13</f>
        <v>6132</v>
      </c>
      <c r="N13" s="148"/>
      <c r="O13" s="149"/>
      <c r="P13" s="0"/>
    </row>
    <row r="14" customFormat="false" ht="13.8" hidden="false" customHeight="false" outlineLevel="0" collapsed="false">
      <c r="B14" s="166"/>
      <c r="C14" s="166"/>
      <c r="D14" s="145" t="s">
        <v>84</v>
      </c>
      <c r="E14" s="145"/>
      <c r="F14" s="167" t="n">
        <v>7</v>
      </c>
      <c r="G14" s="168" t="n">
        <v>35</v>
      </c>
      <c r="H14" s="169" t="s">
        <v>80</v>
      </c>
      <c r="I14" s="170" t="n">
        <v>0.9</v>
      </c>
      <c r="J14" s="171"/>
      <c r="K14" s="172" t="n">
        <f aca="false">(F14*G14)*365*(1-I14)</f>
        <v>8942.5</v>
      </c>
      <c r="L14" s="173" t="n">
        <f aca="false">ROUND(K14/$K$30,2)</f>
        <v>0.01</v>
      </c>
      <c r="M14" s="147" t="n">
        <f aca="false">K14/F14</f>
        <v>1277.5</v>
      </c>
      <c r="N14" s="148"/>
      <c r="O14" s="149"/>
      <c r="P14" s="0"/>
    </row>
    <row r="15" customFormat="false" ht="13.8" hidden="false" customHeight="false" outlineLevel="0" collapsed="false">
      <c r="B15" s="166"/>
      <c r="C15" s="166"/>
      <c r="D15" s="145" t="s">
        <v>87</v>
      </c>
      <c r="E15" s="145"/>
      <c r="F15" s="167" t="n">
        <v>8</v>
      </c>
      <c r="G15" s="168" t="n">
        <v>94</v>
      </c>
      <c r="H15" s="169" t="s">
        <v>80</v>
      </c>
      <c r="I15" s="170" t="n">
        <v>0.8</v>
      </c>
      <c r="J15" s="171"/>
      <c r="K15" s="172" t="n">
        <f aca="false">(F15*G15)*365*(1-I15)</f>
        <v>54896</v>
      </c>
      <c r="L15" s="173" t="n">
        <f aca="false">ROUND(K15/$K$30,2)</f>
        <v>0.06</v>
      </c>
      <c r="M15" s="147" t="n">
        <f aca="false">K15/F15</f>
        <v>6862</v>
      </c>
      <c r="N15" s="148"/>
      <c r="O15" s="149"/>
      <c r="P15" s="0"/>
    </row>
    <row r="16" customFormat="false" ht="13.8" hidden="false" customHeight="false" outlineLevel="0" collapsed="false">
      <c r="B16" s="166"/>
      <c r="C16" s="166"/>
      <c r="D16" s="145" t="s">
        <v>88</v>
      </c>
      <c r="E16" s="145"/>
      <c r="F16" s="167" t="n">
        <v>8</v>
      </c>
      <c r="G16" s="168" t="n">
        <v>110</v>
      </c>
      <c r="H16" s="169" t="s">
        <v>80</v>
      </c>
      <c r="I16" s="170" t="n">
        <v>0.7</v>
      </c>
      <c r="J16" s="171"/>
      <c r="K16" s="172" t="n">
        <f aca="false">(F16*G16)*365*(1-I16)</f>
        <v>96360</v>
      </c>
      <c r="L16" s="173" t="n">
        <f aca="false">ROUND(K16/$K$30,2)</f>
        <v>0.1</v>
      </c>
      <c r="M16" s="147" t="n">
        <f aca="false">K16/F16</f>
        <v>12045</v>
      </c>
      <c r="N16" s="148"/>
      <c r="O16" s="149"/>
      <c r="P16" s="0"/>
    </row>
    <row r="17" customFormat="false" ht="13.8" hidden="false" customHeight="false" outlineLevel="0" collapsed="false">
      <c r="B17" s="166"/>
      <c r="C17" s="166"/>
      <c r="D17" s="145" t="s">
        <v>89</v>
      </c>
      <c r="E17" s="145"/>
      <c r="F17" s="167" t="n">
        <v>1</v>
      </c>
      <c r="G17" s="148"/>
      <c r="H17" s="167"/>
      <c r="I17" s="145"/>
      <c r="J17" s="171"/>
      <c r="K17" s="172" t="n">
        <v>7500</v>
      </c>
      <c r="L17" s="173" t="n">
        <f aca="false">ROUND(K17/$K$30,2)</f>
        <v>0.01</v>
      </c>
      <c r="M17" s="147"/>
      <c r="N17" s="148"/>
      <c r="O17" s="149"/>
      <c r="P17" s="0"/>
    </row>
    <row r="18" customFormat="false" ht="13.8" hidden="false" customHeight="false" outlineLevel="0" collapsed="false">
      <c r="B18" s="166"/>
      <c r="C18" s="166"/>
      <c r="D18" s="145" t="s">
        <v>90</v>
      </c>
      <c r="E18" s="145"/>
      <c r="F18" s="167"/>
      <c r="G18" s="167"/>
      <c r="H18" s="167"/>
      <c r="I18" s="145"/>
      <c r="J18" s="171"/>
      <c r="K18" s="172" t="n">
        <v>20000</v>
      </c>
      <c r="L18" s="173" t="n">
        <f aca="false">ROUND(K18/$K$30,2)</f>
        <v>0.02</v>
      </c>
      <c r="M18" s="147"/>
      <c r="N18" s="148"/>
      <c r="O18" s="149"/>
      <c r="P18" s="0"/>
    </row>
    <row r="19" customFormat="false" ht="13.8" hidden="false" customHeight="false" outlineLevel="0" collapsed="false">
      <c r="B19" s="166"/>
      <c r="C19" s="166"/>
      <c r="D19" s="145" t="s">
        <v>91</v>
      </c>
      <c r="E19" s="145"/>
      <c r="F19" s="167"/>
      <c r="G19" s="167"/>
      <c r="H19" s="167"/>
      <c r="I19" s="145"/>
      <c r="J19" s="171"/>
      <c r="K19" s="185" t="n">
        <v>110000</v>
      </c>
      <c r="L19" s="173" t="n">
        <f aca="false">ROUND(K19/$K$30,2)</f>
        <v>0.11</v>
      </c>
      <c r="M19" s="147"/>
      <c r="N19" s="148"/>
      <c r="O19" s="149"/>
      <c r="P19" s="0"/>
      <c r="Z19" s="0" t="s">
        <v>92</v>
      </c>
    </row>
    <row r="20" customFormat="false" ht="13.8" hidden="false" customHeight="false" outlineLevel="0" collapsed="false">
      <c r="B20" s="166"/>
      <c r="C20" s="166"/>
      <c r="D20" s="145"/>
      <c r="E20" s="186"/>
      <c r="F20" s="145"/>
      <c r="G20" s="145"/>
      <c r="H20" s="145"/>
      <c r="I20" s="145"/>
      <c r="J20" s="187" t="s">
        <v>93</v>
      </c>
      <c r="K20" s="188" t="n">
        <f aca="false">SUM(K13:K19)</f>
        <v>475526.5</v>
      </c>
      <c r="L20" s="173"/>
      <c r="M20" s="147" t="n">
        <f aca="false">K20/12</f>
        <v>39627.2083333333</v>
      </c>
      <c r="N20" s="148" t="s">
        <v>85</v>
      </c>
      <c r="O20" s="149"/>
      <c r="P20" s="0"/>
      <c r="AE20" s="0" t="s">
        <v>94</v>
      </c>
    </row>
    <row r="21" customFormat="false" ht="13.8" hidden="false" customHeight="false" outlineLevel="0" collapsed="false">
      <c r="B21" s="145"/>
      <c r="C21" s="145"/>
      <c r="D21" s="186"/>
      <c r="E21" s="186"/>
      <c r="F21" s="186"/>
      <c r="G21" s="186"/>
      <c r="H21" s="186"/>
      <c r="I21" s="186"/>
      <c r="J21" s="189"/>
      <c r="K21" s="190"/>
      <c r="L21" s="186"/>
      <c r="M21" s="190"/>
      <c r="N21" s="148"/>
      <c r="O21" s="149"/>
      <c r="P21" s="0"/>
    </row>
    <row r="22" customFormat="false" ht="13.8" hidden="false" customHeight="false" outlineLevel="0" collapsed="false">
      <c r="A22" s="191"/>
      <c r="B22" s="192" t="s">
        <v>95</v>
      </c>
      <c r="C22" s="193"/>
      <c r="D22" s="194" t="n">
        <f aca="false">SUM(K23:K26)</f>
        <v>473172.8</v>
      </c>
      <c r="E22" s="195" t="s">
        <v>74</v>
      </c>
      <c r="F22" s="196" t="n">
        <f aca="false">SUM(F23:F27)</f>
        <v>136</v>
      </c>
      <c r="G22" s="197"/>
      <c r="H22" s="198"/>
      <c r="I22" s="199"/>
      <c r="J22" s="200"/>
      <c r="K22" s="201"/>
      <c r="L22" s="202"/>
      <c r="M22" s="203"/>
      <c r="N22" s="204"/>
      <c r="O22" s="205"/>
      <c r="P22" s="0"/>
      <c r="S22" s="53" t="n">
        <v>12562.5</v>
      </c>
      <c r="T22" s="53" t="n">
        <v>4687.5</v>
      </c>
      <c r="U22" s="53" t="n">
        <v>4687.5</v>
      </c>
      <c r="V22" s="53" t="n">
        <v>9375</v>
      </c>
      <c r="X22" s="0" t="n">
        <v>25125</v>
      </c>
      <c r="Y22" s="0" t="n">
        <v>9375</v>
      </c>
      <c r="Z22" s="0" t="n">
        <v>9375</v>
      </c>
      <c r="AA22" s="0" t="n">
        <v>18750</v>
      </c>
      <c r="AC22" s="53" t="n">
        <v>37500</v>
      </c>
      <c r="AD22" s="53" t="n">
        <v>9375</v>
      </c>
      <c r="AE22" s="53" t="n">
        <v>9375</v>
      </c>
      <c r="AF22" s="53" t="n">
        <v>18750</v>
      </c>
    </row>
    <row r="23" customFormat="false" ht="13.8" hidden="false" customHeight="false" outlineLevel="0" collapsed="false">
      <c r="A23" s="191"/>
      <c r="B23" s="206"/>
      <c r="C23" s="206"/>
      <c r="D23" s="207" t="s">
        <v>79</v>
      </c>
      <c r="E23" s="207"/>
      <c r="F23" s="208" t="n">
        <v>34</v>
      </c>
      <c r="G23" s="209" t="n">
        <v>48</v>
      </c>
      <c r="H23" s="210" t="s">
        <v>80</v>
      </c>
      <c r="I23" s="211" t="n">
        <v>0.77</v>
      </c>
      <c r="J23" s="212"/>
      <c r="K23" s="213" t="n">
        <f aca="false">(F23*G23)*365*(1-I23)</f>
        <v>137006.4</v>
      </c>
      <c r="L23" s="214" t="n">
        <f aca="false">ROUND(K23/$K$79,2)</f>
        <v>0.07</v>
      </c>
      <c r="M23" s="215" t="n">
        <f aca="false">K23/F23</f>
        <v>4029.6</v>
      </c>
      <c r="N23" s="204"/>
      <c r="O23" s="205"/>
      <c r="P23" s="0"/>
      <c r="S23" s="216" t="n">
        <f aca="false">S22/X22</f>
        <v>0.5</v>
      </c>
      <c r="T23" s="216" t="n">
        <f aca="false">T22/Y22</f>
        <v>0.5</v>
      </c>
      <c r="U23" s="216" t="n">
        <f aca="false">U22/Z22</f>
        <v>0.5</v>
      </c>
      <c r="V23" s="53" t="n">
        <f aca="false">V22/AA22</f>
        <v>0.5</v>
      </c>
      <c r="X23" s="216" t="n">
        <f aca="false">X22/AC22</f>
        <v>0.67</v>
      </c>
      <c r="Y23" s="216" t="n">
        <f aca="false">Y22/AD22</f>
        <v>1</v>
      </c>
      <c r="Z23" s="216" t="n">
        <f aca="false">Z22/AE22</f>
        <v>1</v>
      </c>
      <c r="AA23" s="216" t="n">
        <f aca="false">AA22/AF22</f>
        <v>1</v>
      </c>
    </row>
    <row r="24" customFormat="false" ht="13.8" hidden="false" customHeight="false" outlineLevel="0" collapsed="false">
      <c r="A24" s="191"/>
      <c r="B24" s="206"/>
      <c r="C24" s="206"/>
      <c r="D24" s="217" t="s">
        <v>96</v>
      </c>
      <c r="E24" s="217"/>
      <c r="F24" s="208" t="n">
        <v>48</v>
      </c>
      <c r="G24" s="209" t="n">
        <v>54</v>
      </c>
      <c r="H24" s="210" t="s">
        <v>80</v>
      </c>
      <c r="I24" s="211" t="n">
        <v>0.77</v>
      </c>
      <c r="J24" s="212"/>
      <c r="K24" s="213" t="n">
        <f aca="false">(F24*G24)*365*(1-I24)</f>
        <v>217598.4</v>
      </c>
      <c r="L24" s="214" t="n">
        <f aca="false">ROUND(K24/$K$79,2)</f>
        <v>0.11</v>
      </c>
      <c r="M24" s="215" t="n">
        <f aca="false">K24/F24</f>
        <v>4533.3</v>
      </c>
      <c r="N24" s="204"/>
      <c r="O24" s="205"/>
      <c r="P24" s="0"/>
      <c r="S24" s="53" t="n">
        <v>167500</v>
      </c>
      <c r="T24" s="53" t="n">
        <v>71000</v>
      </c>
      <c r="U24" s="53" t="n">
        <v>71000</v>
      </c>
      <c r="V24" s="53" t="n">
        <v>125000</v>
      </c>
      <c r="X24" s="0" t="n">
        <v>335000</v>
      </c>
      <c r="Y24" s="0" t="n">
        <v>142000</v>
      </c>
      <c r="Z24" s="0" t="n">
        <v>142000</v>
      </c>
      <c r="AA24" s="0" t="n">
        <v>250000</v>
      </c>
      <c r="AC24" s="0" t="n">
        <v>500000</v>
      </c>
      <c r="AD24" s="0" t="n">
        <v>142000</v>
      </c>
      <c r="AE24" s="0" t="n">
        <v>142000</v>
      </c>
      <c r="AF24" s="0" t="n">
        <v>250000</v>
      </c>
    </row>
    <row r="25" customFormat="false" ht="13.8" hidden="false" customHeight="false" outlineLevel="0" collapsed="false">
      <c r="A25" s="191"/>
      <c r="B25" s="206"/>
      <c r="C25" s="206"/>
      <c r="D25" s="207" t="s">
        <v>97</v>
      </c>
      <c r="E25" s="207"/>
      <c r="F25" s="208" t="n">
        <v>20</v>
      </c>
      <c r="G25" s="209" t="n">
        <v>375</v>
      </c>
      <c r="H25" s="210" t="s">
        <v>85</v>
      </c>
      <c r="I25" s="211" t="n">
        <v>0.75</v>
      </c>
      <c r="J25" s="212"/>
      <c r="K25" s="213" t="n">
        <f aca="false">(F25*G25)*12*(1-I25)</f>
        <v>22500</v>
      </c>
      <c r="L25" s="214" t="n">
        <f aca="false">ROUND(K25/$K$79,2)</f>
        <v>0.01</v>
      </c>
      <c r="M25" s="215" t="n">
        <f aca="false">K25/F25</f>
        <v>1125</v>
      </c>
      <c r="N25" s="204"/>
      <c r="O25" s="205"/>
      <c r="P25" s="0"/>
      <c r="S25" s="216" t="n">
        <f aca="false">S24/X24</f>
        <v>0.5</v>
      </c>
      <c r="T25" s="216" t="n">
        <f aca="false">T24/Y24</f>
        <v>0.5</v>
      </c>
      <c r="U25" s="216" t="n">
        <f aca="false">U24/Z24</f>
        <v>0.5</v>
      </c>
      <c r="V25" s="53" t="n">
        <f aca="false">V24/AA24</f>
        <v>0.5</v>
      </c>
      <c r="X25" s="216" t="n">
        <f aca="false">X24/AC24</f>
        <v>0.67</v>
      </c>
      <c r="Y25" s="216" t="n">
        <f aca="false">Y24/AD24</f>
        <v>1</v>
      </c>
      <c r="Z25" s="216" t="n">
        <f aca="false">Z24/AE24</f>
        <v>1</v>
      </c>
      <c r="AA25" s="216" t="n">
        <f aca="false">AA24/AF24</f>
        <v>1</v>
      </c>
    </row>
    <row r="26" customFormat="false" ht="13.8" hidden="false" customHeight="false" outlineLevel="0" collapsed="false">
      <c r="A26" s="191"/>
      <c r="B26" s="206"/>
      <c r="C26" s="206"/>
      <c r="D26" s="217" t="s">
        <v>87</v>
      </c>
      <c r="E26" s="217"/>
      <c r="F26" s="218" t="n">
        <v>14</v>
      </c>
      <c r="G26" s="217" t="n">
        <v>94</v>
      </c>
      <c r="H26" s="217" t="s">
        <v>80</v>
      </c>
      <c r="I26" s="211" t="n">
        <v>0.8</v>
      </c>
      <c r="J26" s="219"/>
      <c r="K26" s="220" t="n">
        <f aca="false">(F26*G26)*365*(1-I26)</f>
        <v>96068</v>
      </c>
      <c r="L26" s="214" t="n">
        <f aca="false">ROUND(K26/$K$79,2)</f>
        <v>0.05</v>
      </c>
      <c r="M26" s="215" t="n">
        <f aca="false">K26/F26</f>
        <v>6862</v>
      </c>
      <c r="N26" s="204"/>
      <c r="O26" s="205"/>
      <c r="P26" s="0"/>
      <c r="S26" s="53" t="n">
        <v>16080</v>
      </c>
      <c r="T26" s="53" t="n">
        <v>6000</v>
      </c>
      <c r="U26" s="53" t="n">
        <v>6000</v>
      </c>
      <c r="V26" s="53" t="n">
        <v>12000</v>
      </c>
      <c r="X26" s="0" t="n">
        <v>32160</v>
      </c>
      <c r="Y26" s="0" t="n">
        <v>12000</v>
      </c>
      <c r="Z26" s="0" t="n">
        <v>12000</v>
      </c>
      <c r="AA26" s="0" t="n">
        <v>24000</v>
      </c>
      <c r="AC26" s="0" t="n">
        <v>48000</v>
      </c>
      <c r="AD26" s="0" t="n">
        <v>12000</v>
      </c>
      <c r="AE26" s="0" t="n">
        <v>12000</v>
      </c>
      <c r="AF26" s="0" t="n">
        <v>24000</v>
      </c>
    </row>
    <row r="27" customFormat="false" ht="13.8" hidden="false" customHeight="false" outlineLevel="0" collapsed="false">
      <c r="A27" s="191"/>
      <c r="B27" s="206"/>
      <c r="C27" s="206"/>
      <c r="D27" s="207" t="s">
        <v>98</v>
      </c>
      <c r="E27" s="207"/>
      <c r="F27" s="208" t="n">
        <v>20</v>
      </c>
      <c r="G27" s="209" t="n">
        <v>265</v>
      </c>
      <c r="H27" s="210" t="s">
        <v>85</v>
      </c>
      <c r="I27" s="211" t="n">
        <v>0.1</v>
      </c>
      <c r="J27" s="212"/>
      <c r="K27" s="213" t="n">
        <f aca="false">(F27*G27)*12*(1-I27)</f>
        <v>57240</v>
      </c>
      <c r="L27" s="214" t="n">
        <f aca="false">ROUND(K27/$K$79,2)</f>
        <v>0.03</v>
      </c>
      <c r="M27" s="215" t="n">
        <f aca="false">K27/F27</f>
        <v>2862</v>
      </c>
      <c r="N27" s="204"/>
      <c r="O27" s="205"/>
      <c r="P27" s="0"/>
      <c r="S27" s="216" t="n">
        <f aca="false">S26/X26</f>
        <v>0.5</v>
      </c>
      <c r="T27" s="216" t="n">
        <f aca="false">T26/Y26</f>
        <v>0.5</v>
      </c>
      <c r="U27" s="216" t="n">
        <f aca="false">U26/Z26</f>
        <v>0.5</v>
      </c>
      <c r="V27" s="53" t="n">
        <f aca="false">V26/AA26</f>
        <v>0.5</v>
      </c>
      <c r="X27" s="216" t="n">
        <f aca="false">X26/AC26</f>
        <v>0.67</v>
      </c>
      <c r="Y27" s="216" t="n">
        <f aca="false">Y26/AD26</f>
        <v>1</v>
      </c>
      <c r="Z27" s="216" t="n">
        <f aca="false">Z26/AE26</f>
        <v>1</v>
      </c>
      <c r="AA27" s="216" t="n">
        <f aca="false">AA26/AF26</f>
        <v>1</v>
      </c>
    </row>
    <row r="28" customFormat="false" ht="13.8" hidden="false" customHeight="false" outlineLevel="0" collapsed="false">
      <c r="A28" s="191"/>
      <c r="B28" s="206"/>
      <c r="C28" s="206"/>
      <c r="D28" s="221" t="n">
        <f aca="false">D5+D12+D22</f>
        <v>1312045</v>
      </c>
      <c r="E28" s="207"/>
      <c r="F28" s="222"/>
      <c r="G28" s="208"/>
      <c r="H28" s="208"/>
      <c r="I28" s="204"/>
      <c r="J28" s="223"/>
      <c r="K28" s="224" t="n">
        <f aca="false">SUM(K23:K27)</f>
        <v>530412.8</v>
      </c>
      <c r="L28" s="225"/>
      <c r="M28" s="147" t="n">
        <f aca="false">K28/12</f>
        <v>44201.0666666667</v>
      </c>
      <c r="N28" s="226" t="s">
        <v>99</v>
      </c>
      <c r="O28" s="205"/>
      <c r="P28" s="0"/>
      <c r="S28" s="53" t="n">
        <v>25125</v>
      </c>
      <c r="T28" s="53" t="n">
        <v>9437.5</v>
      </c>
      <c r="U28" s="53" t="n">
        <v>9437.5</v>
      </c>
      <c r="V28" s="53" t="n">
        <v>18875</v>
      </c>
      <c r="X28" s="0" t="n">
        <v>50250</v>
      </c>
      <c r="Y28" s="0" t="n">
        <v>18875</v>
      </c>
      <c r="Z28" s="0" t="n">
        <v>18875</v>
      </c>
      <c r="AA28" s="0" t="n">
        <v>37750</v>
      </c>
      <c r="AC28" s="0" t="n">
        <v>75000</v>
      </c>
      <c r="AD28" s="0" t="n">
        <v>18875</v>
      </c>
      <c r="AE28" s="0" t="n">
        <v>18875</v>
      </c>
      <c r="AF28" s="0" t="n">
        <v>37750</v>
      </c>
    </row>
    <row r="29" customFormat="false" ht="13.8" hidden="false" customHeight="false" outlineLevel="0" collapsed="false">
      <c r="A29" s="191"/>
      <c r="B29" s="193"/>
      <c r="C29" s="193"/>
      <c r="D29" s="206" t="n">
        <f aca="false">D5+D12+D22</f>
        <v>1312045</v>
      </c>
      <c r="E29" s="193"/>
      <c r="F29" s="227"/>
      <c r="G29" s="227"/>
      <c r="H29" s="227"/>
      <c r="I29" s="228"/>
      <c r="J29" s="229"/>
      <c r="K29" s="230"/>
      <c r="L29" s="231"/>
      <c r="M29" s="232"/>
      <c r="N29" s="148"/>
      <c r="O29" s="149"/>
      <c r="P29" s="0"/>
      <c r="S29" s="216" t="n">
        <f aca="false">S28/X28</f>
        <v>0.5</v>
      </c>
      <c r="T29" s="216" t="n">
        <f aca="false">T28/Y28</f>
        <v>0.5</v>
      </c>
      <c r="U29" s="216" t="n">
        <f aca="false">U28/Z28</f>
        <v>0.5</v>
      </c>
      <c r="V29" s="53" t="n">
        <f aca="false">V28/AA28</f>
        <v>0.5</v>
      </c>
      <c r="X29" s="216" t="n">
        <f aca="false">X28/AC28</f>
        <v>0.67</v>
      </c>
      <c r="Y29" s="216" t="n">
        <f aca="false">Y28/AD28</f>
        <v>1</v>
      </c>
      <c r="Z29" s="216" t="n">
        <f aca="false">Z28/AE28</f>
        <v>1</v>
      </c>
      <c r="AA29" s="216" t="n">
        <f aca="false">AA28/AF28</f>
        <v>1</v>
      </c>
    </row>
    <row r="30" customFormat="false" ht="13.8" hidden="false" customHeight="false" outlineLevel="0" collapsed="false">
      <c r="B30" s="145"/>
      <c r="C30" s="145"/>
      <c r="D30" s="233" t="s">
        <v>100</v>
      </c>
      <c r="E30" s="155"/>
      <c r="F30" s="151"/>
      <c r="G30" s="156"/>
      <c r="H30" s="156"/>
      <c r="I30" s="178"/>
      <c r="J30" s="234"/>
      <c r="K30" s="183" t="n">
        <f aca="false">K11+K20</f>
        <v>976372.2</v>
      </c>
      <c r="L30" s="184"/>
      <c r="M30" s="153" t="n">
        <f aca="false">K30/12</f>
        <v>81364.35</v>
      </c>
      <c r="N30" s="148" t="s">
        <v>85</v>
      </c>
      <c r="O30" s="149"/>
      <c r="P30" s="0"/>
      <c r="S30" s="53" t="n">
        <v>1507.5</v>
      </c>
      <c r="T30" s="53" t="n">
        <v>650</v>
      </c>
      <c r="U30" s="53" t="n">
        <v>600</v>
      </c>
      <c r="V30" s="53" t="n">
        <v>1000</v>
      </c>
      <c r="X30" s="0" t="n">
        <v>3015</v>
      </c>
      <c r="Y30" s="0" t="n">
        <v>1300</v>
      </c>
      <c r="Z30" s="0" t="n">
        <v>1200</v>
      </c>
      <c r="AA30" s="0" t="n">
        <v>2000</v>
      </c>
      <c r="AC30" s="53" t="n">
        <v>4500</v>
      </c>
      <c r="AD30" s="53" t="n">
        <v>1300</v>
      </c>
      <c r="AE30" s="53" t="n">
        <v>1200</v>
      </c>
      <c r="AF30" s="53" t="n">
        <v>2000</v>
      </c>
    </row>
    <row r="31" customFormat="false" ht="13.8" hidden="false" customHeight="false" outlineLevel="0" collapsed="false">
      <c r="B31" s="145"/>
      <c r="C31" s="145"/>
      <c r="D31" s="233" t="s">
        <v>101</v>
      </c>
      <c r="E31" s="155"/>
      <c r="F31" s="151"/>
      <c r="G31" s="156"/>
      <c r="H31" s="156"/>
      <c r="I31" s="178"/>
      <c r="J31" s="234"/>
      <c r="K31" s="183" t="n">
        <f aca="false">K11+K20+K28</f>
        <v>1506785</v>
      </c>
      <c r="L31" s="184"/>
      <c r="M31" s="147" t="n">
        <f aca="false">K31/12</f>
        <v>125565.416666667</v>
      </c>
      <c r="N31" s="148" t="s">
        <v>85</v>
      </c>
      <c r="O31" s="149"/>
      <c r="P31" s="0"/>
      <c r="S31" s="216" t="n">
        <f aca="false">S30/X30</f>
        <v>0.5</v>
      </c>
      <c r="T31" s="216" t="n">
        <f aca="false">T30/Y30</f>
        <v>0.5</v>
      </c>
      <c r="U31" s="216" t="n">
        <f aca="false">U30/Z30</f>
        <v>0.5</v>
      </c>
      <c r="V31" s="53" t="n">
        <f aca="false">V30/AA30</f>
        <v>0.5</v>
      </c>
      <c r="X31" s="216" t="n">
        <f aca="false">X30/AC30</f>
        <v>0.67</v>
      </c>
      <c r="Y31" s="216" t="n">
        <f aca="false">Y30/AD30</f>
        <v>1</v>
      </c>
      <c r="Z31" s="216" t="n">
        <f aca="false">Z30/AE30</f>
        <v>1</v>
      </c>
      <c r="AA31" s="216" t="n">
        <f aca="false">AA30/AF30</f>
        <v>1</v>
      </c>
    </row>
    <row r="32" customFormat="false" ht="13.8" hidden="false" customHeight="false" outlineLevel="0" collapsed="false">
      <c r="B32" s="145"/>
      <c r="C32" s="145"/>
      <c r="D32" s="233"/>
      <c r="E32" s="155"/>
      <c r="F32" s="151"/>
      <c r="G32" s="156"/>
      <c r="H32" s="156"/>
      <c r="I32" s="178"/>
      <c r="J32" s="234"/>
      <c r="K32" s="235"/>
      <c r="L32" s="184"/>
      <c r="M32" s="157"/>
      <c r="N32" s="148"/>
      <c r="O32" s="149"/>
      <c r="P32" s="0"/>
      <c r="S32" s="53" t="n">
        <v>3350</v>
      </c>
      <c r="T32" s="53" t="n">
        <v>1250</v>
      </c>
      <c r="U32" s="53" t="n">
        <v>1250</v>
      </c>
      <c r="V32" s="53" t="n">
        <v>2500</v>
      </c>
      <c r="X32" s="0" t="n">
        <v>6700</v>
      </c>
      <c r="Y32" s="0" t="n">
        <v>2500</v>
      </c>
      <c r="Z32" s="0" t="n">
        <v>2500</v>
      </c>
      <c r="AA32" s="0" t="n">
        <v>5000</v>
      </c>
      <c r="AC32" s="0" t="n">
        <v>10000</v>
      </c>
      <c r="AD32" s="0" t="n">
        <v>2500</v>
      </c>
      <c r="AE32" s="0" t="n">
        <v>2500</v>
      </c>
      <c r="AF32" s="0" t="n">
        <v>5000</v>
      </c>
    </row>
    <row r="33" customFormat="false" ht="13.8" hidden="false" customHeight="false" outlineLevel="0" collapsed="false">
      <c r="B33" s="145"/>
      <c r="C33" s="145"/>
      <c r="D33" s="236"/>
      <c r="E33" s="237"/>
      <c r="F33" s="237"/>
      <c r="G33" s="146"/>
      <c r="H33" s="146"/>
      <c r="I33" s="237"/>
      <c r="J33" s="238"/>
      <c r="K33" s="239"/>
      <c r="L33" s="173"/>
      <c r="M33" s="147"/>
      <c r="N33" s="148"/>
      <c r="O33" s="149"/>
      <c r="P33" s="0"/>
      <c r="S33" s="216" t="n">
        <f aca="false">S32/X32</f>
        <v>0.5</v>
      </c>
      <c r="T33" s="216" t="n">
        <f aca="false">T32/Y32</f>
        <v>0.5</v>
      </c>
      <c r="U33" s="216" t="n">
        <f aca="false">U32/Z32</f>
        <v>0.5</v>
      </c>
      <c r="V33" s="53" t="n">
        <f aca="false">V32/AA32</f>
        <v>0.5</v>
      </c>
      <c r="X33" s="216" t="n">
        <f aca="false">X32/AC32</f>
        <v>0.67</v>
      </c>
      <c r="Y33" s="216" t="n">
        <f aca="false">Y32/AD32</f>
        <v>1</v>
      </c>
      <c r="Z33" s="216" t="n">
        <f aca="false">Z32/AE32</f>
        <v>1</v>
      </c>
      <c r="AA33" s="216" t="n">
        <f aca="false">AA32/AF32</f>
        <v>1</v>
      </c>
    </row>
    <row r="34" customFormat="false" ht="13.8" hidden="false" customHeight="false" outlineLevel="0" collapsed="false">
      <c r="B34" s="145"/>
      <c r="C34" s="145"/>
      <c r="D34" s="151"/>
      <c r="E34" s="152" t="s">
        <v>102</v>
      </c>
      <c r="F34" s="152"/>
      <c r="G34" s="152"/>
      <c r="H34" s="152"/>
      <c r="I34" s="152"/>
      <c r="J34" s="152"/>
      <c r="K34" s="152"/>
      <c r="L34" s="152"/>
      <c r="M34" s="153"/>
      <c r="N34" s="148"/>
      <c r="O34" s="149"/>
      <c r="P34" s="0"/>
      <c r="S34" s="53" t="n">
        <v>5025</v>
      </c>
      <c r="T34" s="53" t="n">
        <v>1875</v>
      </c>
      <c r="U34" s="53" t="n">
        <v>1875</v>
      </c>
      <c r="V34" s="53" t="n">
        <v>3750</v>
      </c>
      <c r="X34" s="0" t="n">
        <v>10050</v>
      </c>
      <c r="Y34" s="0" t="n">
        <v>3750</v>
      </c>
      <c r="Z34" s="0" t="n">
        <v>3750</v>
      </c>
      <c r="AA34" s="0" t="n">
        <v>7500</v>
      </c>
      <c r="AC34" s="0" t="n">
        <v>15000</v>
      </c>
      <c r="AD34" s="0" t="n">
        <v>3750</v>
      </c>
      <c r="AE34" s="0" t="n">
        <v>3750</v>
      </c>
      <c r="AF34" s="0" t="n">
        <v>7500</v>
      </c>
    </row>
    <row r="35" customFormat="false" ht="13.8" hidden="false" customHeight="false" outlineLevel="0" collapsed="false">
      <c r="B35" s="145"/>
      <c r="C35" s="145"/>
      <c r="D35" s="145" t="s">
        <v>103</v>
      </c>
      <c r="E35" s="145"/>
      <c r="F35" s="145"/>
      <c r="G35" s="145"/>
      <c r="H35" s="145"/>
      <c r="I35" s="145"/>
      <c r="J35" s="240"/>
      <c r="K35" s="147" t="n">
        <f aca="false">D28*0.1</f>
        <v>131204.5</v>
      </c>
      <c r="L35" s="173" t="n">
        <f aca="false">ROUND(K35/$K$30,2)</f>
        <v>0.13</v>
      </c>
      <c r="M35" s="147"/>
      <c r="N35" s="148"/>
      <c r="O35" s="149"/>
      <c r="P35" s="0"/>
      <c r="S35" s="216" t="n">
        <f aca="false">S34/X34</f>
        <v>0.5</v>
      </c>
      <c r="T35" s="216" t="n">
        <f aca="false">T34/Y34</f>
        <v>0.5</v>
      </c>
      <c r="U35" s="216" t="n">
        <f aca="false">U34/Z34</f>
        <v>0.5</v>
      </c>
      <c r="V35" s="53" t="n">
        <f aca="false">V34/AA34</f>
        <v>0.5</v>
      </c>
      <c r="X35" s="216" t="n">
        <f aca="false">X34/AC34</f>
        <v>0.67</v>
      </c>
      <c r="Y35" s="216" t="n">
        <f aca="false">Y34/AD34</f>
        <v>1</v>
      </c>
      <c r="Z35" s="216" t="n">
        <f aca="false">Z34/AE34</f>
        <v>1</v>
      </c>
      <c r="AA35" s="216" t="n">
        <f aca="false">AA34/AF34</f>
        <v>1</v>
      </c>
    </row>
    <row r="36" customFormat="false" ht="13.8" hidden="false" customHeight="false" outlineLevel="0" collapsed="false">
      <c r="B36" s="145"/>
      <c r="C36" s="145"/>
      <c r="D36" s="145" t="s">
        <v>104</v>
      </c>
      <c r="E36" s="145"/>
      <c r="F36" s="145"/>
      <c r="G36" s="145"/>
      <c r="H36" s="145"/>
      <c r="I36" s="145"/>
      <c r="J36" s="240"/>
      <c r="K36" s="147" t="n">
        <v>70000</v>
      </c>
      <c r="L36" s="173" t="n">
        <f aca="false">ROUND(K36/$K$30,2)</f>
        <v>0.07</v>
      </c>
      <c r="M36" s="147"/>
      <c r="N36" s="148"/>
      <c r="O36" s="149"/>
      <c r="P36" s="0"/>
      <c r="S36" s="53" t="n">
        <v>1256.25</v>
      </c>
      <c r="T36" s="53" t="n">
        <v>468.5</v>
      </c>
      <c r="U36" s="53" t="n">
        <v>468.5</v>
      </c>
      <c r="V36" s="53" t="n">
        <v>937.5</v>
      </c>
      <c r="X36" s="0" t="n">
        <v>2512.5</v>
      </c>
      <c r="Y36" s="0" t="n">
        <v>937</v>
      </c>
      <c r="Z36" s="0" t="n">
        <v>937</v>
      </c>
      <c r="AA36" s="0" t="n">
        <v>1875</v>
      </c>
      <c r="AC36" s="0" t="n">
        <v>3750</v>
      </c>
      <c r="AD36" s="0" t="n">
        <v>937</v>
      </c>
      <c r="AE36" s="0" t="n">
        <v>937</v>
      </c>
      <c r="AF36" s="0" t="n">
        <v>1875</v>
      </c>
    </row>
    <row r="37" customFormat="false" ht="13.8" hidden="false" customHeight="false" outlineLevel="0" collapsed="false">
      <c r="B37" s="145"/>
      <c r="C37" s="145"/>
      <c r="D37" s="145" t="s">
        <v>51</v>
      </c>
      <c r="E37" s="145"/>
      <c r="F37" s="145"/>
      <c r="G37" s="145"/>
      <c r="H37" s="145"/>
      <c r="I37" s="145"/>
      <c r="J37" s="240"/>
      <c r="K37" s="147" t="n">
        <v>10000</v>
      </c>
      <c r="L37" s="173" t="n">
        <f aca="false">ROUND(K37/$K$30,2)</f>
        <v>0.01</v>
      </c>
      <c r="M37" s="147"/>
      <c r="N37" s="148"/>
      <c r="O37" s="149"/>
      <c r="P37" s="0"/>
      <c r="S37" s="216" t="n">
        <f aca="false">S36/X36</f>
        <v>0.5</v>
      </c>
      <c r="T37" s="216" t="n">
        <f aca="false">T36/Y36</f>
        <v>0.5</v>
      </c>
      <c r="U37" s="216" t="n">
        <f aca="false">U36/Z36</f>
        <v>0.5</v>
      </c>
      <c r="V37" s="53" t="n">
        <f aca="false">V36/AA36</f>
        <v>0.5</v>
      </c>
      <c r="X37" s="216" t="n">
        <f aca="false">X36/AC36</f>
        <v>0.67</v>
      </c>
      <c r="Y37" s="216" t="n">
        <f aca="false">Y36/AD36</f>
        <v>1</v>
      </c>
      <c r="Z37" s="216" t="n">
        <f aca="false">Z36/AE36</f>
        <v>1</v>
      </c>
      <c r="AA37" s="216" t="n">
        <f aca="false">AA36/AF36</f>
        <v>1</v>
      </c>
      <c r="AC37" s="53"/>
      <c r="AD37" s="53"/>
      <c r="AE37" s="53"/>
      <c r="AF37" s="53"/>
    </row>
    <row r="38" customFormat="false" ht="13.8" hidden="false" customHeight="false" outlineLevel="0" collapsed="false">
      <c r="B38" s="145"/>
      <c r="C38" s="145"/>
      <c r="D38" s="145" t="s">
        <v>105</v>
      </c>
      <c r="E38" s="145"/>
      <c r="F38" s="145"/>
      <c r="G38" s="145"/>
      <c r="H38" s="145"/>
      <c r="I38" s="145"/>
      <c r="J38" s="240"/>
      <c r="K38" s="190" t="n">
        <f aca="false">SUM(K6:K7,K13:K16,K23:K24)*0.056</f>
        <v>66834.712</v>
      </c>
      <c r="L38" s="173" t="n">
        <f aca="false">ROUND(K38/$K$30,2)</f>
        <v>0.07</v>
      </c>
      <c r="M38" s="147"/>
      <c r="N38" s="148"/>
      <c r="O38" s="149"/>
      <c r="P38" s="0"/>
      <c r="S38" s="53" t="n">
        <v>13400</v>
      </c>
      <c r="T38" s="53" t="n">
        <v>5000</v>
      </c>
      <c r="U38" s="53" t="n">
        <v>5000</v>
      </c>
      <c r="V38" s="53" t="n">
        <v>10000</v>
      </c>
      <c r="X38" s="0" t="n">
        <v>26800</v>
      </c>
      <c r="Y38" s="0" t="n">
        <v>10000</v>
      </c>
      <c r="Z38" s="0" t="n">
        <v>10000</v>
      </c>
      <c r="AA38" s="0" t="n">
        <v>20000</v>
      </c>
      <c r="AC38" s="0" t="n">
        <v>40000</v>
      </c>
      <c r="AD38" s="0" t="n">
        <v>10000</v>
      </c>
      <c r="AE38" s="0" t="n">
        <v>10000</v>
      </c>
      <c r="AF38" s="0" t="n">
        <v>20000</v>
      </c>
    </row>
    <row r="39" customFormat="false" ht="13.8" hidden="false" customHeight="false" outlineLevel="0" collapsed="false">
      <c r="B39" s="145"/>
      <c r="C39" s="145"/>
      <c r="D39" s="145" t="s">
        <v>53</v>
      </c>
      <c r="E39" s="145"/>
      <c r="F39" s="145"/>
      <c r="G39" s="145"/>
      <c r="H39" s="145"/>
      <c r="I39" s="145"/>
      <c r="J39" s="240"/>
      <c r="K39" s="147" t="n">
        <v>12000</v>
      </c>
      <c r="L39" s="173" t="n">
        <f aca="false">ROUND(K39/$K$30,2)</f>
        <v>0.01</v>
      </c>
      <c r="M39" s="147"/>
      <c r="N39" s="241"/>
      <c r="O39" s="149"/>
      <c r="P39" s="0"/>
      <c r="S39" s="216" t="n">
        <f aca="false">S38/X38</f>
        <v>0.5</v>
      </c>
      <c r="T39" s="216" t="n">
        <f aca="false">T38/Y38</f>
        <v>0.5</v>
      </c>
      <c r="U39" s="216" t="n">
        <f aca="false">U38/Z38</f>
        <v>0.5</v>
      </c>
      <c r="V39" s="53" t="n">
        <f aca="false">V38/AA38</f>
        <v>0.5</v>
      </c>
      <c r="X39" s="216" t="n">
        <f aca="false">X38/AC38</f>
        <v>0.67</v>
      </c>
      <c r="Y39" s="216" t="n">
        <f aca="false">Y38/AD38</f>
        <v>1</v>
      </c>
      <c r="Z39" s="216" t="n">
        <f aca="false">Z38/AE38</f>
        <v>1</v>
      </c>
      <c r="AA39" s="216" t="n">
        <f aca="false">AA38/AF38</f>
        <v>1</v>
      </c>
    </row>
    <row r="40" customFormat="false" ht="13.8" hidden="false" customHeight="false" outlineLevel="0" collapsed="false">
      <c r="B40" s="145"/>
      <c r="C40" s="145"/>
      <c r="D40" s="145" t="s">
        <v>54</v>
      </c>
      <c r="E40" s="145"/>
      <c r="F40" s="145"/>
      <c r="G40" s="145"/>
      <c r="H40" s="145"/>
      <c r="I40" s="145"/>
      <c r="J40" s="240"/>
      <c r="K40" s="147" t="n">
        <v>28000</v>
      </c>
      <c r="L40" s="173" t="n">
        <f aca="false">ROUND(K40/$K$30,2)</f>
        <v>0.03</v>
      </c>
      <c r="M40" s="147"/>
      <c r="N40" s="148"/>
      <c r="O40" s="149"/>
      <c r="P40" s="0"/>
      <c r="S40" s="53" t="n">
        <v>760.03125</v>
      </c>
      <c r="T40" s="53" t="n">
        <v>385.6875</v>
      </c>
      <c r="U40" s="53" t="n">
        <v>144.247125</v>
      </c>
      <c r="V40" s="53" t="n">
        <v>1875</v>
      </c>
      <c r="X40" s="0" t="n">
        <v>1520.0625</v>
      </c>
      <c r="Y40" s="0" t="n">
        <v>771.375</v>
      </c>
      <c r="Z40" s="0" t="n">
        <v>288.49425</v>
      </c>
      <c r="AA40" s="0" t="n">
        <v>3750</v>
      </c>
      <c r="AC40" s="53" t="n">
        <v>2268.75</v>
      </c>
      <c r="AD40" s="53" t="n">
        <v>848.5125</v>
      </c>
      <c r="AE40" s="53" t="n">
        <v>317.343675</v>
      </c>
      <c r="AF40" s="53" t="n">
        <v>3750</v>
      </c>
    </row>
    <row r="41" customFormat="false" ht="13.8" hidden="false" customHeight="false" outlineLevel="0" collapsed="false">
      <c r="B41" s="145"/>
      <c r="C41" s="145"/>
      <c r="D41" s="145" t="s">
        <v>55</v>
      </c>
      <c r="E41" s="145"/>
      <c r="F41" s="145"/>
      <c r="G41" s="145"/>
      <c r="H41" s="145"/>
      <c r="I41" s="145"/>
      <c r="J41" s="240"/>
      <c r="K41" s="147" t="n">
        <v>5000</v>
      </c>
      <c r="L41" s="173" t="n">
        <f aca="false">ROUND(K41/$K$30,2)</f>
        <v>0.01</v>
      </c>
      <c r="M41" s="147"/>
      <c r="N41" s="148"/>
      <c r="O41" s="149"/>
      <c r="P41" s="0"/>
      <c r="S41" s="216" t="n">
        <f aca="false">S40/X40</f>
        <v>0.5</v>
      </c>
      <c r="T41" s="216" t="n">
        <f aca="false">T40/Y40</f>
        <v>0.5</v>
      </c>
      <c r="U41" s="216" t="n">
        <f aca="false">U40/Z40</f>
        <v>0.5</v>
      </c>
      <c r="V41" s="53" t="n">
        <f aca="false">V40/AA40</f>
        <v>0.5</v>
      </c>
      <c r="X41" s="216" t="n">
        <f aca="false">X40/AC40</f>
        <v>0.67</v>
      </c>
      <c r="Y41" s="216" t="n">
        <f aca="false">Y40/AD40</f>
        <v>0.909090909090909</v>
      </c>
      <c r="Z41" s="216" t="n">
        <f aca="false">Z40/AE40</f>
        <v>0.909090909090909</v>
      </c>
      <c r="AA41" s="216" t="n">
        <f aca="false">AA40/AF40</f>
        <v>1</v>
      </c>
    </row>
    <row r="42" customFormat="false" ht="13.8" hidden="false" customHeight="false" outlineLevel="0" collapsed="false">
      <c r="B42" s="145"/>
      <c r="C42" s="145"/>
      <c r="D42" s="145" t="s">
        <v>106</v>
      </c>
      <c r="E42" s="145"/>
      <c r="F42" s="145"/>
      <c r="G42" s="145"/>
      <c r="H42" s="145"/>
      <c r="I42" s="145"/>
      <c r="J42" s="240"/>
      <c r="K42" s="147" t="n">
        <v>50000</v>
      </c>
      <c r="L42" s="173" t="n">
        <f aca="false">ROUND(K42/$K$30,2)</f>
        <v>0.05</v>
      </c>
      <c r="M42" s="147"/>
      <c r="N42" s="148"/>
      <c r="O42" s="149"/>
      <c r="P42" s="0"/>
    </row>
    <row r="43" customFormat="false" ht="13.8" hidden="false" customHeight="false" outlineLevel="0" collapsed="false">
      <c r="B43" s="145"/>
      <c r="C43" s="145"/>
      <c r="D43" s="145" t="s">
        <v>57</v>
      </c>
      <c r="E43" s="145"/>
      <c r="F43" s="145"/>
      <c r="G43" s="145"/>
      <c r="H43" s="145"/>
      <c r="I43" s="145"/>
      <c r="J43" s="240"/>
      <c r="K43" s="147" t="n">
        <v>45000</v>
      </c>
      <c r="L43" s="173" t="n">
        <f aca="false">ROUND(K43/$K$30,2)</f>
        <v>0.05</v>
      </c>
      <c r="M43" s="147"/>
      <c r="N43" s="148"/>
      <c r="O43" s="149"/>
      <c r="P43" s="0"/>
    </row>
    <row r="44" customFormat="false" ht="13.8" hidden="false" customHeight="false" outlineLevel="0" collapsed="false">
      <c r="B44" s="145"/>
      <c r="C44" s="145"/>
      <c r="D44" s="151" t="s">
        <v>107</v>
      </c>
      <c r="E44" s="151"/>
      <c r="F44" s="151"/>
      <c r="G44" s="151"/>
      <c r="H44" s="151"/>
      <c r="I44" s="151"/>
      <c r="J44" s="242"/>
      <c r="K44" s="153" t="n">
        <v>30000</v>
      </c>
      <c r="L44" s="173" t="n">
        <f aca="false">ROUND(K44/$K$30,2)</f>
        <v>0.03</v>
      </c>
      <c r="M44" s="147"/>
      <c r="N44" s="148"/>
      <c r="O44" s="149"/>
      <c r="P44" s="0"/>
    </row>
    <row r="45" customFormat="false" ht="13.8" hidden="false" customHeight="false" outlineLevel="0" collapsed="false">
      <c r="B45" s="145"/>
      <c r="C45" s="145"/>
      <c r="D45" s="151" t="s">
        <v>108</v>
      </c>
      <c r="E45" s="151"/>
      <c r="F45" s="151"/>
      <c r="G45" s="151"/>
      <c r="H45" s="151"/>
      <c r="I45" s="151"/>
      <c r="J45" s="242"/>
      <c r="K45" s="243" t="n">
        <f aca="false">SUM(K35:K44)</f>
        <v>448039.212</v>
      </c>
      <c r="L45" s="184" t="n">
        <f aca="false">ROUND(K45/$K$30,2)</f>
        <v>0.46</v>
      </c>
      <c r="M45" s="157" t="n">
        <f aca="false">K45/154</f>
        <v>2909.34553246753</v>
      </c>
      <c r="N45" s="148"/>
      <c r="O45" s="149"/>
      <c r="P45" s="0"/>
    </row>
    <row r="46" customFormat="false" ht="13.8" hidden="false" customHeight="false" outlineLevel="0" collapsed="false">
      <c r="B46" s="145"/>
      <c r="C46" s="145"/>
      <c r="D46" s="145"/>
      <c r="E46" s="145"/>
      <c r="F46" s="145"/>
      <c r="G46" s="244"/>
      <c r="H46" s="244"/>
      <c r="I46" s="145"/>
      <c r="J46" s="240"/>
      <c r="K46" s="147"/>
      <c r="L46" s="173"/>
      <c r="M46" s="147"/>
      <c r="N46" s="148"/>
      <c r="O46" s="149"/>
      <c r="P46" s="0"/>
    </row>
    <row r="47" customFormat="false" ht="13.8" hidden="false" customHeight="false" outlineLevel="0" collapsed="false">
      <c r="B47" s="145"/>
      <c r="C47" s="145"/>
      <c r="D47" s="145"/>
      <c r="E47" s="145"/>
      <c r="F47" s="145"/>
      <c r="G47" s="244"/>
      <c r="H47" s="244"/>
      <c r="I47" s="145"/>
      <c r="J47" s="240"/>
      <c r="K47" s="147"/>
      <c r="L47" s="173"/>
      <c r="M47" s="147"/>
      <c r="N47" s="148"/>
      <c r="O47" s="149"/>
      <c r="P47" s="0"/>
    </row>
    <row r="48" customFormat="false" ht="13.8" hidden="false" customHeight="false" outlineLevel="0" collapsed="false">
      <c r="B48" s="145"/>
      <c r="C48" s="145"/>
      <c r="D48" s="158" t="s">
        <v>109</v>
      </c>
      <c r="E48" s="158"/>
      <c r="F48" s="158"/>
      <c r="G48" s="245"/>
      <c r="H48" s="245"/>
      <c r="I48" s="158"/>
      <c r="J48" s="242"/>
      <c r="K48" s="246" t="n">
        <f aca="false">K30-K45</f>
        <v>528332.988</v>
      </c>
      <c r="L48" s="247" t="n">
        <f aca="false">ROUND(K48/K30,2)</f>
        <v>0.54</v>
      </c>
      <c r="M48" s="153" t="n">
        <f aca="false">K48/154</f>
        <v>3430.73368831169</v>
      </c>
      <c r="N48" s="248" t="n">
        <f aca="false">K48/12</f>
        <v>44027.749</v>
      </c>
      <c r="O48" s="249" t="s">
        <v>110</v>
      </c>
      <c r="P48" s="0"/>
    </row>
    <row r="49" customFormat="false" ht="13.8" hidden="false" customHeight="false" outlineLevel="0" collapsed="false">
      <c r="B49" s="145"/>
      <c r="C49" s="145"/>
      <c r="D49" s="250"/>
      <c r="E49" s="251"/>
      <c r="F49" s="251"/>
      <c r="G49" s="252"/>
      <c r="H49" s="252"/>
      <c r="I49" s="237"/>
      <c r="J49" s="238"/>
      <c r="K49" s="253"/>
      <c r="L49" s="173"/>
      <c r="M49" s="147"/>
      <c r="N49" s="148"/>
      <c r="O49" s="149"/>
      <c r="P49" s="0"/>
    </row>
    <row r="50" customFormat="false" ht="13.8" hidden="false" customHeight="false" outlineLevel="0" collapsed="false">
      <c r="B50" s="145"/>
      <c r="C50" s="145"/>
      <c r="D50" s="145"/>
      <c r="E50" s="145"/>
      <c r="F50" s="145"/>
      <c r="G50" s="145"/>
      <c r="H50" s="145"/>
      <c r="I50" s="145"/>
      <c r="J50" s="240"/>
      <c r="K50" s="147"/>
      <c r="L50" s="173"/>
      <c r="M50" s="147"/>
      <c r="N50" s="148"/>
      <c r="O50" s="149"/>
      <c r="P50" s="0"/>
    </row>
    <row r="51" customFormat="false" ht="13.8" hidden="false" customHeight="false" outlineLevel="0" collapsed="false">
      <c r="B51" s="254"/>
      <c r="C51" s="254"/>
      <c r="D51" s="254" t="n">
        <v>6000000</v>
      </c>
      <c r="E51" s="254"/>
      <c r="F51" s="254"/>
      <c r="G51" s="254"/>
      <c r="H51" s="254"/>
      <c r="I51" s="254"/>
      <c r="J51" s="255"/>
      <c r="K51" s="149"/>
      <c r="L51" s="256"/>
      <c r="M51" s="149"/>
      <c r="N51" s="257"/>
      <c r="O51" s="149"/>
      <c r="P51" s="0"/>
    </row>
    <row r="52" customFormat="false" ht="13.8" hidden="false" customHeight="false" outlineLevel="0" collapsed="false">
      <c r="B52" s="254"/>
      <c r="C52" s="254"/>
      <c r="D52" s="254"/>
      <c r="E52" s="258" t="s">
        <v>71</v>
      </c>
      <c r="F52" s="258"/>
      <c r="G52" s="258"/>
      <c r="H52" s="258"/>
      <c r="I52" s="258"/>
      <c r="J52" s="258"/>
      <c r="K52" s="258"/>
      <c r="L52" s="258"/>
      <c r="M52" s="149"/>
      <c r="N52" s="0"/>
      <c r="O52" s="149"/>
      <c r="P52" s="0"/>
      <c r="T52" s="259"/>
      <c r="U52" s="259"/>
      <c r="V52" s="260"/>
      <c r="W52" s="261" t="s">
        <v>71</v>
      </c>
      <c r="X52" s="261"/>
      <c r="Y52" s="261"/>
      <c r="Z52" s="261"/>
      <c r="AA52" s="261"/>
      <c r="AB52" s="261"/>
      <c r="AC52" s="261"/>
      <c r="AD52" s="261"/>
      <c r="AE52" s="259"/>
    </row>
    <row r="53" customFormat="false" ht="13.8" hidden="false" customHeight="false" outlineLevel="0" collapsed="false">
      <c r="B53" s="254"/>
      <c r="C53" s="262" t="s">
        <v>111</v>
      </c>
      <c r="D53" s="263"/>
      <c r="F53" s="264"/>
      <c r="G53" s="264"/>
      <c r="H53" s="264"/>
      <c r="I53" s="264"/>
      <c r="J53" s="265"/>
      <c r="K53" s="266"/>
      <c r="L53" s="267"/>
      <c r="M53" s="268"/>
      <c r="N53" s="257"/>
      <c r="O53" s="149"/>
      <c r="P53" s="0"/>
      <c r="T53" s="259"/>
      <c r="U53" s="269" t="s">
        <v>111</v>
      </c>
      <c r="V53" s="270"/>
      <c r="W53" s="271"/>
      <c r="X53" s="272"/>
      <c r="Y53" s="272"/>
      <c r="Z53" s="272"/>
      <c r="AA53" s="272"/>
      <c r="AB53" s="272"/>
      <c r="AC53" s="272"/>
      <c r="AD53" s="273"/>
      <c r="AE53" s="259"/>
    </row>
    <row r="54" customFormat="false" ht="13.8" hidden="false" customHeight="false" outlineLevel="0" collapsed="false">
      <c r="B54" s="254"/>
      <c r="C54" s="274"/>
      <c r="D54" s="275"/>
      <c r="E54" s="276" t="str">
        <f aca="false">"Total "&amp;TEXT(F55+F62+F72,"###.#")&amp;" Sites in Final Build"</f>
        <v>Total 310 Sites in Final Build</v>
      </c>
      <c r="F54" s="276"/>
      <c r="G54" s="276"/>
      <c r="H54" s="276"/>
      <c r="I54" s="276"/>
      <c r="J54" s="276"/>
      <c r="K54" s="276"/>
      <c r="L54" s="276"/>
      <c r="M54" s="277"/>
      <c r="N54" s="257"/>
      <c r="O54" s="149"/>
      <c r="P54" s="0"/>
      <c r="T54" s="259"/>
      <c r="U54" s="278"/>
      <c r="V54" s="279"/>
      <c r="W54" s="280" t="str">
        <f aca="false">"Total "&amp;TEXT(X55+X62+X72,"###.#")&amp;" Sites in Final Build"</f>
        <v>Total 312 Sites in Final Build</v>
      </c>
      <c r="X54" s="280"/>
      <c r="Y54" s="280"/>
      <c r="Z54" s="280"/>
      <c r="AA54" s="280"/>
      <c r="AB54" s="280"/>
      <c r="AC54" s="280"/>
      <c r="AD54" s="280"/>
      <c r="AE54" s="281"/>
    </row>
    <row r="55" customFormat="false" ht="19.2" hidden="false" customHeight="true" outlineLevel="0" collapsed="false">
      <c r="B55" s="282" t="s">
        <v>112</v>
      </c>
      <c r="C55" s="283"/>
      <c r="D55" s="284" t="n">
        <f aca="false">K56+K57</f>
        <v>671581.75</v>
      </c>
      <c r="E55" s="285" t="s">
        <v>74</v>
      </c>
      <c r="F55" s="264" t="n">
        <f aca="false">SUM(F56:F60)</f>
        <v>122</v>
      </c>
      <c r="G55" s="286"/>
      <c r="H55" s="263"/>
      <c r="I55" s="287" t="s">
        <v>75</v>
      </c>
      <c r="J55" s="288" t="s">
        <v>113</v>
      </c>
      <c r="K55" s="289" t="s">
        <v>76</v>
      </c>
      <c r="L55" s="290" t="s">
        <v>77</v>
      </c>
      <c r="M55" s="291" t="s">
        <v>78</v>
      </c>
      <c r="N55" s="257"/>
      <c r="O55" s="0"/>
      <c r="P55" s="0"/>
      <c r="T55" s="292" t="s">
        <v>112</v>
      </c>
      <c r="U55" s="293"/>
      <c r="V55" s="294" t="n">
        <f aca="false">AC56+AC57</f>
        <v>606301.5</v>
      </c>
      <c r="W55" s="295" t="s">
        <v>74</v>
      </c>
      <c r="X55" s="272" t="n">
        <f aca="false">SUM(X56:X60)</f>
        <v>122</v>
      </c>
      <c r="Y55" s="296"/>
      <c r="Z55" s="297"/>
      <c r="AA55" s="298" t="s">
        <v>75</v>
      </c>
      <c r="AB55" s="299" t="s">
        <v>113</v>
      </c>
      <c r="AC55" s="296" t="s">
        <v>76</v>
      </c>
      <c r="AD55" s="300" t="s">
        <v>77</v>
      </c>
      <c r="AE55" s="301" t="s">
        <v>78</v>
      </c>
    </row>
    <row r="56" customFormat="false" ht="13.8" hidden="false" customHeight="false" outlineLevel="0" collapsed="false">
      <c r="B56" s="302"/>
      <c r="C56" s="302"/>
      <c r="D56" s="303" t="s">
        <v>79</v>
      </c>
      <c r="E56" s="254"/>
      <c r="F56" s="304" t="n">
        <v>63</v>
      </c>
      <c r="G56" s="305" t="n">
        <v>46</v>
      </c>
      <c r="H56" s="306" t="s">
        <v>80</v>
      </c>
      <c r="I56" s="307" t="n">
        <v>0.7</v>
      </c>
      <c r="J56" s="308" t="n">
        <f aca="false">365-(365*I56)</f>
        <v>109.5</v>
      </c>
      <c r="K56" s="309" t="n">
        <f aca="false">(F56*G56)*365*(1-I56)</f>
        <v>317331</v>
      </c>
      <c r="L56" s="256" t="n">
        <f aca="false">ROUND(K56/$K$79,2)</f>
        <v>0.17</v>
      </c>
      <c r="M56" s="149" t="n">
        <f aca="false">K56/F56</f>
        <v>5037</v>
      </c>
      <c r="N56" s="257" t="s">
        <v>114</v>
      </c>
      <c r="O56" s="53" t="n">
        <f aca="false">$K$56+$K$57+$K$63+$K$73+$K$74</f>
        <v>1343035.75</v>
      </c>
      <c r="P56" s="0"/>
      <c r="T56" s="310"/>
      <c r="U56" s="310"/>
      <c r="V56" s="311" t="s">
        <v>79</v>
      </c>
      <c r="W56" s="259"/>
      <c r="X56" s="312" t="n">
        <v>63</v>
      </c>
      <c r="Y56" s="313" t="n">
        <v>42</v>
      </c>
      <c r="Z56" s="314" t="s">
        <v>80</v>
      </c>
      <c r="AA56" s="315" t="n">
        <v>0.7</v>
      </c>
      <c r="AB56" s="312" t="n">
        <f aca="false">365-(365*AA56)</f>
        <v>109.5</v>
      </c>
      <c r="AC56" s="316" t="n">
        <f aca="false">(X56*Y56)*365*(1-AA56)</f>
        <v>289737</v>
      </c>
      <c r="AD56" s="317" t="n">
        <f aca="false">ROUND(AC56/$K$79,2)</f>
        <v>0.15</v>
      </c>
      <c r="AE56" s="259" t="n">
        <f aca="false">AC56/X56</f>
        <v>4599</v>
      </c>
    </row>
    <row r="57" customFormat="false" ht="13.8" hidden="false" customHeight="false" outlineLevel="0" collapsed="false">
      <c r="B57" s="254"/>
      <c r="C57" s="254"/>
      <c r="D57" s="303" t="s">
        <v>81</v>
      </c>
      <c r="E57" s="254"/>
      <c r="F57" s="304" t="n">
        <v>59</v>
      </c>
      <c r="G57" s="305" t="n">
        <v>47</v>
      </c>
      <c r="H57" s="306" t="s">
        <v>80</v>
      </c>
      <c r="I57" s="307" t="n">
        <v>0.65</v>
      </c>
      <c r="J57" s="308" t="n">
        <f aca="false">365-(365*I57)</f>
        <v>127.75</v>
      </c>
      <c r="K57" s="309" t="n">
        <f aca="false">(F57*G57)*365*(1-I57)</f>
        <v>354250.75</v>
      </c>
      <c r="L57" s="256" t="n">
        <f aca="false">ROUND(K57/$K$79,2)</f>
        <v>0.18</v>
      </c>
      <c r="M57" s="149" t="n">
        <f aca="false">K57/F57</f>
        <v>6004.25</v>
      </c>
      <c r="N57" s="257" t="s">
        <v>115</v>
      </c>
      <c r="O57" s="53" t="n">
        <f aca="false">$K$77</f>
        <v>76152</v>
      </c>
      <c r="P57" s="0"/>
      <c r="T57" s="259"/>
      <c r="U57" s="259"/>
      <c r="V57" s="311" t="s">
        <v>81</v>
      </c>
      <c r="W57" s="259"/>
      <c r="X57" s="312" t="n">
        <v>59</v>
      </c>
      <c r="Y57" s="313" t="n">
        <v>42</v>
      </c>
      <c r="Z57" s="314" t="s">
        <v>80</v>
      </c>
      <c r="AA57" s="315" t="n">
        <v>0.65</v>
      </c>
      <c r="AB57" s="312" t="n">
        <f aca="false">365-(365*AA57)</f>
        <v>127.75</v>
      </c>
      <c r="AC57" s="316" t="n">
        <f aca="false">(X57*Y57)*365*(1-AA57)</f>
        <v>316564.5</v>
      </c>
      <c r="AD57" s="317" t="n">
        <f aca="false">ROUND(AC57/$K$79,2)</f>
        <v>0.17</v>
      </c>
      <c r="AE57" s="259" t="n">
        <f aca="false">AC57/X57</f>
        <v>5365.5</v>
      </c>
    </row>
    <row r="58" customFormat="false" ht="13.8" hidden="false" customHeight="false" outlineLevel="0" collapsed="false">
      <c r="B58" s="302"/>
      <c r="C58" s="302"/>
      <c r="D58" s="254" t="s">
        <v>82</v>
      </c>
      <c r="E58" s="254"/>
      <c r="F58" s="304" t="n">
        <v>0</v>
      </c>
      <c r="G58" s="305" t="n">
        <v>120</v>
      </c>
      <c r="H58" s="306" t="s">
        <v>80</v>
      </c>
      <c r="I58" s="307" t="n">
        <v>0.85</v>
      </c>
      <c r="J58" s="308"/>
      <c r="K58" s="309" t="n">
        <f aca="false">(F58*G58)*365*(1-I58)</f>
        <v>0</v>
      </c>
      <c r="L58" s="256" t="n">
        <f aca="false">ROUND(K58/$K$30,2)</f>
        <v>0</v>
      </c>
      <c r="M58" s="149"/>
      <c r="N58" s="257" t="s">
        <v>82</v>
      </c>
      <c r="O58" s="53" t="n">
        <f aca="false">$K$66</f>
        <v>86724</v>
      </c>
      <c r="P58" s="0"/>
      <c r="T58" s="310"/>
      <c r="U58" s="310"/>
      <c r="V58" s="260" t="s">
        <v>82</v>
      </c>
      <c r="W58" s="259"/>
      <c r="X58" s="312" t="n">
        <v>0</v>
      </c>
      <c r="Y58" s="313" t="n">
        <v>120</v>
      </c>
      <c r="Z58" s="314" t="s">
        <v>80</v>
      </c>
      <c r="AA58" s="315" t="n">
        <v>0.85</v>
      </c>
      <c r="AB58" s="312"/>
      <c r="AC58" s="316" t="n">
        <f aca="false">(X58*Y58)*365*(1-AA58)</f>
        <v>0</v>
      </c>
      <c r="AD58" s="317" t="n">
        <f aca="false">ROUND(AC58/$K$30,2)</f>
        <v>0</v>
      </c>
      <c r="AE58" s="259"/>
    </row>
    <row r="59" customFormat="false" ht="13.8" hidden="false" customHeight="false" outlineLevel="0" collapsed="false">
      <c r="B59" s="302"/>
      <c r="C59" s="302"/>
      <c r="D59" s="254" t="s">
        <v>83</v>
      </c>
      <c r="E59" s="254"/>
      <c r="F59" s="304" t="n">
        <v>0</v>
      </c>
      <c r="G59" s="305" t="n">
        <v>69</v>
      </c>
      <c r="H59" s="306" t="s">
        <v>80</v>
      </c>
      <c r="I59" s="307" t="n">
        <v>0.8</v>
      </c>
      <c r="J59" s="308"/>
      <c r="K59" s="309" t="n">
        <f aca="false">(F59*G59)*365*(1-I59)</f>
        <v>0</v>
      </c>
      <c r="L59" s="256" t="n">
        <f aca="false">ROUND(K59/$K$30,2)</f>
        <v>0</v>
      </c>
      <c r="M59" s="149"/>
      <c r="N59" s="257" t="s">
        <v>87</v>
      </c>
      <c r="O59" s="53" t="n">
        <f aca="false">$K$65+$K$76</f>
        <v>193508.4</v>
      </c>
      <c r="P59" s="0"/>
      <c r="T59" s="310"/>
      <c r="U59" s="310"/>
      <c r="V59" s="260" t="s">
        <v>83</v>
      </c>
      <c r="W59" s="259"/>
      <c r="X59" s="312" t="n">
        <v>0</v>
      </c>
      <c r="Y59" s="313" t="n">
        <v>69</v>
      </c>
      <c r="Z59" s="314" t="s">
        <v>80</v>
      </c>
      <c r="AA59" s="315" t="n">
        <v>0.8</v>
      </c>
      <c r="AB59" s="312"/>
      <c r="AC59" s="316" t="n">
        <f aca="false">(X59*Y59)*365*(1-AA59)</f>
        <v>0</v>
      </c>
      <c r="AD59" s="317" t="n">
        <f aca="false">ROUND(AC59/$K$30,2)</f>
        <v>0</v>
      </c>
      <c r="AE59" s="259"/>
      <c r="AJ59" s="0" t="s">
        <v>116</v>
      </c>
      <c r="AK59" s="0" t="n">
        <v>37500</v>
      </c>
      <c r="AL59" s="0" t="n">
        <v>9375</v>
      </c>
      <c r="AM59" s="0" t="n">
        <v>9375</v>
      </c>
      <c r="AN59" s="0" t="n">
        <v>18750</v>
      </c>
      <c r="AO59" s="0" t="n">
        <f aca="false">SUM(AK59:AN59)</f>
        <v>75000</v>
      </c>
    </row>
    <row r="60" customFormat="false" ht="13.8" hidden="false" customHeight="false" outlineLevel="0" collapsed="false">
      <c r="B60" s="302"/>
      <c r="C60" s="302"/>
      <c r="D60" s="254" t="s">
        <v>84</v>
      </c>
      <c r="E60" s="254"/>
      <c r="F60" s="304" t="n">
        <v>0</v>
      </c>
      <c r="G60" s="305" t="n">
        <v>35</v>
      </c>
      <c r="H60" s="306" t="s">
        <v>80</v>
      </c>
      <c r="I60" s="307" t="n">
        <v>0.9</v>
      </c>
      <c r="J60" s="308"/>
      <c r="K60" s="309" t="n">
        <f aca="false">(F60*G60)*365*(1-I60)</f>
        <v>0</v>
      </c>
      <c r="L60" s="256" t="n">
        <f aca="false">ROUND(K60/$K$30,2)</f>
        <v>0</v>
      </c>
      <c r="M60" s="149"/>
      <c r="N60" s="257" t="s">
        <v>117</v>
      </c>
      <c r="O60" s="53" t="n">
        <f aca="false">$K$64</f>
        <v>12264</v>
      </c>
      <c r="P60" s="0"/>
      <c r="T60" s="310"/>
      <c r="U60" s="310"/>
      <c r="V60" s="260" t="s">
        <v>84</v>
      </c>
      <c r="W60" s="259"/>
      <c r="X60" s="312" t="n">
        <v>0</v>
      </c>
      <c r="Y60" s="313" t="n">
        <v>35</v>
      </c>
      <c r="Z60" s="314" t="s">
        <v>80</v>
      </c>
      <c r="AA60" s="315" t="n">
        <v>0.9</v>
      </c>
      <c r="AB60" s="312"/>
      <c r="AC60" s="316" t="n">
        <f aca="false">(X60*Y60)*365*(1-AA60)</f>
        <v>0</v>
      </c>
      <c r="AD60" s="317" t="n">
        <f aca="false">ROUND(AC60/$K$30,2)</f>
        <v>0</v>
      </c>
      <c r="AE60" s="259"/>
      <c r="AK60" s="0" t="n">
        <f aca="false">AK59*$AN$91</f>
        <v>52542</v>
      </c>
      <c r="AL60" s="0" t="n">
        <f aca="false">AL59*$AN$91</f>
        <v>13135.5</v>
      </c>
      <c r="AM60" s="0" t="n">
        <f aca="false">AM59*$AN$91</f>
        <v>13135.5</v>
      </c>
      <c r="AN60" s="0" t="n">
        <f aca="false">AN59*$AN$91</f>
        <v>26271</v>
      </c>
      <c r="AO60" s="104" t="n">
        <f aca="false">SUM(AK60:AN60)</f>
        <v>105084</v>
      </c>
    </row>
    <row r="61" customFormat="false" ht="13.8" hidden="false" customHeight="false" outlineLevel="0" collapsed="false">
      <c r="B61" s="302"/>
      <c r="C61" s="302"/>
      <c r="D61" s="254"/>
      <c r="E61" s="254"/>
      <c r="F61" s="304"/>
      <c r="G61" s="305"/>
      <c r="H61" s="306"/>
      <c r="I61" s="307"/>
      <c r="J61" s="308"/>
      <c r="K61" s="318" t="n">
        <f aca="false">SUM(K56:K60)</f>
        <v>671581.75</v>
      </c>
      <c r="L61" s="256"/>
      <c r="M61" s="149"/>
      <c r="N61" s="257" t="s">
        <v>118</v>
      </c>
      <c r="O61" s="53" t="n">
        <f aca="false">$K$75</f>
        <v>55890</v>
      </c>
      <c r="P61" s="0"/>
      <c r="T61" s="310"/>
      <c r="U61" s="310"/>
      <c r="V61" s="260"/>
      <c r="W61" s="259"/>
      <c r="X61" s="312"/>
      <c r="Y61" s="313"/>
      <c r="Z61" s="314"/>
      <c r="AA61" s="315"/>
      <c r="AB61" s="312"/>
      <c r="AC61" s="319" t="n">
        <f aca="false">SUM(AC56:AC60)</f>
        <v>606301.5</v>
      </c>
      <c r="AD61" s="317"/>
      <c r="AE61" s="259"/>
      <c r="AK61" s="216" t="n">
        <f aca="false">AK60/AK59</f>
        <v>1.40112</v>
      </c>
      <c r="AL61" s="216" t="n">
        <f aca="false">AL60/AL59</f>
        <v>1.40112</v>
      </c>
      <c r="AM61" s="216" t="n">
        <f aca="false">AM60/AM59</f>
        <v>1.40112</v>
      </c>
      <c r="AN61" s="216" t="n">
        <f aca="false">AN60/AN59</f>
        <v>1.40112</v>
      </c>
      <c r="AO61" s="216" t="n">
        <f aca="false">AO60/AO59</f>
        <v>1.40112</v>
      </c>
    </row>
    <row r="62" customFormat="false" ht="13.8" hidden="false" customHeight="false" outlineLevel="0" collapsed="false">
      <c r="B62" s="282" t="s">
        <v>119</v>
      </c>
      <c r="C62" s="254"/>
      <c r="D62" s="320" t="n">
        <f aca="false">K63+K64+K65+K66</f>
        <v>345436</v>
      </c>
      <c r="E62" s="321" t="s">
        <v>74</v>
      </c>
      <c r="F62" s="322" t="n">
        <f aca="false">SUM(F63:F66)</f>
        <v>52</v>
      </c>
      <c r="G62" s="323"/>
      <c r="H62" s="275"/>
      <c r="I62" s="324"/>
      <c r="J62" s="325"/>
      <c r="K62" s="326"/>
      <c r="L62" s="327"/>
      <c r="M62" s="277"/>
      <c r="N62" s="257" t="s">
        <v>89</v>
      </c>
      <c r="O62" s="53" t="n">
        <f aca="false">$K$67</f>
        <v>7500</v>
      </c>
      <c r="P62" s="0"/>
      <c r="T62" s="292" t="s">
        <v>119</v>
      </c>
      <c r="U62" s="259"/>
      <c r="V62" s="328" t="n">
        <f aca="false">AC63+AC64+AC65+AC66</f>
        <v>336876.75</v>
      </c>
      <c r="W62" s="329" t="s">
        <v>74</v>
      </c>
      <c r="X62" s="330" t="n">
        <f aca="false">SUM(X63:X66)</f>
        <v>52</v>
      </c>
      <c r="Y62" s="331"/>
      <c r="Z62" s="281"/>
      <c r="AA62" s="332"/>
      <c r="AB62" s="280"/>
      <c r="AC62" s="333"/>
      <c r="AD62" s="334"/>
      <c r="AE62" s="281"/>
      <c r="AJ62" s="0" t="s">
        <v>114</v>
      </c>
      <c r="AK62" s="53" t="n">
        <v>500000</v>
      </c>
      <c r="AL62" s="53" t="n">
        <v>142000</v>
      </c>
      <c r="AM62" s="53" t="n">
        <v>142000</v>
      </c>
      <c r="AN62" s="53" t="n">
        <v>250000</v>
      </c>
      <c r="AO62" s="0" t="n">
        <f aca="false">SUM(AK62:AN62)</f>
        <v>1034000</v>
      </c>
    </row>
    <row r="63" customFormat="false" ht="13.8" hidden="false" customHeight="false" outlineLevel="0" collapsed="false">
      <c r="B63" s="254"/>
      <c r="C63" s="254"/>
      <c r="D63" s="254" t="s">
        <v>79</v>
      </c>
      <c r="E63" s="254"/>
      <c r="F63" s="304" t="n">
        <v>29</v>
      </c>
      <c r="G63" s="305" t="n">
        <v>48</v>
      </c>
      <c r="H63" s="306" t="s">
        <v>80</v>
      </c>
      <c r="I63" s="307" t="n">
        <v>0.65</v>
      </c>
      <c r="J63" s="308" t="n">
        <f aca="false">365-(365*I63)</f>
        <v>127.75</v>
      </c>
      <c r="K63" s="309" t="n">
        <f aca="false">(F63*G63)*365*(1-I63)</f>
        <v>177828</v>
      </c>
      <c r="L63" s="256" t="n">
        <f aca="false">ROUND(K63/$K$79,2)</f>
        <v>0.09</v>
      </c>
      <c r="M63" s="149" t="n">
        <f aca="false">K63/F63</f>
        <v>6132</v>
      </c>
      <c r="N63" s="257" t="s">
        <v>120</v>
      </c>
      <c r="O63" s="53" t="n">
        <f aca="false">$K$68</f>
        <v>30000</v>
      </c>
      <c r="P63" s="0"/>
      <c r="T63" s="259"/>
      <c r="U63" s="259"/>
      <c r="V63" s="260" t="s">
        <v>79</v>
      </c>
      <c r="W63" s="259"/>
      <c r="X63" s="312" t="n">
        <v>29</v>
      </c>
      <c r="Y63" s="313" t="n">
        <v>46</v>
      </c>
      <c r="Z63" s="314" t="s">
        <v>80</v>
      </c>
      <c r="AA63" s="315" t="n">
        <v>0.65</v>
      </c>
      <c r="AB63" s="312" t="n">
        <f aca="false">365-(365*AA63)</f>
        <v>127.75</v>
      </c>
      <c r="AC63" s="316" t="n">
        <f aca="false">(X63*Y63)*365*(1-AA63)</f>
        <v>170418.5</v>
      </c>
      <c r="AD63" s="317" t="n">
        <f aca="false">ROUND(AC63/$K$79,2)</f>
        <v>0.09</v>
      </c>
      <c r="AE63" s="259" t="n">
        <f aca="false">AC63/X63</f>
        <v>5876.5</v>
      </c>
      <c r="AK63" s="0" t="n">
        <f aca="false">AK62*$AN$91</f>
        <v>700560</v>
      </c>
      <c r="AL63" s="0" t="n">
        <f aca="false">AL62*$AN$92</f>
        <v>81235.3874396135</v>
      </c>
      <c r="AM63" s="0" t="n">
        <f aca="false">AM62*$AN$92</f>
        <v>81235.3874396135</v>
      </c>
      <c r="AN63" s="0" t="n">
        <f aca="false">AN62*$AN$92</f>
        <v>143020.048309179</v>
      </c>
      <c r="AO63" s="104" t="n">
        <f aca="false">SUM(AK63:AN63)</f>
        <v>1006050.82318841</v>
      </c>
    </row>
    <row r="64" customFormat="false" ht="13.8" hidden="false" customHeight="false" outlineLevel="0" collapsed="false">
      <c r="B64" s="302"/>
      <c r="C64" s="302"/>
      <c r="D64" s="254" t="s">
        <v>84</v>
      </c>
      <c r="E64" s="254"/>
      <c r="F64" s="304" t="n">
        <v>7</v>
      </c>
      <c r="G64" s="305" t="n">
        <v>32</v>
      </c>
      <c r="H64" s="306" t="s">
        <v>80</v>
      </c>
      <c r="I64" s="307" t="n">
        <v>0.85</v>
      </c>
      <c r="J64" s="308" t="n">
        <f aca="false">365-(365*I64)</f>
        <v>54.75</v>
      </c>
      <c r="K64" s="309" t="n">
        <f aca="false">(F64*G64)*365*(1-I64)</f>
        <v>12264</v>
      </c>
      <c r="L64" s="256" t="n">
        <f aca="false">ROUND(K64/$K$79,2)</f>
        <v>0.01</v>
      </c>
      <c r="M64" s="149" t="n">
        <f aca="false">K64/F64</f>
        <v>1752</v>
      </c>
      <c r="N64" s="257" t="s">
        <v>121</v>
      </c>
      <c r="O64" s="53" t="n">
        <f aca="false">$K$69</f>
        <v>110000</v>
      </c>
      <c r="P64" s="0"/>
      <c r="T64" s="310"/>
      <c r="U64" s="310"/>
      <c r="V64" s="260" t="s">
        <v>84</v>
      </c>
      <c r="W64" s="259"/>
      <c r="X64" s="312" t="n">
        <v>7</v>
      </c>
      <c r="Y64" s="313" t="n">
        <v>29</v>
      </c>
      <c r="Z64" s="314" t="s">
        <v>80</v>
      </c>
      <c r="AA64" s="315" t="n">
        <v>0.85</v>
      </c>
      <c r="AB64" s="312" t="n">
        <f aca="false">365-(365*AA64)</f>
        <v>54.75</v>
      </c>
      <c r="AC64" s="316" t="n">
        <f aca="false">(X64*Y64)*365*(1-AA64)</f>
        <v>11114.25</v>
      </c>
      <c r="AD64" s="317" t="n">
        <f aca="false">ROUND(AC64/$K$79,2)</f>
        <v>0.01</v>
      </c>
      <c r="AE64" s="259" t="n">
        <f aca="false">AC64/X64</f>
        <v>1587.75</v>
      </c>
      <c r="AK64" s="216" t="n">
        <f aca="false">AK63/AK62</f>
        <v>1.40112</v>
      </c>
    </row>
    <row r="65" customFormat="false" ht="13.8" hidden="false" customHeight="false" outlineLevel="0" collapsed="false">
      <c r="B65" s="302"/>
      <c r="C65" s="302"/>
      <c r="D65" s="254" t="s">
        <v>87</v>
      </c>
      <c r="E65" s="254"/>
      <c r="F65" s="304" t="n">
        <v>8</v>
      </c>
      <c r="G65" s="305" t="n">
        <v>94</v>
      </c>
      <c r="H65" s="306" t="s">
        <v>80</v>
      </c>
      <c r="I65" s="307" t="n">
        <v>0.75</v>
      </c>
      <c r="J65" s="308" t="n">
        <f aca="false">365-(365*I65)</f>
        <v>91.25</v>
      </c>
      <c r="K65" s="309" t="n">
        <f aca="false">(F65*G65)*365*(1-I65)</f>
        <v>68620</v>
      </c>
      <c r="L65" s="256" t="n">
        <f aca="false">ROUND(K65/$K$79,2)</f>
        <v>0.04</v>
      </c>
      <c r="M65" s="149" t="n">
        <f aca="false">K65/F65</f>
        <v>8577.5</v>
      </c>
      <c r="N65" s="257"/>
      <c r="O65" s="0"/>
      <c r="P65" s="0"/>
      <c r="T65" s="310"/>
      <c r="U65" s="310"/>
      <c r="V65" s="260" t="s">
        <v>87</v>
      </c>
      <c r="W65" s="259"/>
      <c r="X65" s="312" t="n">
        <v>8</v>
      </c>
      <c r="Y65" s="313" t="n">
        <v>94</v>
      </c>
      <c r="Z65" s="314" t="s">
        <v>80</v>
      </c>
      <c r="AA65" s="315" t="n">
        <v>0.75</v>
      </c>
      <c r="AB65" s="312" t="n">
        <f aca="false">365-(365*AA65)</f>
        <v>91.25</v>
      </c>
      <c r="AC65" s="316" t="n">
        <f aca="false">(X65*Y65)*365*(1-AA65)</f>
        <v>68620</v>
      </c>
      <c r="AD65" s="317" t="n">
        <f aca="false">ROUND(AC65/$K$79,2)</f>
        <v>0.04</v>
      </c>
      <c r="AE65" s="259" t="n">
        <f aca="false">AC65/X65</f>
        <v>8577.5</v>
      </c>
      <c r="AJ65" s="0" t="s">
        <v>82</v>
      </c>
      <c r="AK65" s="0" t="n">
        <v>48000</v>
      </c>
      <c r="AL65" s="0" t="n">
        <v>12000</v>
      </c>
      <c r="AM65" s="0" t="n">
        <v>12000</v>
      </c>
      <c r="AN65" s="0" t="n">
        <v>24000</v>
      </c>
      <c r="AO65" s="0" t="n">
        <f aca="false">SUM(AK65:AN65)</f>
        <v>96000</v>
      </c>
    </row>
    <row r="66" customFormat="false" ht="13.8" hidden="false" customHeight="false" outlineLevel="0" collapsed="false">
      <c r="B66" s="302"/>
      <c r="C66" s="335"/>
      <c r="D66" s="254" t="s">
        <v>122</v>
      </c>
      <c r="E66" s="254"/>
      <c r="F66" s="304" t="n">
        <v>8</v>
      </c>
      <c r="G66" s="305" t="n">
        <v>99</v>
      </c>
      <c r="H66" s="306" t="s">
        <v>80</v>
      </c>
      <c r="I66" s="307" t="n">
        <v>0.7</v>
      </c>
      <c r="J66" s="308" t="n">
        <f aca="false">365-(365*I66)</f>
        <v>109.5</v>
      </c>
      <c r="K66" s="309" t="n">
        <f aca="false">(F66*G66)*365*(1-I66)</f>
        <v>86724</v>
      </c>
      <c r="L66" s="256" t="n">
        <f aca="false">ROUND(K66/$K$79,2)</f>
        <v>0.05</v>
      </c>
      <c r="M66" s="149" t="n">
        <f aca="false">K66/F66</f>
        <v>10840.5</v>
      </c>
      <c r="N66" s="257"/>
      <c r="O66" s="0"/>
      <c r="P66" s="0"/>
      <c r="T66" s="310"/>
      <c r="U66" s="310"/>
      <c r="V66" s="260" t="s">
        <v>122</v>
      </c>
      <c r="W66" s="259"/>
      <c r="X66" s="312" t="n">
        <v>8</v>
      </c>
      <c r="Y66" s="313" t="n">
        <v>99</v>
      </c>
      <c r="Z66" s="314" t="s">
        <v>80</v>
      </c>
      <c r="AA66" s="315" t="n">
        <v>0.7</v>
      </c>
      <c r="AB66" s="312" t="n">
        <f aca="false">365-(365*AA66)</f>
        <v>109.5</v>
      </c>
      <c r="AC66" s="316" t="n">
        <f aca="false">(X66*Y66)*365*(1-AA66)</f>
        <v>86724</v>
      </c>
      <c r="AD66" s="317" t="n">
        <f aca="false">ROUND(AC66/$K$79,2)</f>
        <v>0.05</v>
      </c>
      <c r="AE66" s="259" t="n">
        <f aca="false">AC66/X66</f>
        <v>10840.5</v>
      </c>
      <c r="AK66" s="0" t="n">
        <f aca="false">AK65*$AN$93</f>
        <v>32521.5</v>
      </c>
      <c r="AL66" s="0" t="n">
        <f aca="false">AL65*$AN$93</f>
        <v>8130.375</v>
      </c>
      <c r="AM66" s="0" t="n">
        <f aca="false">AM65*$AN$93</f>
        <v>8130.375</v>
      </c>
      <c r="AN66" s="0" t="n">
        <f aca="false">AN65*$AN$93</f>
        <v>16260.75</v>
      </c>
      <c r="AO66" s="104" t="n">
        <f aca="false">SUM(AK66:AN66)</f>
        <v>65043</v>
      </c>
    </row>
    <row r="67" customFormat="false" ht="13.8" hidden="false" customHeight="false" outlineLevel="0" collapsed="false">
      <c r="B67" s="302"/>
      <c r="C67" s="302"/>
      <c r="D67" s="254" t="s">
        <v>89</v>
      </c>
      <c r="E67" s="254"/>
      <c r="F67" s="304" t="n">
        <v>1</v>
      </c>
      <c r="G67" s="257"/>
      <c r="H67" s="304"/>
      <c r="I67" s="254"/>
      <c r="J67" s="308"/>
      <c r="K67" s="309" t="n">
        <v>7500</v>
      </c>
      <c r="L67" s="256" t="n">
        <f aca="false">ROUND(K67/$K$79,2)</f>
        <v>0</v>
      </c>
      <c r="M67" s="149"/>
      <c r="N67" s="257"/>
      <c r="O67" s="0"/>
      <c r="P67" s="0"/>
      <c r="T67" s="310"/>
      <c r="U67" s="310"/>
      <c r="V67" s="260" t="s">
        <v>89</v>
      </c>
      <c r="W67" s="259"/>
      <c r="X67" s="312" t="n">
        <v>1</v>
      </c>
      <c r="Y67" s="316"/>
      <c r="Z67" s="312"/>
      <c r="AA67" s="259"/>
      <c r="AB67" s="312"/>
      <c r="AC67" s="316" t="n">
        <v>7500</v>
      </c>
      <c r="AD67" s="317" t="n">
        <f aca="false">ROUND(AC67/$K$79,2)</f>
        <v>0</v>
      </c>
      <c r="AE67" s="259"/>
      <c r="AK67" s="216" t="n">
        <f aca="false">AK66/AK65</f>
        <v>0.67753125</v>
      </c>
    </row>
    <row r="68" customFormat="false" ht="13.8" hidden="false" customHeight="false" outlineLevel="0" collapsed="false">
      <c r="B68" s="302"/>
      <c r="C68" s="302"/>
      <c r="D68" s="254" t="s">
        <v>123</v>
      </c>
      <c r="E68" s="254"/>
      <c r="F68" s="304"/>
      <c r="G68" s="304"/>
      <c r="H68" s="304"/>
      <c r="I68" s="254"/>
      <c r="J68" s="308"/>
      <c r="K68" s="309" t="n">
        <v>30000</v>
      </c>
      <c r="L68" s="256" t="n">
        <f aca="false">ROUND(K68/$K$79,2)</f>
        <v>0.02</v>
      </c>
      <c r="M68" s="149"/>
      <c r="N68" s="257"/>
      <c r="O68" s="0"/>
      <c r="P68" s="0"/>
      <c r="T68" s="310"/>
      <c r="U68" s="310"/>
      <c r="V68" s="260" t="s">
        <v>123</v>
      </c>
      <c r="W68" s="259"/>
      <c r="X68" s="312"/>
      <c r="Y68" s="312"/>
      <c r="Z68" s="312"/>
      <c r="AA68" s="259"/>
      <c r="AB68" s="312"/>
      <c r="AC68" s="316" t="n">
        <v>30000</v>
      </c>
      <c r="AD68" s="317" t="n">
        <f aca="false">ROUND(AC68/$K$79,2)</f>
        <v>0.02</v>
      </c>
      <c r="AE68" s="259"/>
      <c r="AJ68" s="0" t="s">
        <v>87</v>
      </c>
      <c r="AK68" s="0" t="n">
        <v>75000</v>
      </c>
      <c r="AL68" s="0" t="n">
        <v>18875</v>
      </c>
      <c r="AM68" s="0" t="n">
        <v>18875</v>
      </c>
      <c r="AN68" s="0" t="n">
        <v>37750</v>
      </c>
      <c r="AO68" s="0" t="n">
        <f aca="false">SUM(AK68:AN68)</f>
        <v>150500</v>
      </c>
    </row>
    <row r="69" customFormat="false" ht="13.8" hidden="false" customHeight="false" outlineLevel="0" collapsed="false">
      <c r="B69" s="302"/>
      <c r="C69" s="302"/>
      <c r="D69" s="254" t="s">
        <v>91</v>
      </c>
      <c r="E69" s="254"/>
      <c r="F69" s="304"/>
      <c r="G69" s="304"/>
      <c r="H69" s="304"/>
      <c r="I69" s="254"/>
      <c r="J69" s="308"/>
      <c r="K69" s="309" t="n">
        <v>110000</v>
      </c>
      <c r="L69" s="256" t="n">
        <f aca="false">ROUND(K69/$K$79,2)</f>
        <v>0.06</v>
      </c>
      <c r="M69" s="149"/>
      <c r="N69" s="257"/>
      <c r="O69" s="0"/>
      <c r="P69" s="0"/>
      <c r="T69" s="310"/>
      <c r="U69" s="310"/>
      <c r="V69" s="260" t="s">
        <v>91</v>
      </c>
      <c r="W69" s="259"/>
      <c r="X69" s="312"/>
      <c r="Y69" s="312"/>
      <c r="Z69" s="312"/>
      <c r="AA69" s="259"/>
      <c r="AB69" s="312"/>
      <c r="AC69" s="316" t="n">
        <v>110000</v>
      </c>
      <c r="AD69" s="317" t="n">
        <f aca="false">ROUND(AC69/$K$79,2)</f>
        <v>0.06</v>
      </c>
      <c r="AE69" s="259"/>
      <c r="AK69" s="0" t="n">
        <f aca="false">AK68*$AN$94</f>
        <v>49891.3907284768</v>
      </c>
      <c r="AL69" s="0" t="n">
        <f aca="false">AL68*$AN$94</f>
        <v>12556</v>
      </c>
      <c r="AM69" s="0" t="n">
        <f aca="false">AM68*$AN$94</f>
        <v>12556</v>
      </c>
      <c r="AN69" s="0" t="n">
        <f aca="false">AN68*$AN$94</f>
        <v>25112</v>
      </c>
      <c r="AO69" s="104" t="n">
        <f aca="false">SUM(AK69:AN69)</f>
        <v>100115.390728477</v>
      </c>
    </row>
    <row r="70" customFormat="false" ht="13.8" hidden="false" customHeight="false" outlineLevel="0" collapsed="false">
      <c r="B70" s="302"/>
      <c r="C70" s="302"/>
      <c r="D70" s="254"/>
      <c r="F70" s="254"/>
      <c r="G70" s="254"/>
      <c r="H70" s="254"/>
      <c r="I70" s="254"/>
      <c r="J70" s="336" t="s">
        <v>93</v>
      </c>
      <c r="K70" s="0"/>
      <c r="L70" s="256"/>
      <c r="M70" s="149"/>
      <c r="N70" s="257"/>
      <c r="O70" s="0"/>
      <c r="P70" s="0"/>
      <c r="T70" s="310"/>
      <c r="U70" s="310"/>
      <c r="V70" s="260"/>
      <c r="W70" s="271"/>
      <c r="X70" s="259"/>
      <c r="Y70" s="259"/>
      <c r="Z70" s="259"/>
      <c r="AA70" s="259"/>
      <c r="AB70" s="337" t="s">
        <v>93</v>
      </c>
      <c r="AC70" s="271"/>
      <c r="AD70" s="317"/>
      <c r="AE70" s="259"/>
      <c r="AK70" s="216" t="n">
        <f aca="false">AK69/AK68</f>
        <v>0.665218543046358</v>
      </c>
    </row>
    <row r="71" customFormat="false" ht="13.8" hidden="false" customHeight="false" outlineLevel="0" collapsed="false">
      <c r="B71" s="254"/>
      <c r="C71" s="254"/>
      <c r="D71" s="254"/>
      <c r="E71" s="254"/>
      <c r="F71" s="254"/>
      <c r="G71" s="254"/>
      <c r="H71" s="254"/>
      <c r="I71" s="254"/>
      <c r="J71" s="255"/>
      <c r="K71" s="338" t="n">
        <f aca="false">SUM(K63:K69)</f>
        <v>492936</v>
      </c>
      <c r="L71" s="256"/>
      <c r="M71" s="149"/>
      <c r="N71" s="257"/>
      <c r="O71" s="0"/>
      <c r="P71" s="0"/>
      <c r="T71" s="259"/>
      <c r="U71" s="259"/>
      <c r="V71" s="260"/>
      <c r="W71" s="259"/>
      <c r="X71" s="259"/>
      <c r="Y71" s="259"/>
      <c r="Z71" s="259"/>
      <c r="AA71" s="259"/>
      <c r="AB71" s="259"/>
      <c r="AC71" s="339" t="n">
        <f aca="false">SUM(AC63:AC69)</f>
        <v>484376.75</v>
      </c>
      <c r="AD71" s="317"/>
      <c r="AE71" s="259"/>
      <c r="AJ71" s="0" t="s">
        <v>40</v>
      </c>
      <c r="AK71" s="0" t="n">
        <v>4500</v>
      </c>
      <c r="AL71" s="0" t="n">
        <v>1300</v>
      </c>
      <c r="AM71" s="0" t="n">
        <v>1200</v>
      </c>
      <c r="AN71" s="0" t="n">
        <v>2000</v>
      </c>
      <c r="AO71" s="0" t="n">
        <f aca="false">SUM(AK71:AN71)</f>
        <v>9000</v>
      </c>
    </row>
    <row r="72" customFormat="false" ht="13.8" hidden="false" customHeight="false" outlineLevel="0" collapsed="false">
      <c r="B72" s="340" t="s">
        <v>124</v>
      </c>
      <c r="C72" s="254"/>
      <c r="D72" s="320" t="n">
        <f aca="false">SUM(K73:K76)</f>
        <v>674404.4</v>
      </c>
      <c r="E72" s="321" t="s">
        <v>74</v>
      </c>
      <c r="F72" s="322" t="n">
        <f aca="false">SUM(F73:F77)</f>
        <v>136</v>
      </c>
      <c r="G72" s="341"/>
      <c r="H72" s="342"/>
      <c r="I72" s="324"/>
      <c r="J72" s="325"/>
      <c r="K72" s="343"/>
      <c r="L72" s="327"/>
      <c r="M72" s="344"/>
      <c r="N72" s="257"/>
      <c r="O72" s="149"/>
      <c r="P72" s="0"/>
      <c r="T72" s="345" t="s">
        <v>124</v>
      </c>
      <c r="U72" s="259"/>
      <c r="V72" s="328" t="n">
        <f aca="false">SUM(AC73:AC76)</f>
        <v>542403.85</v>
      </c>
      <c r="W72" s="329" t="s">
        <v>74</v>
      </c>
      <c r="X72" s="330" t="n">
        <f aca="false">SUM(X73:X77)</f>
        <v>138</v>
      </c>
      <c r="Y72" s="346"/>
      <c r="Z72" s="347"/>
      <c r="AA72" s="332"/>
      <c r="AB72" s="280"/>
      <c r="AC72" s="331"/>
      <c r="AD72" s="334"/>
      <c r="AE72" s="348"/>
      <c r="AK72" s="0" t="n">
        <f aca="false">AK71*$AN$95</f>
        <v>3066</v>
      </c>
      <c r="AL72" s="0" t="n">
        <f aca="false">AL71*$AN$95</f>
        <v>885.733333333333</v>
      </c>
      <c r="AM72" s="0" t="n">
        <f aca="false">AM71*$AN$95</f>
        <v>817.6</v>
      </c>
      <c r="AN72" s="0" t="n">
        <f aca="false">AN71*$AN$95</f>
        <v>1362.66666666667</v>
      </c>
      <c r="AO72" s="104" t="n">
        <f aca="false">SUM(AK72:AN72)</f>
        <v>6132</v>
      </c>
    </row>
    <row r="73" customFormat="false" ht="13.8" hidden="false" customHeight="false" outlineLevel="0" collapsed="false">
      <c r="B73" s="302"/>
      <c r="C73" s="302"/>
      <c r="D73" s="254" t="s">
        <v>79</v>
      </c>
      <c r="E73" s="254"/>
      <c r="F73" s="304" t="n">
        <v>39</v>
      </c>
      <c r="G73" s="305" t="n">
        <v>46</v>
      </c>
      <c r="H73" s="306" t="s">
        <v>80</v>
      </c>
      <c r="I73" s="307" t="n">
        <v>0.65</v>
      </c>
      <c r="J73" s="308" t="n">
        <f aca="false">365-(365*I73)</f>
        <v>127.75</v>
      </c>
      <c r="K73" s="309" t="n">
        <f aca="false">(F73*G73)*365*(1-I73)</f>
        <v>229183.5</v>
      </c>
      <c r="L73" s="349" t="n">
        <f aca="false">ROUND(K73/$K$79,2)</f>
        <v>0.12</v>
      </c>
      <c r="M73" s="149" t="n">
        <f aca="false">K73/F73</f>
        <v>5876.5</v>
      </c>
      <c r="N73" s="257"/>
      <c r="O73" s="149"/>
      <c r="P73" s="0"/>
      <c r="T73" s="310"/>
      <c r="U73" s="310"/>
      <c r="V73" s="260" t="s">
        <v>79</v>
      </c>
      <c r="W73" s="259"/>
      <c r="X73" s="312" t="n">
        <v>29</v>
      </c>
      <c r="Y73" s="313" t="n">
        <v>39</v>
      </c>
      <c r="Z73" s="314" t="s">
        <v>80</v>
      </c>
      <c r="AA73" s="315" t="n">
        <v>0.65</v>
      </c>
      <c r="AB73" s="312" t="n">
        <f aca="false">365-(365*AA73)</f>
        <v>127.75</v>
      </c>
      <c r="AC73" s="316" t="n">
        <f aca="false">(X73*Y73)*365*(1-AA73)</f>
        <v>144485.25</v>
      </c>
      <c r="AD73" s="350" t="n">
        <f aca="false">ROUND(AC73/$K$79,2)</f>
        <v>0.08</v>
      </c>
      <c r="AE73" s="259" t="n">
        <f aca="false">AC73/X73</f>
        <v>4982.25</v>
      </c>
      <c r="AK73" s="216" t="n">
        <f aca="false">AK72/AK71</f>
        <v>0.681333333333333</v>
      </c>
    </row>
    <row r="74" customFormat="false" ht="13.8" hidden="false" customHeight="false" outlineLevel="0" collapsed="false">
      <c r="B74" s="302"/>
      <c r="C74" s="302"/>
      <c r="D74" s="1" t="s">
        <v>96</v>
      </c>
      <c r="E74" s="1"/>
      <c r="F74" s="304" t="n">
        <v>45</v>
      </c>
      <c r="G74" s="305" t="n">
        <v>46</v>
      </c>
      <c r="H74" s="306" t="s">
        <v>80</v>
      </c>
      <c r="I74" s="307" t="n">
        <v>0.65</v>
      </c>
      <c r="J74" s="308" t="n">
        <f aca="false">365-(365*I74)</f>
        <v>127.75</v>
      </c>
      <c r="K74" s="309" t="n">
        <f aca="false">(F74*G74)*365*(1-I74)</f>
        <v>264442.5</v>
      </c>
      <c r="L74" s="349" t="n">
        <f aca="false">ROUND(K74/$K$79,2)</f>
        <v>0.14</v>
      </c>
      <c r="M74" s="149" t="n">
        <f aca="false">K74/F74</f>
        <v>5876.5</v>
      </c>
      <c r="N74" s="257"/>
      <c r="O74" s="149"/>
      <c r="P74" s="0"/>
      <c r="T74" s="310"/>
      <c r="U74" s="310"/>
      <c r="V74" s="351" t="s">
        <v>96</v>
      </c>
      <c r="W74" s="259"/>
      <c r="X74" s="312" t="n">
        <v>38</v>
      </c>
      <c r="Y74" s="313" t="n">
        <v>42</v>
      </c>
      <c r="Z74" s="314" t="s">
        <v>80</v>
      </c>
      <c r="AA74" s="315" t="n">
        <v>0.65</v>
      </c>
      <c r="AB74" s="312" t="n">
        <f aca="false">365-(365*AA74)</f>
        <v>127.75</v>
      </c>
      <c r="AC74" s="316" t="n">
        <f aca="false">(X74*Y74)*365*(1-AA74)</f>
        <v>203889</v>
      </c>
      <c r="AD74" s="350" t="n">
        <f aca="false">ROUND(AC74/$K$79,2)</f>
        <v>0.11</v>
      </c>
      <c r="AE74" s="259" t="n">
        <f aca="false">AC74/X74</f>
        <v>5365.5</v>
      </c>
      <c r="AJ74" s="0" t="s">
        <v>125</v>
      </c>
      <c r="AK74" s="53" t="n">
        <v>10000</v>
      </c>
      <c r="AL74" s="53" t="n">
        <v>2500</v>
      </c>
      <c r="AM74" s="53" t="n">
        <v>2500</v>
      </c>
      <c r="AN74" s="53" t="n">
        <v>5000</v>
      </c>
      <c r="AO74" s="0" t="n">
        <f aca="false">SUM(AK74:AN74)</f>
        <v>20000</v>
      </c>
    </row>
    <row r="75" customFormat="false" ht="13.8" hidden="false" customHeight="false" outlineLevel="0" collapsed="false">
      <c r="B75" s="302"/>
      <c r="C75" s="335"/>
      <c r="D75" s="254" t="s">
        <v>126</v>
      </c>
      <c r="E75" s="254"/>
      <c r="F75" s="304" t="n">
        <v>18</v>
      </c>
      <c r="G75" s="305" t="n">
        <v>575</v>
      </c>
      <c r="H75" s="306" t="s">
        <v>85</v>
      </c>
      <c r="I75" s="307" t="n">
        <v>0.55</v>
      </c>
      <c r="J75" s="308" t="n">
        <f aca="false">365-(365*I75)</f>
        <v>164.25</v>
      </c>
      <c r="K75" s="309" t="n">
        <f aca="false">(F75*G75)*12*(1-I75)</f>
        <v>55890</v>
      </c>
      <c r="L75" s="349" t="n">
        <f aca="false">ROUND(K75/$K$79,2)</f>
        <v>0.03</v>
      </c>
      <c r="M75" s="149" t="n">
        <f aca="false">K75/F75</f>
        <v>3105</v>
      </c>
      <c r="N75" s="257"/>
      <c r="O75" s="149"/>
      <c r="P75" s="0"/>
      <c r="T75" s="310"/>
      <c r="U75" s="310"/>
      <c r="V75" s="260" t="s">
        <v>126</v>
      </c>
      <c r="W75" s="259"/>
      <c r="X75" s="312" t="n">
        <v>20</v>
      </c>
      <c r="Y75" s="313" t="n">
        <v>475</v>
      </c>
      <c r="Z75" s="314" t="s">
        <v>85</v>
      </c>
      <c r="AA75" s="315" t="n">
        <v>0.55</v>
      </c>
      <c r="AB75" s="312" t="n">
        <f aca="false">365-(365*AA75)</f>
        <v>164.25</v>
      </c>
      <c r="AC75" s="316" t="n">
        <f aca="false">(X75*Y75)*12*(1-AA75)</f>
        <v>51300</v>
      </c>
      <c r="AD75" s="350" t="n">
        <f aca="false">ROUND(AC75/$K$79,2)</f>
        <v>0.03</v>
      </c>
      <c r="AE75" s="259" t="n">
        <f aca="false">AC75/X75</f>
        <v>2565</v>
      </c>
      <c r="AK75" s="0" t="n">
        <f aca="false">AK74*$AN$97</f>
        <v>10000</v>
      </c>
      <c r="AL75" s="0" t="n">
        <f aca="false">AL74*$AN$97</f>
        <v>2500</v>
      </c>
      <c r="AM75" s="0" t="n">
        <f aca="false">AM74*$AN$97</f>
        <v>2500</v>
      </c>
      <c r="AN75" s="0" t="n">
        <f aca="false">AN74*$AN$97</f>
        <v>5000</v>
      </c>
      <c r="AO75" s="104" t="n">
        <f aca="false">SUM(AK75:AN75)</f>
        <v>20000</v>
      </c>
    </row>
    <row r="76" customFormat="false" ht="13.8" hidden="false" customHeight="false" outlineLevel="0" collapsed="false">
      <c r="B76" s="302"/>
      <c r="C76" s="302"/>
      <c r="D76" s="1" t="s">
        <v>87</v>
      </c>
      <c r="E76" s="1"/>
      <c r="F76" s="352" t="n">
        <v>14</v>
      </c>
      <c r="G76" s="1" t="n">
        <v>94</v>
      </c>
      <c r="H76" s="1" t="s">
        <v>80</v>
      </c>
      <c r="I76" s="307" t="n">
        <v>0.74</v>
      </c>
      <c r="J76" s="308" t="n">
        <f aca="false">365-(365*I76)</f>
        <v>94.9</v>
      </c>
      <c r="K76" s="353" t="n">
        <f aca="false">(F76*G76)*365*(1-I76)</f>
        <v>124888.4</v>
      </c>
      <c r="L76" s="349" t="n">
        <f aca="false">ROUND(K76/$K$79,2)</f>
        <v>0.07</v>
      </c>
      <c r="M76" s="149" t="n">
        <f aca="false">K76/F76</f>
        <v>8920.6</v>
      </c>
      <c r="N76" s="257"/>
      <c r="O76" s="149"/>
      <c r="P76" s="0"/>
      <c r="T76" s="310"/>
      <c r="U76" s="310"/>
      <c r="V76" s="351" t="s">
        <v>87</v>
      </c>
      <c r="W76" s="259"/>
      <c r="X76" s="312" t="n">
        <v>16</v>
      </c>
      <c r="Y76" s="259" t="n">
        <v>94</v>
      </c>
      <c r="Z76" s="259" t="s">
        <v>80</v>
      </c>
      <c r="AA76" s="315" t="n">
        <v>0.74</v>
      </c>
      <c r="AB76" s="312" t="n">
        <f aca="false">365-(365*AA76)</f>
        <v>94.9</v>
      </c>
      <c r="AC76" s="354" t="n">
        <f aca="false">(X76*Y76)*365*(1-AA76)</f>
        <v>142729.6</v>
      </c>
      <c r="AD76" s="350" t="n">
        <f aca="false">ROUND(AC76/$K$79,2)</f>
        <v>0.07</v>
      </c>
      <c r="AE76" s="259" t="n">
        <f aca="false">AC76/X76</f>
        <v>8920.6</v>
      </c>
      <c r="AK76" s="216" t="n">
        <f aca="false">AK75/AK74</f>
        <v>1</v>
      </c>
    </row>
    <row r="77" customFormat="false" ht="13.8" hidden="false" customHeight="false" outlineLevel="0" collapsed="false">
      <c r="B77" s="302"/>
      <c r="C77" s="335"/>
      <c r="D77" s="254" t="s">
        <v>127</v>
      </c>
      <c r="E77" s="254"/>
      <c r="F77" s="304" t="n">
        <v>20</v>
      </c>
      <c r="G77" s="305" t="n">
        <v>334</v>
      </c>
      <c r="H77" s="306" t="s">
        <v>85</v>
      </c>
      <c r="I77" s="307" t="n">
        <v>0.05</v>
      </c>
      <c r="J77" s="308" t="n">
        <f aca="false">365-(365*I77)</f>
        <v>346.75</v>
      </c>
      <c r="K77" s="289" t="n">
        <f aca="false">(F77*G77)*12*(1-I77)</f>
        <v>76152</v>
      </c>
      <c r="L77" s="349" t="n">
        <f aca="false">ROUND(K77/$K$79,2)</f>
        <v>0.04</v>
      </c>
      <c r="M77" s="149" t="n">
        <f aca="false">K77/F77</f>
        <v>3807.6</v>
      </c>
      <c r="N77" s="257"/>
      <c r="O77" s="149"/>
      <c r="P77" s="0"/>
      <c r="T77" s="310"/>
      <c r="U77" s="310"/>
      <c r="V77" s="260" t="s">
        <v>127</v>
      </c>
      <c r="W77" s="259"/>
      <c r="X77" s="312" t="n">
        <v>35</v>
      </c>
      <c r="Y77" s="313" t="n">
        <v>230</v>
      </c>
      <c r="Z77" s="314" t="s">
        <v>85</v>
      </c>
      <c r="AA77" s="315" t="n">
        <v>0.05</v>
      </c>
      <c r="AB77" s="312" t="n">
        <f aca="false">365-(365*AA77)</f>
        <v>346.75</v>
      </c>
      <c r="AC77" s="296" t="n">
        <f aca="false">(X77*Y77)*12*(1-AA77)</f>
        <v>91770</v>
      </c>
      <c r="AD77" s="350" t="n">
        <f aca="false">ROUND(AC77/$K$79,2)</f>
        <v>0.05</v>
      </c>
      <c r="AE77" s="259" t="n">
        <f aca="false">AC77/X77</f>
        <v>2622</v>
      </c>
      <c r="AJ77" s="0" t="s">
        <v>128</v>
      </c>
      <c r="AK77" s="0" t="n">
        <v>15000</v>
      </c>
      <c r="AL77" s="0" t="n">
        <v>3750</v>
      </c>
      <c r="AM77" s="0" t="n">
        <v>3750</v>
      </c>
      <c r="AN77" s="0" t="n">
        <v>7500</v>
      </c>
      <c r="AO77" s="0" t="n">
        <f aca="false">SUM(AK77:AN77)</f>
        <v>30000</v>
      </c>
    </row>
    <row r="78" customFormat="false" ht="13.8" hidden="false" customHeight="false" outlineLevel="0" collapsed="false">
      <c r="B78" s="355"/>
      <c r="C78" s="355"/>
      <c r="D78" s="356" t="n">
        <f aca="false">D55+D62+D72</f>
        <v>1691422.15</v>
      </c>
      <c r="E78" s="355"/>
      <c r="F78" s="357"/>
      <c r="G78" s="358"/>
      <c r="H78" s="358"/>
      <c r="I78" s="359"/>
      <c r="J78" s="360"/>
      <c r="K78" s="361" t="n">
        <f aca="false">SUM(K73:K77)</f>
        <v>750556.4</v>
      </c>
      <c r="L78" s="362"/>
      <c r="M78" s="363"/>
      <c r="N78" s="257"/>
      <c r="O78" s="149"/>
      <c r="P78" s="0"/>
      <c r="T78" s="364"/>
      <c r="U78" s="364"/>
      <c r="V78" s="365" t="n">
        <f aca="false">V55+V62+V72</f>
        <v>1485582.1</v>
      </c>
      <c r="W78" s="364"/>
      <c r="X78" s="366"/>
      <c r="Y78" s="367"/>
      <c r="Z78" s="367"/>
      <c r="AA78" s="368"/>
      <c r="AB78" s="366"/>
      <c r="AC78" s="369" t="n">
        <f aca="false">SUM(AC73:AC77)</f>
        <v>634173.85</v>
      </c>
      <c r="AD78" s="370"/>
      <c r="AE78" s="364"/>
      <c r="AK78" s="0" t="n">
        <f aca="false">AK77*$AN$96</f>
        <v>9000</v>
      </c>
      <c r="AL78" s="0" t="n">
        <f aca="false">AL77*$AN$96</f>
        <v>2250</v>
      </c>
      <c r="AM78" s="0" t="n">
        <f aca="false">AM77*$AN$96</f>
        <v>2250</v>
      </c>
      <c r="AN78" s="0" t="n">
        <f aca="false">AN77*$AN$96</f>
        <v>4500</v>
      </c>
      <c r="AO78" s="104" t="n">
        <f aca="false">SUM(AK78:AN78)</f>
        <v>18000</v>
      </c>
    </row>
    <row r="79" customFormat="false" ht="13.8" hidden="false" customHeight="false" outlineLevel="0" collapsed="false">
      <c r="B79" s="254"/>
      <c r="C79" s="254"/>
      <c r="D79" s="371" t="s">
        <v>129</v>
      </c>
      <c r="E79" s="275"/>
      <c r="F79" s="263"/>
      <c r="G79" s="276"/>
      <c r="H79" s="276"/>
      <c r="I79" s="321"/>
      <c r="J79" s="372"/>
      <c r="K79" s="373" t="n">
        <f aca="false">K61+K71+K78</f>
        <v>1915074.15</v>
      </c>
      <c r="L79" s="362" t="n">
        <f aca="false">ROUND(K79/$K$79,2)</f>
        <v>1</v>
      </c>
      <c r="M79" s="277" t="n">
        <f aca="false">SUM(M56:M77)</f>
        <v>65929.45</v>
      </c>
      <c r="N79" s="257"/>
      <c r="O79" s="149"/>
      <c r="P79" s="0"/>
      <c r="T79" s="259"/>
      <c r="U79" s="259"/>
      <c r="V79" s="374" t="s">
        <v>129</v>
      </c>
      <c r="W79" s="281"/>
      <c r="X79" s="297"/>
      <c r="Y79" s="280"/>
      <c r="Z79" s="280"/>
      <c r="AA79" s="329"/>
      <c r="AB79" s="281"/>
      <c r="AC79" s="375" t="n">
        <f aca="false">AC61+AC71+AC78</f>
        <v>1724852.1</v>
      </c>
      <c r="AD79" s="370" t="n">
        <f aca="false">ROUND(AC79/$K$79,2)</f>
        <v>0.9</v>
      </c>
      <c r="AE79" s="281" t="n">
        <f aca="false">SUM(AE56:AE77)</f>
        <v>61302.1</v>
      </c>
      <c r="AK79" s="216" t="n">
        <f aca="false">AK78/AK77</f>
        <v>0.6</v>
      </c>
    </row>
    <row r="80" customFormat="false" ht="13.8" hidden="false" customHeight="false" outlineLevel="0" collapsed="false">
      <c r="B80" s="254"/>
      <c r="C80" s="254"/>
      <c r="D80" s="376"/>
      <c r="E80" s="377"/>
      <c r="F80" s="377"/>
      <c r="G80" s="378"/>
      <c r="H80" s="378"/>
      <c r="I80" s="379"/>
      <c r="J80" s="380"/>
      <c r="K80" s="381"/>
      <c r="L80" s="382"/>
      <c r="M80" s="383"/>
      <c r="N80" s="257"/>
      <c r="O80" s="149"/>
      <c r="P80" s="0"/>
      <c r="T80" s="259"/>
      <c r="U80" s="259"/>
      <c r="V80" s="384"/>
      <c r="W80" s="385"/>
      <c r="X80" s="385"/>
      <c r="Y80" s="261"/>
      <c r="Z80" s="261"/>
      <c r="AA80" s="386"/>
      <c r="AB80" s="385"/>
      <c r="AC80" s="261"/>
      <c r="AD80" s="350"/>
      <c r="AE80" s="385"/>
      <c r="AJ80" s="0" t="s">
        <v>130</v>
      </c>
      <c r="AK80" s="53" t="n">
        <v>3750</v>
      </c>
      <c r="AL80" s="53" t="n">
        <v>937</v>
      </c>
      <c r="AM80" s="53" t="n">
        <v>937</v>
      </c>
      <c r="AN80" s="53" t="n">
        <v>1875</v>
      </c>
      <c r="AO80" s="104" t="n">
        <f aca="false">SUM(AK80:AN80)</f>
        <v>7499</v>
      </c>
    </row>
    <row r="81" customFormat="false" ht="13.8" hidden="false" customHeight="false" outlineLevel="0" collapsed="false">
      <c r="B81" s="254"/>
      <c r="C81" s="254"/>
      <c r="D81" s="387"/>
      <c r="E81" s="388"/>
      <c r="F81" s="388"/>
      <c r="G81" s="258"/>
      <c r="H81" s="258"/>
      <c r="I81" s="388"/>
      <c r="J81" s="389"/>
      <c r="K81" s="390"/>
      <c r="L81" s="256"/>
      <c r="M81" s="149"/>
      <c r="N81" s="257"/>
      <c r="O81" s="149"/>
      <c r="P81" s="0"/>
      <c r="T81" s="259"/>
      <c r="U81" s="259"/>
      <c r="V81" s="391"/>
      <c r="W81" s="385"/>
      <c r="X81" s="385"/>
      <c r="Y81" s="261"/>
      <c r="Z81" s="261"/>
      <c r="AA81" s="385"/>
      <c r="AB81" s="385"/>
      <c r="AC81" s="386"/>
      <c r="AD81" s="317"/>
      <c r="AE81" s="259"/>
      <c r="AK81" s="0" t="n">
        <f aca="false">AK80*$AN$98</f>
        <v>2000</v>
      </c>
      <c r="AL81" s="0" t="n">
        <f aca="false">AL80*$AN$98</f>
        <v>499.733333333333</v>
      </c>
      <c r="AM81" s="0" t="n">
        <f aca="false">AM80*$AN$98</f>
        <v>499.733333333333</v>
      </c>
      <c r="AN81" s="0" t="n">
        <f aca="false">AN80*$AN$98</f>
        <v>1000</v>
      </c>
      <c r="AO81" s="104" t="n">
        <f aca="false">SUM(AK81:AN81)</f>
        <v>3999.46666666667</v>
      </c>
    </row>
    <row r="82" customFormat="false" ht="13.8" hidden="false" customHeight="false" outlineLevel="0" collapsed="false">
      <c r="B82" s="254"/>
      <c r="C82" s="254"/>
      <c r="D82" s="263"/>
      <c r="E82" s="264" t="s">
        <v>131</v>
      </c>
      <c r="F82" s="264"/>
      <c r="G82" s="264"/>
      <c r="H82" s="264"/>
      <c r="I82" s="264"/>
      <c r="J82" s="264"/>
      <c r="K82" s="264"/>
      <c r="L82" s="264"/>
      <c r="M82" s="392"/>
      <c r="N82" s="257"/>
      <c r="O82" s="149"/>
      <c r="P82" s="0"/>
      <c r="T82" s="259"/>
      <c r="U82" s="259"/>
      <c r="V82" s="270"/>
      <c r="W82" s="272" t="s">
        <v>131</v>
      </c>
      <c r="X82" s="272"/>
      <c r="Y82" s="272"/>
      <c r="Z82" s="272"/>
      <c r="AA82" s="272"/>
      <c r="AB82" s="272"/>
      <c r="AC82" s="272"/>
      <c r="AD82" s="272"/>
      <c r="AE82" s="297"/>
      <c r="AK82" s="216" t="n">
        <f aca="false">AK81/AK80</f>
        <v>0.533333333333333</v>
      </c>
    </row>
    <row r="83" customFormat="false" ht="13.8" hidden="false" customHeight="false" outlineLevel="0" collapsed="false">
      <c r="B83" s="254"/>
      <c r="C83" s="254"/>
      <c r="D83" s="254" t="s">
        <v>103</v>
      </c>
      <c r="E83" s="254"/>
      <c r="F83" s="254"/>
      <c r="G83" s="254"/>
      <c r="H83" s="254"/>
      <c r="I83" s="254"/>
      <c r="J83" s="255"/>
      <c r="K83" s="149" t="n">
        <f aca="false">$D$78*0.1</f>
        <v>169142.215</v>
      </c>
      <c r="L83" s="256" t="n">
        <f aca="false">ROUND(K83/$K$79,2)</f>
        <v>0.09</v>
      </c>
      <c r="M83" s="393" t="n">
        <f aca="false">K83/($F$55+$F$62+$F$72)</f>
        <v>545.620048387097</v>
      </c>
      <c r="N83" s="257"/>
      <c r="O83" s="149"/>
      <c r="P83" s="0"/>
      <c r="T83" s="259"/>
      <c r="U83" s="259"/>
      <c r="V83" s="260" t="s">
        <v>103</v>
      </c>
      <c r="W83" s="259"/>
      <c r="X83" s="259"/>
      <c r="Y83" s="259"/>
      <c r="Z83" s="259"/>
      <c r="AA83" s="259"/>
      <c r="AB83" s="259"/>
      <c r="AC83" s="259" t="n">
        <f aca="false">$D$78*0.1</f>
        <v>169142.215</v>
      </c>
      <c r="AD83" s="317" t="n">
        <f aca="false">ROUND(AC83/$K$79,2)</f>
        <v>0.09</v>
      </c>
      <c r="AE83" s="385" t="n">
        <f aca="false">AC83/($F$55+$F$62+$F$72)</f>
        <v>545.620048387097</v>
      </c>
      <c r="AJ83" s="0" t="s">
        <v>132</v>
      </c>
      <c r="AK83" s="53" t="n">
        <v>40000</v>
      </c>
      <c r="AL83" s="53" t="n">
        <v>10000</v>
      </c>
      <c r="AM83" s="53" t="n">
        <v>10000</v>
      </c>
      <c r="AN83" s="53" t="n">
        <v>20000</v>
      </c>
      <c r="AO83" s="104" t="n">
        <f aca="false">SUM(AK83:AN83)</f>
        <v>80000</v>
      </c>
    </row>
    <row r="84" customFormat="false" ht="13.8" hidden="false" customHeight="false" outlineLevel="0" collapsed="false">
      <c r="B84" s="254"/>
      <c r="C84" s="254"/>
      <c r="D84" s="254" t="s">
        <v>133</v>
      </c>
      <c r="E84" s="254"/>
      <c r="F84" s="254"/>
      <c r="G84" s="254"/>
      <c r="H84" s="254"/>
      <c r="I84" s="254"/>
      <c r="J84" s="255"/>
      <c r="K84" s="149" t="n">
        <f aca="false">((K61+K63+K73+K74)/1.667)*0.1</f>
        <v>80566.0317936413</v>
      </c>
      <c r="L84" s="256" t="n">
        <f aca="false">ROUND(K84/$K$79,3)</f>
        <v>0.042</v>
      </c>
      <c r="M84" s="393" t="n">
        <f aca="false">K84/($F$55+$F$62+$F$72)</f>
        <v>259.890425140778</v>
      </c>
      <c r="N84" s="0"/>
      <c r="O84" s="149"/>
      <c r="P84" s="0"/>
      <c r="T84" s="259"/>
      <c r="U84" s="259"/>
      <c r="V84" s="260" t="s">
        <v>133</v>
      </c>
      <c r="W84" s="259"/>
      <c r="X84" s="259"/>
      <c r="Y84" s="259"/>
      <c r="Z84" s="259"/>
      <c r="AA84" s="259"/>
      <c r="AB84" s="259"/>
      <c r="AC84" s="259" t="n">
        <v>120366</v>
      </c>
      <c r="AD84" s="317" t="n">
        <f aca="false">ROUND(AC84/$K$79,2)</f>
        <v>0.06</v>
      </c>
      <c r="AE84" s="385" t="n">
        <f aca="false">AC84/($F$55+$F$62+$F$72)</f>
        <v>388.277419354839</v>
      </c>
      <c r="AK84" s="0" t="n">
        <f aca="false">AK83*$AN$99</f>
        <v>13500</v>
      </c>
      <c r="AL84" s="0" t="n">
        <f aca="false">AL83*$AN$99</f>
        <v>3375</v>
      </c>
      <c r="AM84" s="0" t="n">
        <f aca="false">AM83*$AN$99</f>
        <v>3375</v>
      </c>
      <c r="AN84" s="0" t="n">
        <f aca="false">AN83*$AN$99</f>
        <v>6750</v>
      </c>
      <c r="AO84" s="104" t="n">
        <f aca="false">SUM(AK84:AN84)</f>
        <v>27000</v>
      </c>
    </row>
    <row r="85" customFormat="false" ht="13.8" hidden="false" customHeight="false" outlineLevel="0" collapsed="false">
      <c r="B85" s="254"/>
      <c r="C85" s="254"/>
      <c r="D85" s="254" t="s">
        <v>134</v>
      </c>
      <c r="E85" s="254"/>
      <c r="F85" s="254"/>
      <c r="G85" s="254"/>
      <c r="H85" s="254"/>
      <c r="I85" s="254"/>
      <c r="J85" s="255"/>
      <c r="K85" s="149" t="n">
        <f aca="false">K79*0.18</f>
        <v>344713.347</v>
      </c>
      <c r="L85" s="256" t="n">
        <f aca="false">ROUND(K85/$K$79,2)</f>
        <v>0.18</v>
      </c>
      <c r="M85" s="393" t="n">
        <f aca="false">K85/($F$55+$F$62+$F$72)</f>
        <v>1111.97853870968</v>
      </c>
      <c r="N85" s="257"/>
      <c r="O85" s="149"/>
      <c r="P85" s="0"/>
      <c r="T85" s="259"/>
      <c r="U85" s="259"/>
      <c r="V85" s="260" t="s">
        <v>135</v>
      </c>
      <c r="W85" s="259"/>
      <c r="X85" s="259"/>
      <c r="Y85" s="259"/>
      <c r="Z85" s="259"/>
      <c r="AA85" s="259"/>
      <c r="AB85" s="259"/>
      <c r="AC85" s="259" t="n">
        <v>320000</v>
      </c>
      <c r="AD85" s="317" t="n">
        <f aca="false">ROUND(AC85/$AC$79,2)</f>
        <v>0.19</v>
      </c>
      <c r="AE85" s="385" t="n">
        <f aca="false">AC85/($F$55+$F$62+$F$72)</f>
        <v>1032.25806451613</v>
      </c>
      <c r="AO85" s="104"/>
    </row>
    <row r="86" customFormat="false" ht="13.8" hidden="false" customHeight="false" outlineLevel="0" collapsed="false">
      <c r="B86" s="254"/>
      <c r="C86" s="254"/>
      <c r="D86" s="254" t="s">
        <v>51</v>
      </c>
      <c r="E86" s="254"/>
      <c r="F86" s="254"/>
      <c r="G86" s="254"/>
      <c r="H86" s="254"/>
      <c r="I86" s="254"/>
      <c r="J86" s="255"/>
      <c r="K86" s="149" t="n">
        <v>35000</v>
      </c>
      <c r="L86" s="256" t="n">
        <f aca="false">ROUND(K86/$K$79,2)</f>
        <v>0.02</v>
      </c>
      <c r="M86" s="393" t="n">
        <f aca="false">K86/($F$55+$F$62+$F$72)</f>
        <v>112.903225806452</v>
      </c>
      <c r="N86" s="257"/>
      <c r="O86" s="149"/>
      <c r="P86" s="0"/>
      <c r="T86" s="259"/>
      <c r="U86" s="259"/>
      <c r="V86" s="260" t="s">
        <v>51</v>
      </c>
      <c r="W86" s="259"/>
      <c r="X86" s="259"/>
      <c r="Y86" s="259"/>
      <c r="Z86" s="259"/>
      <c r="AA86" s="259"/>
      <c r="AB86" s="259"/>
      <c r="AC86" s="259" t="n">
        <v>22000</v>
      </c>
      <c r="AD86" s="317" t="n">
        <f aca="false">ROUND(AC86/$K$79,2)</f>
        <v>0.01</v>
      </c>
      <c r="AE86" s="385" t="n">
        <f aca="false">AC86/($F$55+$F$62+$F$72)</f>
        <v>70.9677419354839</v>
      </c>
      <c r="AK86" s="216" t="n">
        <f aca="false">AK84/AK83</f>
        <v>0.3375</v>
      </c>
    </row>
    <row r="87" customFormat="false" ht="13.8" hidden="false" customHeight="false" outlineLevel="0" collapsed="false">
      <c r="B87" s="254"/>
      <c r="C87" s="254"/>
      <c r="D87" s="254" t="s">
        <v>105</v>
      </c>
      <c r="E87" s="254"/>
      <c r="F87" s="254"/>
      <c r="G87" s="254"/>
      <c r="H87" s="254"/>
      <c r="I87" s="0" t="n">
        <f aca="false">SUM(K56:K57,K63:K66,K73:K76)*0.056</f>
        <v>94719.6404</v>
      </c>
      <c r="J87" s="255"/>
      <c r="K87" s="394" t="n">
        <v>0</v>
      </c>
      <c r="L87" s="256" t="n">
        <f aca="false">ROUND(K87/$K$79,2)</f>
        <v>0</v>
      </c>
      <c r="M87" s="393" t="n">
        <f aca="false">K87/($F$55+$F$62+$F$72)</f>
        <v>0</v>
      </c>
      <c r="N87" s="257"/>
      <c r="O87" s="149"/>
      <c r="P87" s="0"/>
      <c r="T87" s="259"/>
      <c r="U87" s="259"/>
      <c r="V87" s="260" t="s">
        <v>105</v>
      </c>
      <c r="W87" s="259"/>
      <c r="X87" s="259"/>
      <c r="Y87" s="259"/>
      <c r="Z87" s="259"/>
      <c r="AA87" s="271" t="n">
        <f aca="false">SUM(AC56:AC57,AC63:AC66,AC73:AC76)*0.056</f>
        <v>83192.5976</v>
      </c>
      <c r="AB87" s="259"/>
      <c r="AC87" s="271" t="n">
        <v>0</v>
      </c>
      <c r="AD87" s="317" t="n">
        <f aca="false">ROUND(AC87/$K$79,2)</f>
        <v>0</v>
      </c>
      <c r="AE87" s="385" t="n">
        <f aca="false">AC87/($F$55+$F$62+$F$72)</f>
        <v>0</v>
      </c>
    </row>
    <row r="88" customFormat="false" ht="13.8" hidden="false" customHeight="false" outlineLevel="0" collapsed="false">
      <c r="B88" s="254"/>
      <c r="C88" s="254"/>
      <c r="D88" s="254" t="s">
        <v>52</v>
      </c>
      <c r="E88" s="254"/>
      <c r="F88" s="254"/>
      <c r="G88" s="254"/>
      <c r="H88" s="254"/>
      <c r="J88" s="255"/>
      <c r="K88" s="394" t="n">
        <v>38000</v>
      </c>
      <c r="L88" s="256" t="n">
        <f aca="false">ROUND(K88/$K$79,2)</f>
        <v>0.02</v>
      </c>
      <c r="M88" s="393" t="n">
        <f aca="false">K88/($F$55+$F$62+$F$72)</f>
        <v>122.58064516129</v>
      </c>
      <c r="N88" s="257"/>
      <c r="O88" s="149"/>
      <c r="P88" s="0"/>
      <c r="T88" s="259"/>
      <c r="U88" s="259"/>
      <c r="V88" s="260" t="s">
        <v>52</v>
      </c>
      <c r="W88" s="259"/>
      <c r="X88" s="259"/>
      <c r="Y88" s="259"/>
      <c r="Z88" s="259"/>
      <c r="AA88" s="271"/>
      <c r="AB88" s="259"/>
      <c r="AC88" s="271" t="n">
        <v>35000</v>
      </c>
      <c r="AD88" s="317" t="n">
        <f aca="false">ROUND(AC88/$K$79,2)</f>
        <v>0.02</v>
      </c>
      <c r="AE88" s="385" t="n">
        <f aca="false">AC88/($F$55+$F$62+$F$72)</f>
        <v>112.903225806452</v>
      </c>
      <c r="AJ88" s="0" t="s">
        <v>136</v>
      </c>
      <c r="AK88" s="373" t="n">
        <v>2268.75</v>
      </c>
      <c r="AL88" s="373" t="n">
        <v>848.5125</v>
      </c>
      <c r="AM88" s="373" t="n">
        <v>317.343675</v>
      </c>
      <c r="AN88" s="373" t="n">
        <v>3750</v>
      </c>
      <c r="AO88" s="104" t="n">
        <f aca="false">SUM(AK88:AN88)</f>
        <v>7184.606175</v>
      </c>
    </row>
    <row r="89" customFormat="false" ht="13.8" hidden="false" customHeight="false" outlineLevel="0" collapsed="false">
      <c r="B89" s="254"/>
      <c r="C89" s="254"/>
      <c r="D89" s="254" t="s">
        <v>53</v>
      </c>
      <c r="E89" s="254"/>
      <c r="F89" s="254"/>
      <c r="G89" s="254"/>
      <c r="H89" s="254"/>
      <c r="I89" s="254"/>
      <c r="J89" s="255"/>
      <c r="K89" s="149" t="n">
        <v>14000</v>
      </c>
      <c r="L89" s="256" t="n">
        <f aca="false">ROUND(K89/$K$79,2)</f>
        <v>0.01</v>
      </c>
      <c r="M89" s="393" t="n">
        <f aca="false">K89/($F$55+$F$62+$F$72)</f>
        <v>45.1612903225807</v>
      </c>
      <c r="N89" s="395"/>
      <c r="O89" s="149"/>
      <c r="P89" s="0"/>
      <c r="T89" s="259"/>
      <c r="U89" s="259"/>
      <c r="V89" s="260" t="s">
        <v>53</v>
      </c>
      <c r="W89" s="259"/>
      <c r="X89" s="259"/>
      <c r="Y89" s="259"/>
      <c r="Z89" s="259"/>
      <c r="AA89" s="259"/>
      <c r="AB89" s="259"/>
      <c r="AC89" s="259" t="n">
        <v>14000</v>
      </c>
      <c r="AD89" s="317" t="n">
        <f aca="false">ROUND(AC89/$K$79,2)</f>
        <v>0.01</v>
      </c>
      <c r="AE89" s="385" t="n">
        <f aca="false">AC89/($F$55+$F$62+$F$72)</f>
        <v>45.1612903225807</v>
      </c>
      <c r="AK89" s="0" t="n">
        <f aca="false">AK88*$AN$100</f>
        <v>1620.53571428571</v>
      </c>
      <c r="AL89" s="0" t="n">
        <f aca="false">AL88*$AN$100</f>
        <v>606.080357142857</v>
      </c>
      <c r="AM89" s="0" t="n">
        <f aca="false">AM88*$AN$100</f>
        <v>226.674053571429</v>
      </c>
      <c r="AN89" s="0" t="n">
        <f aca="false">AN88*$AN$100</f>
        <v>2678.57142857143</v>
      </c>
      <c r="AO89" s="104" t="n">
        <f aca="false">SUM(AK89:AN89)</f>
        <v>5131.86155357143</v>
      </c>
    </row>
    <row r="90" customFormat="false" ht="13.8" hidden="false" customHeight="false" outlineLevel="0" collapsed="false">
      <c r="B90" s="254"/>
      <c r="C90" s="254"/>
      <c r="D90" s="254" t="s">
        <v>54</v>
      </c>
      <c r="E90" s="254"/>
      <c r="F90" s="254"/>
      <c r="G90" s="254"/>
      <c r="H90" s="254"/>
      <c r="I90" s="254"/>
      <c r="J90" s="255"/>
      <c r="K90" s="149" t="n">
        <v>63000</v>
      </c>
      <c r="L90" s="256" t="n">
        <f aca="false">ROUND(K90/$K$79,2)</f>
        <v>0.03</v>
      </c>
      <c r="M90" s="393" t="n">
        <f aca="false">K90/($F$55+$F$62+$F$72)</f>
        <v>203.225806451613</v>
      </c>
      <c r="N90" s="257"/>
      <c r="O90" s="149"/>
      <c r="P90" s="0"/>
      <c r="T90" s="259"/>
      <c r="U90" s="259"/>
      <c r="V90" s="260" t="s">
        <v>54</v>
      </c>
      <c r="W90" s="259"/>
      <c r="X90" s="259"/>
      <c r="Y90" s="259"/>
      <c r="Z90" s="259"/>
      <c r="AA90" s="259"/>
      <c r="AB90" s="259"/>
      <c r="AC90" s="259" t="n">
        <v>65000</v>
      </c>
      <c r="AD90" s="317" t="n">
        <f aca="false">ROUND(AC90/$K$79,2)</f>
        <v>0.03</v>
      </c>
      <c r="AE90" s="385" t="n">
        <f aca="false">AC90/($F$55+$F$62+$F$72)</f>
        <v>209.677419354839</v>
      </c>
      <c r="AK90" s="0" t="s">
        <v>137</v>
      </c>
      <c r="AL90" s="0" t="s">
        <v>138</v>
      </c>
    </row>
    <row r="91" customFormat="false" ht="13.8" hidden="false" customHeight="false" outlineLevel="0" collapsed="false">
      <c r="B91" s="254"/>
      <c r="C91" s="254"/>
      <c r="D91" s="254" t="s">
        <v>55</v>
      </c>
      <c r="E91" s="254"/>
      <c r="F91" s="254"/>
      <c r="G91" s="254"/>
      <c r="H91" s="254"/>
      <c r="I91" s="254"/>
      <c r="J91" s="255"/>
      <c r="K91" s="149" t="n">
        <v>7600</v>
      </c>
      <c r="L91" s="256" t="n">
        <f aca="false">ROUND(K91/$K$79,2)</f>
        <v>0</v>
      </c>
      <c r="M91" s="393" t="n">
        <f aca="false">K91/($F$55+$F$62+$F$72)</f>
        <v>24.5161290322581</v>
      </c>
      <c r="N91" s="257"/>
      <c r="O91" s="149"/>
      <c r="P91" s="0"/>
      <c r="T91" s="259"/>
      <c r="U91" s="259"/>
      <c r="V91" s="260" t="s">
        <v>55</v>
      </c>
      <c r="W91" s="259"/>
      <c r="X91" s="259"/>
      <c r="Y91" s="259"/>
      <c r="Z91" s="259"/>
      <c r="AA91" s="259"/>
      <c r="AB91" s="259"/>
      <c r="AC91" s="259" t="n">
        <v>7600</v>
      </c>
      <c r="AD91" s="317" t="n">
        <f aca="false">ROUND(AC91/$K$79,2)</f>
        <v>0</v>
      </c>
      <c r="AE91" s="385" t="n">
        <f aca="false">AC91/($F$55+$F$62+$F$72)</f>
        <v>24.5161290322581</v>
      </c>
      <c r="AJ91" s="0" t="s">
        <v>116</v>
      </c>
      <c r="AK91" s="0" t="n">
        <v>75000</v>
      </c>
      <c r="AL91" s="0" t="n">
        <f aca="false">K126+K128</f>
        <v>105084</v>
      </c>
      <c r="AM91" s="0" t="n">
        <f aca="false">K77+K75</f>
        <v>132042</v>
      </c>
      <c r="AN91" s="216" t="n">
        <f aca="false">AL91/AK91</f>
        <v>1.40112</v>
      </c>
    </row>
    <row r="92" customFormat="false" ht="13.8" hidden="false" customHeight="false" outlineLevel="0" collapsed="false">
      <c r="B92" s="254"/>
      <c r="C92" s="254"/>
      <c r="D92" s="254" t="s">
        <v>139</v>
      </c>
      <c r="E92" s="254"/>
      <c r="F92" s="254"/>
      <c r="G92" s="254"/>
      <c r="H92" s="254"/>
      <c r="I92" s="254"/>
      <c r="J92" s="255"/>
      <c r="K92" s="149" t="n">
        <f aca="false">$K$79*0.03</f>
        <v>57452.2245</v>
      </c>
      <c r="L92" s="256" t="n">
        <f aca="false">ROUND(K92/$K$79,2)</f>
        <v>0.03</v>
      </c>
      <c r="M92" s="393" t="n">
        <f aca="false">K92/($F$55+$F$62+$F$72)</f>
        <v>185.329756451613</v>
      </c>
      <c r="N92" s="257"/>
      <c r="O92" s="149"/>
      <c r="P92" s="0"/>
      <c r="T92" s="259"/>
      <c r="U92" s="259"/>
      <c r="V92" s="260" t="s">
        <v>139</v>
      </c>
      <c r="W92" s="259"/>
      <c r="X92" s="259"/>
      <c r="Y92" s="259"/>
      <c r="Z92" s="259"/>
      <c r="AA92" s="259"/>
      <c r="AB92" s="259"/>
      <c r="AC92" s="259" t="n">
        <v>50000</v>
      </c>
      <c r="AD92" s="317" t="n">
        <f aca="false">ROUND(AC92/$K$79,2)</f>
        <v>0.03</v>
      </c>
      <c r="AE92" s="385" t="n">
        <f aca="false">AC92/($F$55+$F$62+$F$72)</f>
        <v>161.290322580645</v>
      </c>
      <c r="AJ92" s="0" t="s">
        <v>114</v>
      </c>
      <c r="AK92" s="0" t="n">
        <v>1035000</v>
      </c>
      <c r="AL92" s="0" t="n">
        <f aca="false">K107+K108+K114+K124+K125</f>
        <v>592103</v>
      </c>
      <c r="AM92" s="0" t="n">
        <f aca="false">K56+K57+K63+K73+K74</f>
        <v>1343035.75</v>
      </c>
      <c r="AN92" s="216" t="n">
        <f aca="false">AL92/AK92</f>
        <v>0.572080193236715</v>
      </c>
    </row>
    <row r="93" customFormat="false" ht="13.8" hidden="false" customHeight="false" outlineLevel="0" collapsed="false">
      <c r="B93" s="254"/>
      <c r="C93" s="254"/>
      <c r="D93" s="254" t="s">
        <v>57</v>
      </c>
      <c r="E93" s="254"/>
      <c r="F93" s="254"/>
      <c r="G93" s="254"/>
      <c r="H93" s="254"/>
      <c r="I93" s="254"/>
      <c r="J93" s="255"/>
      <c r="K93" s="149" t="n">
        <v>50000</v>
      </c>
      <c r="L93" s="256" t="n">
        <f aca="false">ROUND(K93/$K$79,2)</f>
        <v>0.03</v>
      </c>
      <c r="M93" s="393" t="n">
        <f aca="false">K93/($F$55+$F$62+$F$72)</f>
        <v>161.290322580645</v>
      </c>
      <c r="N93" s="257"/>
      <c r="O93" s="149"/>
      <c r="P93" s="0"/>
      <c r="T93" s="259"/>
      <c r="U93" s="259"/>
      <c r="V93" s="260" t="s">
        <v>57</v>
      </c>
      <c r="W93" s="259"/>
      <c r="X93" s="259"/>
      <c r="Y93" s="259"/>
      <c r="Z93" s="259"/>
      <c r="AA93" s="259"/>
      <c r="AB93" s="259"/>
      <c r="AC93" s="259" t="n">
        <v>40000</v>
      </c>
      <c r="AD93" s="317" t="n">
        <f aca="false">ROUND(AC93/$K$79,2)</f>
        <v>0.02</v>
      </c>
      <c r="AE93" s="385" t="n">
        <f aca="false">AC93/($F$55+$F$62+$F$72)</f>
        <v>129.032258064516</v>
      </c>
      <c r="AJ93" s="0" t="s">
        <v>82</v>
      </c>
      <c r="AK93" s="0" t="n">
        <v>96000</v>
      </c>
      <c r="AL93" s="0" t="n">
        <f aca="false">K117</f>
        <v>65043</v>
      </c>
      <c r="AM93" s="0" t="n">
        <f aca="false">K66</f>
        <v>86724</v>
      </c>
      <c r="AN93" s="216" t="n">
        <f aca="false">AL93/AK93</f>
        <v>0.67753125</v>
      </c>
    </row>
    <row r="94" customFormat="false" ht="13.8" hidden="false" customHeight="false" outlineLevel="0" collapsed="false">
      <c r="B94" s="254"/>
      <c r="C94" s="254"/>
      <c r="D94" s="263" t="s">
        <v>140</v>
      </c>
      <c r="E94" s="263"/>
      <c r="F94" s="263"/>
      <c r="G94" s="263"/>
      <c r="H94" s="263"/>
      <c r="I94" s="263"/>
      <c r="J94" s="396"/>
      <c r="K94" s="392" t="n">
        <v>30000</v>
      </c>
      <c r="L94" s="362" t="n">
        <f aca="false">ROUND(K94/$K$79,2)</f>
        <v>0.02</v>
      </c>
      <c r="M94" s="393" t="n">
        <f aca="false">K94/($F$55+$F$62+$F$72)</f>
        <v>96.7741935483871</v>
      </c>
      <c r="N94" s="257"/>
      <c r="O94" s="149"/>
      <c r="P94" s="0"/>
      <c r="T94" s="259"/>
      <c r="U94" s="259"/>
      <c r="V94" s="270" t="s">
        <v>140</v>
      </c>
      <c r="W94" s="297"/>
      <c r="X94" s="297"/>
      <c r="Y94" s="297"/>
      <c r="Z94" s="297"/>
      <c r="AA94" s="297"/>
      <c r="AB94" s="297"/>
      <c r="AC94" s="297" t="n">
        <v>30000</v>
      </c>
      <c r="AD94" s="370" t="n">
        <f aca="false">ROUND(AC94/$K$79,2)</f>
        <v>0.02</v>
      </c>
      <c r="AE94" s="385" t="n">
        <f aca="false">AC94/($F$55+$F$62+$F$72)</f>
        <v>96.7741935483871</v>
      </c>
      <c r="AJ94" s="0" t="s">
        <v>87</v>
      </c>
      <c r="AK94" s="0" t="n">
        <v>151000</v>
      </c>
      <c r="AL94" s="0" t="n">
        <f aca="false">K116+K127</f>
        <v>100448</v>
      </c>
      <c r="AM94" s="0" t="n">
        <f aca="false">K65+K76</f>
        <v>193508.4</v>
      </c>
      <c r="AN94" s="216" t="n">
        <f aca="false">AL94/AK94</f>
        <v>0.665218543046358</v>
      </c>
    </row>
    <row r="95" customFormat="false" ht="13.8" hidden="false" customHeight="false" outlineLevel="0" collapsed="false">
      <c r="B95" s="254"/>
      <c r="C95" s="254"/>
      <c r="D95" s="263" t="s">
        <v>108</v>
      </c>
      <c r="E95" s="263"/>
      <c r="F95" s="263"/>
      <c r="G95" s="263"/>
      <c r="H95" s="263"/>
      <c r="I95" s="263"/>
      <c r="J95" s="396"/>
      <c r="K95" s="397" t="n">
        <f aca="false">SUM(K83:K94)</f>
        <v>889473.818293641</v>
      </c>
      <c r="L95" s="362" t="n">
        <f aca="false">ROUND(K95/$K$79,2)</f>
        <v>0.46</v>
      </c>
      <c r="M95" s="277" t="n">
        <f aca="false">K95/($F$55+$F$62+$F$72)</f>
        <v>2869.27038159239</v>
      </c>
      <c r="N95" s="257"/>
      <c r="O95" s="149"/>
      <c r="P95" s="0"/>
      <c r="T95" s="259"/>
      <c r="U95" s="259"/>
      <c r="V95" s="270" t="s">
        <v>108</v>
      </c>
      <c r="W95" s="297"/>
      <c r="X95" s="297"/>
      <c r="Y95" s="297"/>
      <c r="Z95" s="297"/>
      <c r="AA95" s="297"/>
      <c r="AB95" s="398"/>
      <c r="AC95" s="399" t="n">
        <f aca="false">SUM(AC83:AC94)</f>
        <v>873108.215</v>
      </c>
      <c r="AD95" s="370" t="n">
        <f aca="false">ROUND(AC95/$K$79,2)</f>
        <v>0.46</v>
      </c>
      <c r="AE95" s="400" t="n">
        <f aca="false">AC95/($F$55+$F$62+$F$72)</f>
        <v>2816.47811290323</v>
      </c>
      <c r="AJ95" s="0" t="s">
        <v>40</v>
      </c>
      <c r="AK95" s="0" t="n">
        <v>9000</v>
      </c>
      <c r="AL95" s="0" t="n">
        <f aca="false">K115</f>
        <v>6132</v>
      </c>
      <c r="AM95" s="0" t="n">
        <f aca="false">K64</f>
        <v>12264</v>
      </c>
      <c r="AN95" s="216" t="n">
        <f aca="false">AL95/AK95</f>
        <v>0.681333333333333</v>
      </c>
    </row>
    <row r="96" customFormat="false" ht="13.8" hidden="false" customHeight="false" outlineLevel="0" collapsed="false">
      <c r="B96" s="254"/>
      <c r="C96" s="254"/>
      <c r="D96" s="401"/>
      <c r="E96" s="401"/>
      <c r="F96" s="401"/>
      <c r="G96" s="402"/>
      <c r="H96" s="402"/>
      <c r="I96" s="401"/>
      <c r="J96" s="403"/>
      <c r="K96" s="404"/>
      <c r="L96" s="405"/>
      <c r="M96" s="404"/>
      <c r="N96" s="257"/>
      <c r="O96" s="149"/>
      <c r="P96" s="0"/>
      <c r="T96" s="259"/>
      <c r="U96" s="259"/>
      <c r="V96" s="260"/>
      <c r="W96" s="259"/>
      <c r="X96" s="259"/>
      <c r="Y96" s="406"/>
      <c r="Z96" s="406"/>
      <c r="AA96" s="259"/>
      <c r="AB96" s="259"/>
      <c r="AC96" s="259"/>
      <c r="AD96" s="317"/>
      <c r="AE96" s="259"/>
      <c r="AJ96" s="0" t="s">
        <v>128</v>
      </c>
      <c r="AK96" s="0" t="n">
        <v>30000</v>
      </c>
      <c r="AL96" s="0" t="n">
        <v>18000</v>
      </c>
      <c r="AM96" s="0" t="n">
        <v>30000</v>
      </c>
      <c r="AN96" s="216" t="n">
        <f aca="false">AL96/AK96</f>
        <v>0.6</v>
      </c>
    </row>
    <row r="97" customFormat="false" ht="13.8" hidden="false" customHeight="false" outlineLevel="0" collapsed="false">
      <c r="B97" s="254"/>
      <c r="C97" s="254"/>
      <c r="D97" s="407" t="s">
        <v>141</v>
      </c>
      <c r="E97" s="254"/>
      <c r="F97" s="254"/>
      <c r="G97" s="408"/>
      <c r="H97" s="408"/>
      <c r="I97" s="254"/>
      <c r="J97" s="255"/>
      <c r="K97" s="149"/>
      <c r="L97" s="256"/>
      <c r="M97" s="149"/>
      <c r="N97" s="257"/>
      <c r="O97" s="149"/>
      <c r="P97" s="0"/>
      <c r="T97" s="259"/>
      <c r="U97" s="259"/>
      <c r="V97" s="409" t="s">
        <v>141</v>
      </c>
      <c r="W97" s="259"/>
      <c r="X97" s="259"/>
      <c r="Y97" s="406"/>
      <c r="Z97" s="406"/>
      <c r="AA97" s="259"/>
      <c r="AB97" s="259"/>
      <c r="AC97" s="259"/>
      <c r="AD97" s="317"/>
      <c r="AE97" s="259"/>
      <c r="AJ97" s="0" t="s">
        <v>125</v>
      </c>
      <c r="AK97" s="0" t="n">
        <v>20000</v>
      </c>
      <c r="AL97" s="0" t="n">
        <f aca="false">K119</f>
        <v>20000</v>
      </c>
      <c r="AM97" s="0" t="n">
        <f aca="false">K68</f>
        <v>30000</v>
      </c>
      <c r="AN97" s="216" t="n">
        <f aca="false">AL97/AK97</f>
        <v>1</v>
      </c>
    </row>
    <row r="98" customFormat="false" ht="13.8" hidden="false" customHeight="false" outlineLevel="0" collapsed="false">
      <c r="B98" s="254"/>
      <c r="C98" s="254"/>
      <c r="D98" s="283" t="s">
        <v>142</v>
      </c>
      <c r="E98" s="283"/>
      <c r="F98" s="283"/>
      <c r="G98" s="410"/>
      <c r="H98" s="410"/>
      <c r="I98" s="283"/>
      <c r="J98" s="396"/>
      <c r="K98" s="411" t="n">
        <f aca="false">K79-K95</f>
        <v>1025600.33170636</v>
      </c>
      <c r="L98" s="362" t="n">
        <f aca="false">ROUND(K98/K79,2)</f>
        <v>0.54</v>
      </c>
      <c r="M98" s="392" t="n">
        <f aca="false">K98/($F$55+$F$62+$F$72)</f>
        <v>3308.38816679471</v>
      </c>
      <c r="N98" s="412"/>
      <c r="O98" s="249"/>
      <c r="P98" s="0"/>
      <c r="T98" s="259"/>
      <c r="U98" s="259"/>
      <c r="V98" s="413" t="s">
        <v>142</v>
      </c>
      <c r="W98" s="293"/>
      <c r="X98" s="293"/>
      <c r="Y98" s="414"/>
      <c r="Z98" s="414"/>
      <c r="AA98" s="293"/>
      <c r="AB98" s="297"/>
      <c r="AC98" s="415" t="n">
        <f aca="false">AC79-AC95</f>
        <v>851743.885</v>
      </c>
      <c r="AD98" s="370" t="n">
        <f aca="false">ROUND(AC98/AC79,2)</f>
        <v>0.49</v>
      </c>
      <c r="AE98" s="416" t="n">
        <f aca="false">AC98/($F$55+$F$62+$F$72)</f>
        <v>2747.56091935484</v>
      </c>
      <c r="AJ98" s="0" t="s">
        <v>130</v>
      </c>
      <c r="AK98" s="0" t="n">
        <v>7500</v>
      </c>
      <c r="AL98" s="0" t="n">
        <f aca="false">K118</f>
        <v>4000</v>
      </c>
      <c r="AM98" s="0" t="n">
        <f aca="false">K67</f>
        <v>7500</v>
      </c>
      <c r="AN98" s="216" t="n">
        <f aca="false">AL98/AK98</f>
        <v>0.533333333333333</v>
      </c>
    </row>
    <row r="99" customFormat="false" ht="13.8" hidden="false" customHeight="false" outlineLevel="0" collapsed="false">
      <c r="B99" s="254"/>
      <c r="C99" s="254"/>
      <c r="D99" s="283"/>
      <c r="E99" s="283"/>
      <c r="F99" s="283"/>
      <c r="G99" s="410"/>
      <c r="H99" s="410"/>
      <c r="I99" s="283"/>
      <c r="J99" s="396"/>
      <c r="K99" s="411"/>
      <c r="L99" s="362"/>
      <c r="M99" s="392"/>
      <c r="N99" s="257"/>
      <c r="O99" s="149"/>
      <c r="P99" s="0"/>
      <c r="T99" s="259"/>
      <c r="U99" s="259"/>
      <c r="V99" s="413"/>
      <c r="W99" s="293"/>
      <c r="X99" s="293"/>
      <c r="Y99" s="414"/>
      <c r="Z99" s="414"/>
      <c r="AA99" s="293"/>
      <c r="AB99" s="297"/>
      <c r="AC99" s="415"/>
      <c r="AD99" s="370"/>
      <c r="AE99" s="297"/>
      <c r="AJ99" s="0" t="s">
        <v>132</v>
      </c>
      <c r="AK99" s="0" t="n">
        <v>80000</v>
      </c>
      <c r="AL99" s="0" t="n">
        <v>27000</v>
      </c>
      <c r="AM99" s="0" t="n">
        <v>80000</v>
      </c>
      <c r="AN99" s="216" t="n">
        <f aca="false">AL99/AK99</f>
        <v>0.3375</v>
      </c>
    </row>
    <row r="100" customFormat="false" ht="13.8" hidden="false" customHeight="false" outlineLevel="0" collapsed="false">
      <c r="B100" s="254"/>
      <c r="C100" s="254"/>
      <c r="D100" s="417" t="s">
        <v>143</v>
      </c>
      <c r="E100" s="283"/>
      <c r="F100" s="283"/>
      <c r="G100" s="410"/>
      <c r="H100" s="410"/>
      <c r="I100" s="283"/>
      <c r="J100" s="396"/>
      <c r="K100" s="418" t="n">
        <f aca="false">K98/0.08</f>
        <v>12820004.1463295</v>
      </c>
      <c r="L100" s="362"/>
      <c r="M100" s="392" t="n">
        <f aca="false">D51/K100</f>
        <v>0.468018569379158</v>
      </c>
      <c r="N100" s="257"/>
      <c r="O100" s="149"/>
      <c r="P100" s="0"/>
      <c r="T100" s="259"/>
      <c r="U100" s="259"/>
      <c r="V100" s="419" t="s">
        <v>143</v>
      </c>
      <c r="W100" s="293"/>
      <c r="X100" s="293"/>
      <c r="Y100" s="414"/>
      <c r="Z100" s="414"/>
      <c r="AA100" s="293"/>
      <c r="AB100" s="297"/>
      <c r="AC100" s="420" t="n">
        <f aca="false">AC98/0.08</f>
        <v>10646798.5625</v>
      </c>
      <c r="AD100" s="370"/>
      <c r="AE100" s="421" t="n">
        <f aca="false">V51/AC100</f>
        <v>0</v>
      </c>
      <c r="AJ100" s="0" t="s">
        <v>136</v>
      </c>
      <c r="AK100" s="0" t="n">
        <v>7000</v>
      </c>
      <c r="AL100" s="0" t="n">
        <v>5000</v>
      </c>
      <c r="AM100" s="0" t="n">
        <v>7000</v>
      </c>
      <c r="AN100" s="216" t="n">
        <f aca="false">AL100/AK100</f>
        <v>0.714285714285714</v>
      </c>
    </row>
    <row r="101" customFormat="false" ht="13.8" hidden="false" customHeight="false" outlineLevel="0" collapsed="false">
      <c r="B101" s="422"/>
      <c r="C101" s="422"/>
      <c r="D101" s="422"/>
      <c r="E101" s="422"/>
      <c r="F101" s="422"/>
      <c r="G101" s="422"/>
      <c r="H101" s="422"/>
      <c r="I101" s="422"/>
      <c r="J101" s="423"/>
      <c r="K101" s="424"/>
      <c r="L101" s="425"/>
      <c r="M101" s="424"/>
      <c r="N101" s="426"/>
      <c r="O101" s="424"/>
      <c r="P101" s="0"/>
      <c r="T101" s="271"/>
      <c r="U101" s="271"/>
      <c r="V101" s="427"/>
      <c r="W101" s="271"/>
      <c r="X101" s="271"/>
      <c r="Y101" s="271"/>
      <c r="Z101" s="271"/>
      <c r="AA101" s="271"/>
      <c r="AB101" s="271"/>
      <c r="AC101" s="271"/>
      <c r="AD101" s="271"/>
      <c r="AE101" s="271"/>
      <c r="AK101" s="0" t="n">
        <f aca="false">SUM(AK91:AK100)</f>
        <v>1510500</v>
      </c>
      <c r="AL101" s="0" t="n">
        <f aca="false">SUM(AL91:AL100)</f>
        <v>942810</v>
      </c>
      <c r="AM101" s="0" t="n">
        <f aca="false">SUM(AM91:AM100)</f>
        <v>1922074.15</v>
      </c>
      <c r="AN101" s="216" t="n">
        <f aca="false">AL101/AK101</f>
        <v>0.624170804369414</v>
      </c>
    </row>
    <row r="102" customFormat="false" ht="13.8" hidden="false" customHeight="false" outlineLevel="0" collapsed="false">
      <c r="B102" s="428"/>
      <c r="F102" s="428"/>
      <c r="G102" s="422"/>
      <c r="H102" s="422"/>
      <c r="I102" s="422"/>
      <c r="J102" s="423"/>
      <c r="K102" s="424"/>
      <c r="L102" s="425"/>
      <c r="M102" s="0"/>
      <c r="N102" s="426"/>
      <c r="O102" s="424"/>
      <c r="P102" s="0"/>
    </row>
    <row r="103" customFormat="false" ht="13.8" hidden="false" customHeight="false" outlineLevel="0" collapsed="false">
      <c r="B103" s="254"/>
      <c r="C103" s="254"/>
      <c r="D103" s="254"/>
      <c r="E103" s="258" t="s">
        <v>71</v>
      </c>
      <c r="F103" s="258"/>
      <c r="G103" s="258"/>
      <c r="H103" s="258"/>
      <c r="I103" s="258"/>
      <c r="J103" s="258"/>
      <c r="K103" s="258"/>
      <c r="L103" s="258"/>
      <c r="M103" s="429"/>
      <c r="N103" s="0"/>
      <c r="O103" s="149"/>
      <c r="P103" s="0"/>
      <c r="T103" s="430"/>
      <c r="U103" s="430"/>
      <c r="V103" s="431"/>
      <c r="W103" s="432" t="s">
        <v>71</v>
      </c>
      <c r="X103" s="432"/>
      <c r="Y103" s="432"/>
      <c r="Z103" s="432"/>
      <c r="AA103" s="432"/>
      <c r="AB103" s="432"/>
      <c r="AC103" s="432"/>
      <c r="AD103" s="432"/>
      <c r="AE103" s="433"/>
    </row>
    <row r="104" customFormat="false" ht="13.8" hidden="false" customHeight="false" outlineLevel="0" collapsed="false">
      <c r="B104" s="254"/>
      <c r="C104" s="434" t="s">
        <v>144</v>
      </c>
      <c r="D104" s="263"/>
      <c r="E104" s="264"/>
      <c r="F104" s="264"/>
      <c r="G104" s="264"/>
      <c r="H104" s="264"/>
      <c r="I104" s="264"/>
      <c r="J104" s="265"/>
      <c r="K104" s="266"/>
      <c r="L104" s="267"/>
      <c r="M104" s="149"/>
      <c r="N104" s="257"/>
      <c r="O104" s="149"/>
      <c r="P104" s="0"/>
      <c r="T104" s="430"/>
      <c r="U104" s="435"/>
      <c r="V104" s="436" t="s">
        <v>145</v>
      </c>
      <c r="W104" s="437"/>
      <c r="X104" s="437"/>
      <c r="Y104" s="437"/>
      <c r="Z104" s="437"/>
      <c r="AA104" s="437"/>
      <c r="AB104" s="438"/>
      <c r="AC104" s="439"/>
      <c r="AD104" s="440"/>
      <c r="AE104" s="431"/>
      <c r="AF104" s="257"/>
    </row>
    <row r="105" customFormat="false" ht="13.8" hidden="false" customHeight="false" outlineLevel="0" collapsed="false">
      <c r="B105" s="254"/>
      <c r="C105" s="274"/>
      <c r="D105" s="275"/>
      <c r="E105" s="276" t="str">
        <f aca="false">"Total "&amp;TEXT(F106+F113+F123,"###.#")&amp;" Sites in FINAL BUILD"</f>
        <v>Total 275 Sites in FINAL BUILD</v>
      </c>
      <c r="F105" s="276"/>
      <c r="G105" s="276"/>
      <c r="H105" s="276"/>
      <c r="I105" s="276"/>
      <c r="J105" s="276"/>
      <c r="K105" s="276"/>
      <c r="L105" s="276"/>
      <c r="M105" s="277"/>
      <c r="N105" s="257"/>
      <c r="O105" s="149"/>
      <c r="P105" s="0"/>
      <c r="T105" s="430"/>
      <c r="U105" s="441"/>
      <c r="V105" s="442"/>
      <c r="W105" s="443" t="str">
        <f aca="false">"Total "&amp;TEXT(X106+X113+X123,"###.#")&amp;" Sites in FINAL BUILD"</f>
        <v>Total 278 Sites in FINAL BUILD</v>
      </c>
      <c r="X105" s="443"/>
      <c r="Y105" s="443"/>
      <c r="Z105" s="443"/>
      <c r="AA105" s="443"/>
      <c r="AB105" s="443"/>
      <c r="AC105" s="443"/>
      <c r="AD105" s="443"/>
      <c r="AE105" s="442"/>
      <c r="AF105" s="257"/>
    </row>
    <row r="106" customFormat="false" ht="24.25" hidden="false" customHeight="true" outlineLevel="0" collapsed="false">
      <c r="B106" s="444" t="s">
        <v>112</v>
      </c>
      <c r="C106" s="283"/>
      <c r="D106" s="445" t="n">
        <f aca="false">K107+K108</f>
        <v>266048.5</v>
      </c>
      <c r="E106" s="285" t="s">
        <v>74</v>
      </c>
      <c r="F106" s="264" t="n">
        <f aca="false">SUM(F107:F111)</f>
        <v>113</v>
      </c>
      <c r="G106" s="286"/>
      <c r="H106" s="263"/>
      <c r="I106" s="287" t="s">
        <v>75</v>
      </c>
      <c r="J106" s="288" t="s">
        <v>113</v>
      </c>
      <c r="K106" s="289" t="s">
        <v>76</v>
      </c>
      <c r="L106" s="446" t="s">
        <v>77</v>
      </c>
      <c r="M106" s="289" t="s">
        <v>78</v>
      </c>
      <c r="N106" s="257"/>
      <c r="O106" s="149"/>
      <c r="P106" s="0"/>
      <c r="T106" s="447" t="s">
        <v>112</v>
      </c>
      <c r="U106" s="448"/>
      <c r="V106" s="449" t="n">
        <f aca="false">AC107+AC108</f>
        <v>521712.75</v>
      </c>
      <c r="W106" s="450" t="s">
        <v>74</v>
      </c>
      <c r="X106" s="437" t="n">
        <f aca="false">SUM(X107:X111)</f>
        <v>113</v>
      </c>
      <c r="Y106" s="451"/>
      <c r="Z106" s="452"/>
      <c r="AA106" s="453" t="s">
        <v>75</v>
      </c>
      <c r="AB106" s="454" t="s">
        <v>113</v>
      </c>
      <c r="AC106" s="455" t="s">
        <v>76</v>
      </c>
      <c r="AD106" s="456" t="s">
        <v>146</v>
      </c>
      <c r="AE106" s="457" t="s">
        <v>78</v>
      </c>
      <c r="AF106" s="257"/>
    </row>
    <row r="107" customFormat="false" ht="13.8" hidden="false" customHeight="false" outlineLevel="0" collapsed="false">
      <c r="B107" s="458"/>
      <c r="C107" s="1"/>
      <c r="D107" s="254" t="s">
        <v>79</v>
      </c>
      <c r="E107" s="254"/>
      <c r="F107" s="459" t="n">
        <v>58</v>
      </c>
      <c r="G107" s="460" t="n">
        <v>37</v>
      </c>
      <c r="H107" s="306" t="s">
        <v>80</v>
      </c>
      <c r="I107" s="461" t="n">
        <v>0.85</v>
      </c>
      <c r="J107" s="308" t="n">
        <f aca="false">360-(360*I107)</f>
        <v>54</v>
      </c>
      <c r="K107" s="309" t="n">
        <f aca="false">(F107*G107)*365*(1-I107)</f>
        <v>117493.5</v>
      </c>
      <c r="L107" s="256" t="n">
        <f aca="false">ROUND(K107/$K$130,2)</f>
        <v>0.12</v>
      </c>
      <c r="M107" s="149" t="n">
        <f aca="false">K107/F107</f>
        <v>2025.75</v>
      </c>
      <c r="N107" s="257"/>
      <c r="O107" s="0"/>
      <c r="P107" s="0"/>
      <c r="T107" s="462"/>
      <c r="U107" s="430"/>
      <c r="V107" s="431" t="s">
        <v>79</v>
      </c>
      <c r="W107" s="430"/>
      <c r="X107" s="463" t="n">
        <v>58</v>
      </c>
      <c r="Y107" s="464" t="n">
        <v>39</v>
      </c>
      <c r="Z107" s="465" t="s">
        <v>80</v>
      </c>
      <c r="AA107" s="466" t="n">
        <v>0.7</v>
      </c>
      <c r="AB107" s="467" t="n">
        <f aca="false">360-(360*AA107)</f>
        <v>108</v>
      </c>
      <c r="AC107" s="468" t="n">
        <f aca="false">(X107*Y107)*365*(1-AA107)</f>
        <v>247689</v>
      </c>
      <c r="AD107" s="469" t="n">
        <f aca="false">ROUND(AC107/$AC$130,2)</f>
        <v>0.19</v>
      </c>
      <c r="AE107" s="431" t="n">
        <f aca="false">AC107/X107</f>
        <v>4270.5</v>
      </c>
      <c r="AF107" s="257"/>
    </row>
    <row r="108" customFormat="false" ht="13.8" hidden="false" customHeight="false" outlineLevel="0" collapsed="false">
      <c r="B108" s="458"/>
      <c r="C108" s="1"/>
      <c r="D108" s="254" t="s">
        <v>81</v>
      </c>
      <c r="E108" s="254"/>
      <c r="F108" s="459" t="n">
        <v>55</v>
      </c>
      <c r="G108" s="460" t="n">
        <v>37</v>
      </c>
      <c r="H108" s="306" t="s">
        <v>80</v>
      </c>
      <c r="I108" s="307" t="n">
        <v>0.8</v>
      </c>
      <c r="J108" s="308" t="n">
        <f aca="false">360-(360*I108)</f>
        <v>72</v>
      </c>
      <c r="K108" s="309" t="n">
        <f aca="false">(F108*G108)*365*(1-I108)</f>
        <v>148555</v>
      </c>
      <c r="L108" s="256" t="n">
        <f aca="false">ROUND(K108/$K$130,2)</f>
        <v>0.16</v>
      </c>
      <c r="M108" s="149" t="n">
        <f aca="false">K108/F108</f>
        <v>2701</v>
      </c>
      <c r="N108" s="257"/>
      <c r="O108" s="0"/>
      <c r="P108" s="0"/>
      <c r="T108" s="462"/>
      <c r="U108" s="430"/>
      <c r="V108" s="431" t="s">
        <v>81</v>
      </c>
      <c r="W108" s="430"/>
      <c r="X108" s="463" t="n">
        <v>55</v>
      </c>
      <c r="Y108" s="464" t="n">
        <v>39</v>
      </c>
      <c r="Z108" s="465" t="s">
        <v>80</v>
      </c>
      <c r="AA108" s="470" t="n">
        <v>0.65</v>
      </c>
      <c r="AB108" s="467" t="n">
        <f aca="false">360-(360*AA108)</f>
        <v>126</v>
      </c>
      <c r="AC108" s="468" t="n">
        <f aca="false">(X108*Y108)*365*(1-AA108)</f>
        <v>274023.75</v>
      </c>
      <c r="AD108" s="469" t="n">
        <f aca="false">ROUND(AC108/$AC$130,2)</f>
        <v>0.21</v>
      </c>
      <c r="AE108" s="431" t="n">
        <f aca="false">AC108/X108</f>
        <v>4982.25</v>
      </c>
      <c r="AF108" s="257"/>
    </row>
    <row r="109" customFormat="false" ht="13.8" hidden="false" customHeight="false" outlineLevel="0" collapsed="false">
      <c r="B109" s="302"/>
      <c r="C109" s="302"/>
      <c r="D109" s="254" t="s">
        <v>82</v>
      </c>
      <c r="E109" s="254"/>
      <c r="F109" s="304" t="n">
        <v>0</v>
      </c>
      <c r="G109" s="305" t="n">
        <v>120</v>
      </c>
      <c r="H109" s="306" t="s">
        <v>80</v>
      </c>
      <c r="I109" s="307" t="n">
        <v>0.85</v>
      </c>
      <c r="J109" s="308"/>
      <c r="K109" s="309" t="n">
        <f aca="false">(F109*G109)*365*(1-I109)</f>
        <v>0</v>
      </c>
      <c r="L109" s="256" t="n">
        <f aca="false">ROUND(K109/$K$130,2)</f>
        <v>0</v>
      </c>
      <c r="M109" s="149"/>
      <c r="N109" s="257"/>
      <c r="O109" s="0"/>
      <c r="P109" s="0"/>
      <c r="T109" s="471"/>
      <c r="U109" s="471"/>
      <c r="V109" s="472" t="s">
        <v>82</v>
      </c>
      <c r="W109" s="473"/>
      <c r="X109" s="474" t="n">
        <v>0</v>
      </c>
      <c r="Y109" s="475" t="n">
        <v>120</v>
      </c>
      <c r="Z109" s="476" t="s">
        <v>80</v>
      </c>
      <c r="AA109" s="477" t="n">
        <v>0.85</v>
      </c>
      <c r="AB109" s="478"/>
      <c r="AC109" s="479" t="n">
        <f aca="false">(X109*Y109)*365*(1-AA109)</f>
        <v>0</v>
      </c>
      <c r="AD109" s="469" t="n">
        <f aca="false">ROUND(AC109/$AC$130,2)</f>
        <v>0</v>
      </c>
      <c r="AE109" s="431"/>
      <c r="AF109" s="257"/>
    </row>
    <row r="110" customFormat="false" ht="13.8" hidden="false" customHeight="false" outlineLevel="0" collapsed="false">
      <c r="B110" s="302"/>
      <c r="C110" s="302"/>
      <c r="D110" s="254" t="s">
        <v>83</v>
      </c>
      <c r="E110" s="254"/>
      <c r="F110" s="304" t="n">
        <v>0</v>
      </c>
      <c r="G110" s="305" t="n">
        <v>70</v>
      </c>
      <c r="H110" s="306" t="s">
        <v>80</v>
      </c>
      <c r="I110" s="307" t="n">
        <v>0.85</v>
      </c>
      <c r="J110" s="308"/>
      <c r="K110" s="309" t="n">
        <f aca="false">(F110*G110)*365*(1-I110)</f>
        <v>0</v>
      </c>
      <c r="L110" s="256" t="n">
        <f aca="false">ROUND(K110/$K$130,2)</f>
        <v>0</v>
      </c>
      <c r="M110" s="149"/>
      <c r="N110" s="257"/>
      <c r="O110" s="0"/>
      <c r="P110" s="0"/>
      <c r="T110" s="471"/>
      <c r="U110" s="471"/>
      <c r="V110" s="472" t="s">
        <v>83</v>
      </c>
      <c r="W110" s="473"/>
      <c r="X110" s="474" t="n">
        <v>0</v>
      </c>
      <c r="Y110" s="475" t="n">
        <v>70</v>
      </c>
      <c r="Z110" s="476" t="s">
        <v>80</v>
      </c>
      <c r="AA110" s="477" t="n">
        <v>0.8</v>
      </c>
      <c r="AB110" s="478"/>
      <c r="AC110" s="479" t="n">
        <f aca="false">(X110*Y110)*365*(1-AA110)</f>
        <v>0</v>
      </c>
      <c r="AD110" s="469" t="n">
        <f aca="false">ROUND(AC110/$AC$130,2)</f>
        <v>0</v>
      </c>
      <c r="AE110" s="431"/>
      <c r="AF110" s="257"/>
    </row>
    <row r="111" customFormat="false" ht="13.8" hidden="false" customHeight="false" outlineLevel="0" collapsed="false">
      <c r="B111" s="302"/>
      <c r="C111" s="302"/>
      <c r="D111" s="254" t="s">
        <v>84</v>
      </c>
      <c r="E111" s="254"/>
      <c r="F111" s="304" t="n">
        <v>0</v>
      </c>
      <c r="G111" s="305" t="n">
        <v>35</v>
      </c>
      <c r="H111" s="306" t="s">
        <v>80</v>
      </c>
      <c r="I111" s="307" t="n">
        <v>0.9</v>
      </c>
      <c r="J111" s="308"/>
      <c r="K111" s="309" t="n">
        <f aca="false">(F111*G111)*365*(1-I111)</f>
        <v>0</v>
      </c>
      <c r="L111" s="256" t="n">
        <f aca="false">ROUND(K111/$K$130,2)</f>
        <v>0</v>
      </c>
      <c r="M111" s="149"/>
      <c r="N111" s="257"/>
      <c r="O111" s="0"/>
      <c r="P111" s="0"/>
      <c r="T111" s="471"/>
      <c r="U111" s="471"/>
      <c r="V111" s="472" t="s">
        <v>84</v>
      </c>
      <c r="W111" s="473"/>
      <c r="X111" s="474" t="n">
        <v>0</v>
      </c>
      <c r="Y111" s="475" t="n">
        <v>35</v>
      </c>
      <c r="Z111" s="476" t="s">
        <v>80</v>
      </c>
      <c r="AA111" s="477" t="n">
        <v>0.9</v>
      </c>
      <c r="AB111" s="478"/>
      <c r="AC111" s="480" t="n">
        <f aca="false">(X111*Y111)*365*(1-AA111)</f>
        <v>0</v>
      </c>
      <c r="AD111" s="469" t="n">
        <f aca="false">ROUND(AC111/$AC$130,2)</f>
        <v>0</v>
      </c>
      <c r="AE111" s="431"/>
      <c r="AF111" s="257"/>
    </row>
    <row r="112" customFormat="false" ht="13.8" hidden="false" customHeight="false" outlineLevel="0" collapsed="false">
      <c r="B112" s="302"/>
      <c r="C112" s="302"/>
      <c r="D112" s="254"/>
      <c r="E112" s="254"/>
      <c r="F112" s="304"/>
      <c r="G112" s="305"/>
      <c r="H112" s="306"/>
      <c r="I112" s="307"/>
      <c r="J112" s="308"/>
      <c r="K112" s="343" t="n">
        <f aca="false">SUM(K107:K111)</f>
        <v>266048.5</v>
      </c>
      <c r="L112" s="256"/>
      <c r="M112" s="149"/>
      <c r="N112" s="257"/>
      <c r="O112" s="0"/>
      <c r="P112" s="0"/>
      <c r="T112" s="471"/>
      <c r="U112" s="471"/>
      <c r="V112" s="431"/>
      <c r="W112" s="430"/>
      <c r="X112" s="463"/>
      <c r="Y112" s="481"/>
      <c r="Z112" s="465"/>
      <c r="AA112" s="470"/>
      <c r="AB112" s="467"/>
      <c r="AC112" s="482" t="n">
        <f aca="false">SUM(AC107:AC111)</f>
        <v>521712.75</v>
      </c>
      <c r="AD112" s="469"/>
      <c r="AE112" s="431"/>
      <c r="AF112" s="257"/>
    </row>
    <row r="113" customFormat="false" ht="13.8" hidden="false" customHeight="false" outlineLevel="0" collapsed="false">
      <c r="B113" s="282" t="s">
        <v>119</v>
      </c>
      <c r="C113" s="254"/>
      <c r="D113" s="483" t="n">
        <f aca="false">K114+K115+K116+K117</f>
        <v>223927.5</v>
      </c>
      <c r="E113" s="321" t="s">
        <v>74</v>
      </c>
      <c r="F113" s="322" t="n">
        <f aca="false">SUM(F114:F117)</f>
        <v>48</v>
      </c>
      <c r="G113" s="323"/>
      <c r="H113" s="275"/>
      <c r="I113" s="324"/>
      <c r="J113" s="325"/>
      <c r="K113" s="484"/>
      <c r="L113" s="327"/>
      <c r="M113" s="277"/>
      <c r="N113" s="257"/>
      <c r="O113" s="0"/>
      <c r="P113" s="0"/>
      <c r="T113" s="485" t="s">
        <v>119</v>
      </c>
      <c r="U113" s="430"/>
      <c r="V113" s="486" t="n">
        <f aca="false">AC114+AC115+AC116+AC117</f>
        <v>267618</v>
      </c>
      <c r="W113" s="487" t="s">
        <v>74</v>
      </c>
      <c r="X113" s="488" t="n">
        <f aca="false">SUM(X114:X117)</f>
        <v>48</v>
      </c>
      <c r="Y113" s="489"/>
      <c r="Z113" s="490"/>
      <c r="AA113" s="491"/>
      <c r="AB113" s="492"/>
      <c r="AC113" s="442"/>
      <c r="AD113" s="493"/>
      <c r="AE113" s="442"/>
      <c r="AF113" s="257"/>
    </row>
    <row r="114" customFormat="false" ht="13.8" hidden="false" customHeight="false" outlineLevel="0" collapsed="false">
      <c r="B114" s="254"/>
      <c r="C114" s="254"/>
      <c r="D114" s="254" t="s">
        <v>79</v>
      </c>
      <c r="E114" s="254"/>
      <c r="F114" s="304" t="n">
        <v>29</v>
      </c>
      <c r="G114" s="460" t="n">
        <v>39</v>
      </c>
      <c r="H114" s="306" t="s">
        <v>80</v>
      </c>
      <c r="I114" s="307" t="n">
        <v>0.7</v>
      </c>
      <c r="J114" s="308" t="n">
        <f aca="false">360-(360*I114)</f>
        <v>108</v>
      </c>
      <c r="K114" s="309" t="n">
        <f aca="false">(F114*G114)*365*(1-I114)</f>
        <v>123844.5</v>
      </c>
      <c r="L114" s="256" t="n">
        <f aca="false">ROUND(K114/$K$130,2)</f>
        <v>0.13</v>
      </c>
      <c r="M114" s="149" t="n">
        <f aca="false">K114/F114</f>
        <v>4270.5</v>
      </c>
      <c r="N114" s="257"/>
      <c r="O114" s="0"/>
      <c r="P114" s="0"/>
      <c r="T114" s="430"/>
      <c r="U114" s="430"/>
      <c r="V114" s="431" t="s">
        <v>79</v>
      </c>
      <c r="W114" s="430"/>
      <c r="X114" s="463" t="n">
        <v>31</v>
      </c>
      <c r="Y114" s="464" t="n">
        <v>42</v>
      </c>
      <c r="Z114" s="465" t="s">
        <v>80</v>
      </c>
      <c r="AA114" s="470" t="n">
        <v>0.65</v>
      </c>
      <c r="AB114" s="467" t="n">
        <f aca="false">360-(360*AA114)</f>
        <v>126</v>
      </c>
      <c r="AC114" s="468" t="n">
        <f aca="false">(X114*Y114)*365*(1-AA114)</f>
        <v>166330.5</v>
      </c>
      <c r="AD114" s="469" t="n">
        <f aca="false">ROUND(AC114/$AC$130,2)</f>
        <v>0.13</v>
      </c>
      <c r="AE114" s="431" t="n">
        <f aca="false">AC114/X114</f>
        <v>5365.5</v>
      </c>
      <c r="AF114" s="257"/>
    </row>
    <row r="115" customFormat="false" ht="15.35" hidden="false" customHeight="true" outlineLevel="0" collapsed="false">
      <c r="B115" s="302"/>
      <c r="C115" s="302"/>
      <c r="D115" s="254" t="s">
        <v>84</v>
      </c>
      <c r="E115" s="254"/>
      <c r="F115" s="304" t="n">
        <v>7</v>
      </c>
      <c r="G115" s="460" t="n">
        <v>24</v>
      </c>
      <c r="H115" s="306" t="s">
        <v>80</v>
      </c>
      <c r="I115" s="307" t="n">
        <v>0.9</v>
      </c>
      <c r="J115" s="308" t="n">
        <f aca="false">360-(360*I115)</f>
        <v>36</v>
      </c>
      <c r="K115" s="309" t="n">
        <f aca="false">(F115*G115)*365*(1-I115)</f>
        <v>6132</v>
      </c>
      <c r="L115" s="256" t="n">
        <f aca="false">ROUND(K115/$K$130,2)</f>
        <v>0.01</v>
      </c>
      <c r="M115" s="149" t="n">
        <f aca="false">K115/F115</f>
        <v>876</v>
      </c>
      <c r="N115" s="257"/>
      <c r="O115" s="0"/>
      <c r="P115" s="0"/>
      <c r="T115" s="471"/>
      <c r="U115" s="471"/>
      <c r="V115" s="431" t="s">
        <v>84</v>
      </c>
      <c r="W115" s="430"/>
      <c r="X115" s="463" t="n">
        <v>7</v>
      </c>
      <c r="Y115" s="464" t="n">
        <v>24</v>
      </c>
      <c r="Z115" s="465" t="s">
        <v>80</v>
      </c>
      <c r="AA115" s="470" t="n">
        <v>0.85</v>
      </c>
      <c r="AB115" s="467" t="n">
        <f aca="false">360-(360*AA115)</f>
        <v>54</v>
      </c>
      <c r="AC115" s="468" t="n">
        <f aca="false">(X115*Y115)*365*(1-AA115)</f>
        <v>9198</v>
      </c>
      <c r="AD115" s="469" t="n">
        <f aca="false">ROUND(AC115/$AC$130,2)</f>
        <v>0.01</v>
      </c>
      <c r="AE115" s="431" t="n">
        <f aca="false">AC115/X115</f>
        <v>1314</v>
      </c>
      <c r="AF115" s="257"/>
    </row>
    <row r="116" customFormat="false" ht="13.8" hidden="false" customHeight="false" outlineLevel="0" collapsed="false">
      <c r="B116" s="302"/>
      <c r="C116" s="302"/>
      <c r="D116" s="254" t="s">
        <v>87</v>
      </c>
      <c r="E116" s="254"/>
      <c r="F116" s="459" t="n">
        <v>6</v>
      </c>
      <c r="G116" s="460" t="n">
        <v>88</v>
      </c>
      <c r="H116" s="306" t="s">
        <v>80</v>
      </c>
      <c r="I116" s="307" t="n">
        <v>0.85</v>
      </c>
      <c r="J116" s="308" t="n">
        <f aca="false">360-(360*I116)</f>
        <v>54</v>
      </c>
      <c r="K116" s="309" t="n">
        <f aca="false">(F116*G116)*365*(1-I116)</f>
        <v>28908</v>
      </c>
      <c r="L116" s="256" t="n">
        <f aca="false">ROUND(K116/$K$130,2)</f>
        <v>0.03</v>
      </c>
      <c r="M116" s="149" t="n">
        <f aca="false">K116/F116</f>
        <v>4818</v>
      </c>
      <c r="N116" s="257"/>
      <c r="O116" s="0"/>
      <c r="P116" s="0"/>
      <c r="T116" s="471"/>
      <c r="U116" s="471"/>
      <c r="V116" s="431" t="s">
        <v>87</v>
      </c>
      <c r="W116" s="430"/>
      <c r="X116" s="463" t="n">
        <v>6</v>
      </c>
      <c r="Y116" s="464" t="n">
        <v>89</v>
      </c>
      <c r="Z116" s="465" t="s">
        <v>80</v>
      </c>
      <c r="AA116" s="470" t="n">
        <v>0.75</v>
      </c>
      <c r="AB116" s="467" t="n">
        <f aca="false">360-(360*AA116)</f>
        <v>90</v>
      </c>
      <c r="AC116" s="468" t="n">
        <f aca="false">(X116*Y116)*365*(1-AA116)</f>
        <v>48727.5</v>
      </c>
      <c r="AD116" s="469" t="n">
        <f aca="false">ROUND(AC116/$AC$130,2)</f>
        <v>0.04</v>
      </c>
      <c r="AE116" s="431" t="n">
        <f aca="false">AC116/X116</f>
        <v>8121.25</v>
      </c>
      <c r="AF116" s="257"/>
    </row>
    <row r="117" customFormat="false" ht="13.8" hidden="false" customHeight="false" outlineLevel="0" collapsed="false">
      <c r="B117" s="302"/>
      <c r="C117" s="302"/>
      <c r="D117" s="254" t="s">
        <v>147</v>
      </c>
      <c r="E117" s="254"/>
      <c r="F117" s="459" t="n">
        <v>6</v>
      </c>
      <c r="G117" s="460" t="n">
        <v>99</v>
      </c>
      <c r="H117" s="306" t="s">
        <v>80</v>
      </c>
      <c r="I117" s="307" t="n">
        <v>0.7</v>
      </c>
      <c r="J117" s="308" t="n">
        <f aca="false">360-(360*I117)</f>
        <v>108</v>
      </c>
      <c r="K117" s="309" t="n">
        <f aca="false">(F117*G117)*365*(1-I117)</f>
        <v>65043</v>
      </c>
      <c r="L117" s="256" t="n">
        <f aca="false">ROUND(K117/$K$130,2)</f>
        <v>0.07</v>
      </c>
      <c r="M117" s="149" t="n">
        <f aca="false">K117/F117</f>
        <v>10840.5</v>
      </c>
      <c r="N117" s="257"/>
      <c r="O117" s="0"/>
      <c r="P117" s="0"/>
      <c r="T117" s="471"/>
      <c r="U117" s="471"/>
      <c r="V117" s="431" t="s">
        <v>147</v>
      </c>
      <c r="W117" s="430"/>
      <c r="X117" s="463" t="n">
        <v>4</v>
      </c>
      <c r="Y117" s="464" t="n">
        <v>99</v>
      </c>
      <c r="Z117" s="465" t="s">
        <v>80</v>
      </c>
      <c r="AA117" s="470" t="n">
        <v>0.7</v>
      </c>
      <c r="AB117" s="467" t="n">
        <f aca="false">360-(360*AA117)</f>
        <v>108</v>
      </c>
      <c r="AC117" s="468" t="n">
        <f aca="false">(X117*Y117)*365*(1-AA117)</f>
        <v>43362</v>
      </c>
      <c r="AD117" s="469" t="n">
        <f aca="false">ROUND(AC117/$AC$130,2)</f>
        <v>0.03</v>
      </c>
      <c r="AE117" s="431" t="n">
        <f aca="false">AC117/X117</f>
        <v>10840.5</v>
      </c>
      <c r="AF117" s="257"/>
    </row>
    <row r="118" customFormat="false" ht="13.8" hidden="false" customHeight="false" outlineLevel="0" collapsed="false">
      <c r="B118" s="302"/>
      <c r="C118" s="302"/>
      <c r="D118" s="254" t="s">
        <v>89</v>
      </c>
      <c r="E118" s="254"/>
      <c r="F118" s="304" t="n">
        <v>1</v>
      </c>
      <c r="G118" s="257"/>
      <c r="H118" s="304"/>
      <c r="I118" s="254"/>
      <c r="J118" s="308"/>
      <c r="K118" s="309" t="n">
        <v>4000</v>
      </c>
      <c r="L118" s="256" t="n">
        <f aca="false">ROUND(K118/$K$130,2)</f>
        <v>0</v>
      </c>
      <c r="M118" s="149"/>
      <c r="N118" s="257"/>
      <c r="O118" s="0"/>
      <c r="P118" s="0"/>
      <c r="T118" s="471"/>
      <c r="U118" s="471"/>
      <c r="V118" s="431" t="s">
        <v>89</v>
      </c>
      <c r="W118" s="430"/>
      <c r="X118" s="463" t="n">
        <v>1</v>
      </c>
      <c r="Y118" s="494"/>
      <c r="Z118" s="463"/>
      <c r="AA118" s="430"/>
      <c r="AB118" s="467"/>
      <c r="AC118" s="468" t="n">
        <v>4000</v>
      </c>
      <c r="AD118" s="469" t="n">
        <f aca="false">ROUND(AC118/$AC$130,2)</f>
        <v>0</v>
      </c>
      <c r="AE118" s="431"/>
      <c r="AF118" s="257"/>
    </row>
    <row r="119" customFormat="false" ht="13.8" hidden="false" customHeight="false" outlineLevel="0" collapsed="false">
      <c r="B119" s="302"/>
      <c r="C119" s="302"/>
      <c r="D119" s="254" t="s">
        <v>90</v>
      </c>
      <c r="E119" s="254"/>
      <c r="F119" s="304"/>
      <c r="G119" s="304"/>
      <c r="H119" s="304"/>
      <c r="I119" s="254"/>
      <c r="J119" s="308"/>
      <c r="K119" s="309" t="n">
        <v>20000</v>
      </c>
      <c r="L119" s="256" t="n">
        <f aca="false">ROUND(K119/$K$130,2)</f>
        <v>0.02</v>
      </c>
      <c r="M119" s="149"/>
      <c r="N119" s="257"/>
      <c r="O119" s="0"/>
      <c r="P119" s="0"/>
      <c r="T119" s="471"/>
      <c r="U119" s="471"/>
      <c r="V119" s="431" t="s">
        <v>90</v>
      </c>
      <c r="W119" s="430"/>
      <c r="X119" s="463"/>
      <c r="Y119" s="463"/>
      <c r="Z119" s="463"/>
      <c r="AA119" s="430"/>
      <c r="AB119" s="467"/>
      <c r="AC119" s="468" t="n">
        <v>20000</v>
      </c>
      <c r="AD119" s="469" t="n">
        <f aca="false">ROUND(AC119/$AC$130,2)</f>
        <v>0.02</v>
      </c>
      <c r="AE119" s="431"/>
      <c r="AF119" s="257"/>
    </row>
    <row r="120" customFormat="false" ht="13.8" hidden="false" customHeight="false" outlineLevel="0" collapsed="false">
      <c r="B120" s="302"/>
      <c r="C120" s="302"/>
      <c r="D120" s="254" t="s">
        <v>91</v>
      </c>
      <c r="E120" s="254"/>
      <c r="F120" s="304"/>
      <c r="G120" s="304"/>
      <c r="H120" s="304"/>
      <c r="I120" s="254"/>
      <c r="J120" s="308"/>
      <c r="K120" s="309" t="n">
        <v>55000</v>
      </c>
      <c r="L120" s="256" t="n">
        <f aca="false">ROUND(K120/$K$130,2)</f>
        <v>0.06</v>
      </c>
      <c r="M120" s="149"/>
      <c r="N120" s="257"/>
      <c r="O120" s="0"/>
      <c r="P120" s="0"/>
      <c r="T120" s="471"/>
      <c r="U120" s="471"/>
      <c r="V120" s="431" t="s">
        <v>91</v>
      </c>
      <c r="W120" s="430"/>
      <c r="X120" s="463"/>
      <c r="Y120" s="463"/>
      <c r="Z120" s="463"/>
      <c r="AA120" s="430"/>
      <c r="AB120" s="467"/>
      <c r="AC120" s="468" t="n">
        <v>85000</v>
      </c>
      <c r="AD120" s="469" t="n">
        <f aca="false">ROUND(AC120/$AC$130,2)</f>
        <v>0.07</v>
      </c>
      <c r="AE120" s="431"/>
      <c r="AF120" s="257"/>
    </row>
    <row r="121" customFormat="false" ht="13.8" hidden="false" customHeight="false" outlineLevel="0" collapsed="false">
      <c r="B121" s="302"/>
      <c r="C121" s="302"/>
      <c r="D121" s="254"/>
      <c r="E121" s="1"/>
      <c r="F121" s="254"/>
      <c r="G121" s="254"/>
      <c r="H121" s="254"/>
      <c r="I121" s="254"/>
      <c r="J121" s="336" t="s">
        <v>93</v>
      </c>
      <c r="K121" s="495"/>
      <c r="L121" s="256"/>
      <c r="M121" s="149"/>
      <c r="N121" s="257"/>
      <c r="O121" s="0"/>
      <c r="P121" s="0"/>
      <c r="T121" s="471"/>
      <c r="U121" s="471"/>
      <c r="V121" s="431"/>
      <c r="W121" s="430"/>
      <c r="X121" s="430"/>
      <c r="Y121" s="430"/>
      <c r="Z121" s="430"/>
      <c r="AA121" s="430"/>
      <c r="AB121" s="496" t="s">
        <v>93</v>
      </c>
      <c r="AC121" s="497"/>
      <c r="AD121" s="469"/>
      <c r="AE121" s="431"/>
      <c r="AF121" s="257"/>
    </row>
    <row r="122" customFormat="false" ht="13.8" hidden="false" customHeight="false" outlineLevel="0" collapsed="false">
      <c r="B122" s="254"/>
      <c r="C122" s="254"/>
      <c r="D122" s="254" t="s">
        <v>148</v>
      </c>
      <c r="E122" s="254"/>
      <c r="F122" s="254"/>
      <c r="G122" s="254"/>
      <c r="H122" s="254"/>
      <c r="I122" s="254"/>
      <c r="J122" s="255"/>
      <c r="K122" s="498" t="n">
        <f aca="false">SUM(K114:K120)</f>
        <v>302927.5</v>
      </c>
      <c r="L122" s="256"/>
      <c r="M122" s="149"/>
      <c r="N122" s="257"/>
      <c r="O122" s="0"/>
      <c r="P122" s="0"/>
      <c r="T122" s="430"/>
      <c r="U122" s="430"/>
      <c r="V122" s="431" t="s">
        <v>148</v>
      </c>
      <c r="W122" s="430"/>
      <c r="X122" s="430"/>
      <c r="Y122" s="430"/>
      <c r="Z122" s="430"/>
      <c r="AA122" s="430"/>
      <c r="AB122" s="499"/>
      <c r="AC122" s="500" t="n">
        <f aca="false">SUM(AC114:AC120)</f>
        <v>376618</v>
      </c>
      <c r="AD122" s="469"/>
      <c r="AE122" s="431"/>
      <c r="AF122" s="257"/>
    </row>
    <row r="123" customFormat="false" ht="13.8" hidden="false" customHeight="false" outlineLevel="0" collapsed="false">
      <c r="B123" s="340" t="s">
        <v>124</v>
      </c>
      <c r="C123" s="254"/>
      <c r="D123" s="483" t="n">
        <f aca="false">SUM(K124:K127)</f>
        <v>314250</v>
      </c>
      <c r="E123" s="321" t="s">
        <v>74</v>
      </c>
      <c r="F123" s="322" t="n">
        <f aca="false">SUM(F124:F128)</f>
        <v>114</v>
      </c>
      <c r="G123" s="341"/>
      <c r="H123" s="342"/>
      <c r="I123" s="324"/>
      <c r="J123" s="325"/>
      <c r="K123" s="343"/>
      <c r="L123" s="327"/>
      <c r="M123" s="277"/>
      <c r="N123" s="257"/>
      <c r="O123" s="0"/>
      <c r="P123" s="0"/>
      <c r="T123" s="501" t="s">
        <v>124</v>
      </c>
      <c r="U123" s="430"/>
      <c r="V123" s="486" t="n">
        <f aca="false">SUM(AC124:AC127)</f>
        <v>326552.75</v>
      </c>
      <c r="W123" s="487" t="s">
        <v>74</v>
      </c>
      <c r="X123" s="488" t="n">
        <f aca="false">SUM(X124:X128)</f>
        <v>117</v>
      </c>
      <c r="Y123" s="502"/>
      <c r="Z123" s="503"/>
      <c r="AA123" s="491"/>
      <c r="AB123" s="492"/>
      <c r="AC123" s="482"/>
      <c r="AD123" s="493"/>
      <c r="AE123" s="442"/>
      <c r="AF123" s="257"/>
    </row>
    <row r="124" customFormat="false" ht="13.8" hidden="false" customHeight="false" outlineLevel="0" collapsed="false">
      <c r="B124" s="302"/>
      <c r="C124" s="302"/>
      <c r="D124" s="254" t="s">
        <v>79</v>
      </c>
      <c r="E124" s="254"/>
      <c r="F124" s="459" t="n">
        <v>25</v>
      </c>
      <c r="G124" s="305" t="n">
        <v>37</v>
      </c>
      <c r="H124" s="306" t="s">
        <v>80</v>
      </c>
      <c r="I124" s="307" t="n">
        <v>0.77</v>
      </c>
      <c r="J124" s="308" t="n">
        <f aca="false">360-(360*I124)</f>
        <v>82.8</v>
      </c>
      <c r="K124" s="309" t="n">
        <f aca="false">(F124*G124)*365*(1-I124)</f>
        <v>77653.75</v>
      </c>
      <c r="L124" s="256" t="n">
        <f aca="false">ROUND(K124/$K$30,2)</f>
        <v>0.08</v>
      </c>
      <c r="M124" s="149" t="n">
        <f aca="false">K124/F124</f>
        <v>3106.15</v>
      </c>
      <c r="N124" s="257"/>
      <c r="O124" s="0"/>
      <c r="P124" s="0"/>
      <c r="T124" s="471"/>
      <c r="U124" s="471"/>
      <c r="V124" s="431" t="s">
        <v>79</v>
      </c>
      <c r="W124" s="430"/>
      <c r="X124" s="463" t="n">
        <v>30</v>
      </c>
      <c r="Y124" s="481" t="n">
        <v>39</v>
      </c>
      <c r="Z124" s="465" t="s">
        <v>80</v>
      </c>
      <c r="AA124" s="470" t="n">
        <v>0.77</v>
      </c>
      <c r="AB124" s="467" t="n">
        <f aca="false">360-(360*AA124)</f>
        <v>82.8</v>
      </c>
      <c r="AC124" s="468" t="n">
        <f aca="false">(X124*Y124)*365*(1-AA124)</f>
        <v>98221.5</v>
      </c>
      <c r="AD124" s="469" t="n">
        <f aca="false">ROUND(AC124/$AC$130,2)</f>
        <v>0.08</v>
      </c>
      <c r="AE124" s="431" t="n">
        <f aca="false">AC124/X124</f>
        <v>3274.05</v>
      </c>
      <c r="AF124" s="257"/>
    </row>
    <row r="125" customFormat="false" ht="13.8" hidden="false" customHeight="false" outlineLevel="0" collapsed="false">
      <c r="B125" s="302"/>
      <c r="C125" s="302"/>
      <c r="D125" s="1" t="s">
        <v>96</v>
      </c>
      <c r="E125" s="254"/>
      <c r="F125" s="459" t="n">
        <v>35</v>
      </c>
      <c r="G125" s="305" t="n">
        <v>39</v>
      </c>
      <c r="H125" s="306" t="s">
        <v>80</v>
      </c>
      <c r="I125" s="307" t="n">
        <v>0.75</v>
      </c>
      <c r="J125" s="308" t="n">
        <f aca="false">360-(360*I125)</f>
        <v>90</v>
      </c>
      <c r="K125" s="309" t="n">
        <f aca="false">(F125*G125)*365*(1-I125)</f>
        <v>124556.25</v>
      </c>
      <c r="L125" s="256"/>
      <c r="M125" s="149" t="n">
        <f aca="false">K125/F125</f>
        <v>3558.75</v>
      </c>
      <c r="N125" s="257"/>
      <c r="O125" s="0"/>
      <c r="P125" s="0"/>
      <c r="T125" s="471"/>
      <c r="U125" s="471"/>
      <c r="V125" s="431" t="s">
        <v>96</v>
      </c>
      <c r="W125" s="430"/>
      <c r="X125" s="463" t="n">
        <v>39</v>
      </c>
      <c r="Y125" s="481" t="n">
        <v>39</v>
      </c>
      <c r="Z125" s="465" t="s">
        <v>80</v>
      </c>
      <c r="AA125" s="470" t="n">
        <v>0.75</v>
      </c>
      <c r="AB125" s="467" t="n">
        <f aca="false">360-(360*AA125)</f>
        <v>90</v>
      </c>
      <c r="AC125" s="468" t="n">
        <f aca="false">(X125*Y125)*365*(1-AA125)</f>
        <v>138791.25</v>
      </c>
      <c r="AD125" s="469" t="n">
        <f aca="false">ROUND(AC125/$AC$130,2)</f>
        <v>0.11</v>
      </c>
      <c r="AE125" s="431" t="n">
        <f aca="false">AC125/X125</f>
        <v>3558.75</v>
      </c>
      <c r="AF125" s="257"/>
    </row>
    <row r="126" customFormat="false" ht="13.8" hidden="false" customHeight="false" outlineLevel="0" collapsed="false">
      <c r="B126" s="302"/>
      <c r="C126" s="302"/>
      <c r="D126" s="254" t="s">
        <v>126</v>
      </c>
      <c r="E126" s="254"/>
      <c r="F126" s="459" t="n">
        <v>20</v>
      </c>
      <c r="G126" s="305" t="n">
        <v>675</v>
      </c>
      <c r="H126" s="306" t="s">
        <v>85</v>
      </c>
      <c r="I126" s="307" t="n">
        <v>0.75</v>
      </c>
      <c r="J126" s="308" t="n">
        <f aca="false">360-(360*I126)</f>
        <v>90</v>
      </c>
      <c r="K126" s="309" t="n">
        <f aca="false">(F126*G126)*12*(1-I126)</f>
        <v>40500</v>
      </c>
      <c r="L126" s="256" t="n">
        <f aca="false">ROUND(K126/$K$30,2)</f>
        <v>0.04</v>
      </c>
      <c r="M126" s="149" t="n">
        <f aca="false">K126/F126</f>
        <v>2025</v>
      </c>
      <c r="N126" s="257"/>
      <c r="O126" s="0"/>
      <c r="P126" s="0"/>
      <c r="T126" s="471"/>
      <c r="U126" s="471"/>
      <c r="V126" s="431" t="s">
        <v>126</v>
      </c>
      <c r="W126" s="430"/>
      <c r="X126" s="463" t="n">
        <v>18</v>
      </c>
      <c r="Y126" s="481" t="n">
        <v>455</v>
      </c>
      <c r="Z126" s="465" t="s">
        <v>85</v>
      </c>
      <c r="AA126" s="470" t="n">
        <v>0.75</v>
      </c>
      <c r="AB126" s="467" t="n">
        <f aca="false">360-(360*AA126)</f>
        <v>90</v>
      </c>
      <c r="AC126" s="468" t="n">
        <f aca="false">(X126*Y126)*12*(1-AA126)</f>
        <v>24570</v>
      </c>
      <c r="AD126" s="469" t="n">
        <f aca="false">ROUND(AC126/$AC$130,2)</f>
        <v>0.02</v>
      </c>
      <c r="AE126" s="431" t="n">
        <f aca="false">AC126/X126</f>
        <v>1365</v>
      </c>
      <c r="AF126" s="257"/>
    </row>
    <row r="127" customFormat="false" ht="13.8" hidden="false" customHeight="false" outlineLevel="0" collapsed="false">
      <c r="B127" s="302"/>
      <c r="C127" s="302"/>
      <c r="D127" s="1" t="s">
        <v>87</v>
      </c>
      <c r="E127" s="254"/>
      <c r="F127" s="304" t="n">
        <v>14</v>
      </c>
      <c r="G127" s="305" t="n">
        <v>70</v>
      </c>
      <c r="H127" s="306" t="s">
        <v>80</v>
      </c>
      <c r="I127" s="307" t="n">
        <v>0.8</v>
      </c>
      <c r="J127" s="308" t="n">
        <f aca="false">360-(360*I127)</f>
        <v>72</v>
      </c>
      <c r="K127" s="309" t="n">
        <f aca="false">(F127*G127)*365*(1-I127)</f>
        <v>71540</v>
      </c>
      <c r="L127" s="256"/>
      <c r="M127" s="149" t="n">
        <f aca="false">K127/F127</f>
        <v>5110</v>
      </c>
      <c r="N127" s="257"/>
      <c r="O127" s="0"/>
      <c r="P127" s="0"/>
      <c r="T127" s="471"/>
      <c r="U127" s="471"/>
      <c r="V127" s="431" t="s">
        <v>87</v>
      </c>
      <c r="W127" s="430"/>
      <c r="X127" s="463" t="n">
        <v>10</v>
      </c>
      <c r="Y127" s="481" t="n">
        <v>89</v>
      </c>
      <c r="Z127" s="465" t="s">
        <v>80</v>
      </c>
      <c r="AA127" s="470" t="n">
        <v>0.8</v>
      </c>
      <c r="AB127" s="467" t="n">
        <f aca="false">360-(360*AA127)</f>
        <v>72</v>
      </c>
      <c r="AC127" s="468" t="n">
        <f aca="false">(X127*Y127)*365*(1-AA127)</f>
        <v>64970</v>
      </c>
      <c r="AD127" s="469" t="n">
        <f aca="false">ROUND(AC127/$AC$130,2)</f>
        <v>0.05</v>
      </c>
      <c r="AE127" s="431" t="n">
        <f aca="false">AC127/X127</f>
        <v>6497</v>
      </c>
      <c r="AF127" s="257"/>
    </row>
    <row r="128" customFormat="false" ht="13.8" hidden="false" customHeight="false" outlineLevel="0" collapsed="false">
      <c r="B128" s="302"/>
      <c r="C128" s="302"/>
      <c r="D128" s="254" t="s">
        <v>127</v>
      </c>
      <c r="E128" s="254"/>
      <c r="F128" s="459" t="n">
        <v>20</v>
      </c>
      <c r="G128" s="305" t="n">
        <v>299</v>
      </c>
      <c r="H128" s="306" t="s">
        <v>85</v>
      </c>
      <c r="I128" s="307" t="n">
        <v>0.1</v>
      </c>
      <c r="J128" s="308" t="n">
        <f aca="false">360-(360*I128)</f>
        <v>324</v>
      </c>
      <c r="K128" s="289" t="n">
        <f aca="false">(F128*G128)*12*(1-I128)</f>
        <v>64584</v>
      </c>
      <c r="L128" s="256" t="n">
        <f aca="false">ROUND(K128/$K$30,2)</f>
        <v>0.07</v>
      </c>
      <c r="M128" s="149" t="n">
        <f aca="false">K128/F128</f>
        <v>3229.2</v>
      </c>
      <c r="N128" s="257"/>
      <c r="O128" s="0"/>
      <c r="P128" s="0"/>
      <c r="T128" s="471"/>
      <c r="U128" s="471"/>
      <c r="V128" s="431" t="s">
        <v>127</v>
      </c>
      <c r="W128" s="430"/>
      <c r="X128" s="463" t="n">
        <v>20</v>
      </c>
      <c r="Y128" s="481" t="n">
        <v>299</v>
      </c>
      <c r="Z128" s="465" t="s">
        <v>85</v>
      </c>
      <c r="AA128" s="470" t="n">
        <v>0.1</v>
      </c>
      <c r="AB128" s="467" t="n">
        <f aca="false">360-(360*AA128)</f>
        <v>324</v>
      </c>
      <c r="AC128" s="504" t="n">
        <f aca="false">(X128*Y128)*12*(1-AA128)</f>
        <v>64584</v>
      </c>
      <c r="AD128" s="469" t="n">
        <f aca="false">ROUND(AC128/$AC$130,2)</f>
        <v>0.05</v>
      </c>
      <c r="AE128" s="431" t="n">
        <f aca="false">AC128/X128</f>
        <v>3229.2</v>
      </c>
      <c r="AF128" s="257"/>
    </row>
    <row r="129" customFormat="false" ht="13.8" hidden="false" customHeight="false" outlineLevel="0" collapsed="false">
      <c r="B129" s="254"/>
      <c r="C129" s="254"/>
      <c r="D129" s="302" t="n">
        <f aca="false">D106+D113+D123</f>
        <v>804226</v>
      </c>
      <c r="E129" s="254"/>
      <c r="F129" s="287"/>
      <c r="G129" s="304"/>
      <c r="H129" s="304"/>
      <c r="I129" s="257"/>
      <c r="J129" s="505"/>
      <c r="K129" s="506" t="n">
        <f aca="false">SUM(K124:K128)</f>
        <v>378834</v>
      </c>
      <c r="L129" s="362"/>
      <c r="M129" s="149"/>
      <c r="N129" s="257"/>
      <c r="O129" s="0"/>
      <c r="P129" s="0"/>
      <c r="T129" s="430"/>
      <c r="U129" s="430"/>
      <c r="V129" s="507" t="n">
        <f aca="false">V106+V113+V123</f>
        <v>1115883.5</v>
      </c>
      <c r="W129" s="430"/>
      <c r="X129" s="453"/>
      <c r="Y129" s="463"/>
      <c r="Z129" s="463"/>
      <c r="AA129" s="494"/>
      <c r="AB129" s="508"/>
      <c r="AC129" s="497" t="n">
        <f aca="false">SUM(AC124:AC128)</f>
        <v>391136.75</v>
      </c>
      <c r="AD129" s="509"/>
      <c r="AE129" s="431"/>
      <c r="AF129" s="257"/>
    </row>
    <row r="130" customFormat="false" ht="13.8" hidden="false" customHeight="false" outlineLevel="0" collapsed="false">
      <c r="B130" s="254"/>
      <c r="C130" s="254"/>
      <c r="D130" s="371" t="s">
        <v>149</v>
      </c>
      <c r="E130" s="275"/>
      <c r="F130" s="263"/>
      <c r="G130" s="276"/>
      <c r="H130" s="276"/>
      <c r="I130" s="321"/>
      <c r="J130" s="372"/>
      <c r="K130" s="495" t="n">
        <f aca="false">K112+K122+K129</f>
        <v>947810</v>
      </c>
      <c r="L130" s="256" t="n">
        <f aca="false">ROUND(K130/$K$130,2)</f>
        <v>1</v>
      </c>
      <c r="M130" s="277"/>
      <c r="N130" s="257"/>
      <c r="O130" s="0"/>
      <c r="P130" s="0"/>
      <c r="T130" s="430"/>
      <c r="U130" s="430"/>
      <c r="V130" s="510" t="s">
        <v>149</v>
      </c>
      <c r="W130" s="490"/>
      <c r="X130" s="490"/>
      <c r="Y130" s="443"/>
      <c r="Z130" s="443"/>
      <c r="AA130" s="487"/>
      <c r="AB130" s="511"/>
      <c r="AC130" s="442" t="n">
        <f aca="false">AC112+AC122+AC129</f>
        <v>1289467.5</v>
      </c>
      <c r="AD130" s="493" t="n">
        <f aca="false">ROUND(AC130/$AC$130,2)</f>
        <v>1</v>
      </c>
      <c r="AE130" s="442"/>
      <c r="AF130" s="257"/>
    </row>
    <row r="131" customFormat="false" ht="13.8" hidden="false" customHeight="false" outlineLevel="0" collapsed="false">
      <c r="B131" s="254"/>
      <c r="C131" s="254"/>
      <c r="D131" s="371"/>
      <c r="E131" s="275"/>
      <c r="F131" s="263"/>
      <c r="G131" s="276"/>
      <c r="H131" s="276"/>
      <c r="I131" s="321"/>
      <c r="J131" s="372"/>
      <c r="K131" s="512"/>
      <c r="L131" s="327"/>
      <c r="M131" s="277"/>
      <c r="N131" s="257"/>
      <c r="O131" s="0"/>
      <c r="P131" s="0"/>
      <c r="T131" s="430"/>
      <c r="U131" s="430"/>
      <c r="V131" s="510"/>
      <c r="W131" s="490"/>
      <c r="X131" s="452"/>
      <c r="Y131" s="443"/>
      <c r="Z131" s="443"/>
      <c r="AA131" s="487"/>
      <c r="AB131" s="511"/>
      <c r="AC131" s="513"/>
      <c r="AD131" s="493"/>
      <c r="AE131" s="442"/>
      <c r="AF131" s="257"/>
    </row>
    <row r="132" customFormat="false" ht="13.75" hidden="false" customHeight="true" outlineLevel="0" collapsed="false">
      <c r="B132" s="254"/>
      <c r="C132" s="254"/>
      <c r="D132" s="387"/>
      <c r="E132" s="388"/>
      <c r="F132" s="388"/>
      <c r="G132" s="258"/>
      <c r="H132" s="258"/>
      <c r="I132" s="388"/>
      <c r="J132" s="389"/>
      <c r="K132" s="390"/>
      <c r="L132" s="256"/>
      <c r="M132" s="149"/>
      <c r="N132" s="257"/>
      <c r="O132" s="149"/>
      <c r="P132" s="0"/>
      <c r="T132" s="430"/>
      <c r="U132" s="430"/>
      <c r="V132" s="514"/>
      <c r="W132" s="437" t="s">
        <v>131</v>
      </c>
      <c r="X132" s="437"/>
      <c r="Y132" s="437"/>
      <c r="Z132" s="437"/>
      <c r="AA132" s="437"/>
      <c r="AB132" s="437"/>
      <c r="AC132" s="437"/>
      <c r="AD132" s="437"/>
      <c r="AE132" s="514"/>
      <c r="AF132" s="257"/>
    </row>
    <row r="133" customFormat="false" ht="13.75" hidden="false" customHeight="true" outlineLevel="0" collapsed="false">
      <c r="B133" s="254"/>
      <c r="C133" s="254"/>
      <c r="D133" s="263"/>
      <c r="E133" s="264" t="s">
        <v>131</v>
      </c>
      <c r="F133" s="264"/>
      <c r="G133" s="264"/>
      <c r="H133" s="264"/>
      <c r="I133" s="264"/>
      <c r="J133" s="264"/>
      <c r="K133" s="264"/>
      <c r="L133" s="264"/>
      <c r="M133" s="392"/>
      <c r="N133" s="257"/>
      <c r="O133" s="149"/>
      <c r="P133" s="0"/>
      <c r="T133" s="430"/>
      <c r="U133" s="430"/>
      <c r="V133" s="431" t="s">
        <v>103</v>
      </c>
      <c r="W133" s="430"/>
      <c r="X133" s="430"/>
      <c r="Y133" s="430"/>
      <c r="Z133" s="430"/>
      <c r="AA133" s="430"/>
      <c r="AB133" s="499"/>
      <c r="AC133" s="431" t="n">
        <f aca="false">$V$129*0.1</f>
        <v>111588.35</v>
      </c>
      <c r="AD133" s="469" t="n">
        <f aca="false">ROUND(AC133/$AC$130,2)</f>
        <v>0.09</v>
      </c>
      <c r="AE133" s="515" t="n">
        <f aca="false">AC133/($X$106+$X$113+$X$123)</f>
        <v>401.396942446043</v>
      </c>
      <c r="AF133" s="257"/>
    </row>
    <row r="134" customFormat="false" ht="13.8" hidden="false" customHeight="false" outlineLevel="0" collapsed="false">
      <c r="B134" s="254"/>
      <c r="C134" s="254"/>
      <c r="D134" s="254" t="s">
        <v>103</v>
      </c>
      <c r="E134" s="254"/>
      <c r="F134" s="254"/>
      <c r="G134" s="254"/>
      <c r="H134" s="254"/>
      <c r="I134" s="254"/>
      <c r="J134" s="255"/>
      <c r="K134" s="149" t="n">
        <f aca="false">$D$129*0.1</f>
        <v>80422.6</v>
      </c>
      <c r="L134" s="256" t="n">
        <f aca="false">ROUND(K134/$K$130,2)</f>
        <v>0.08</v>
      </c>
      <c r="M134" s="393" t="n">
        <f aca="false">K134/($F$106+$F$113+$F$123)</f>
        <v>292.445818181818</v>
      </c>
      <c r="N134" s="257"/>
      <c r="O134" s="149"/>
      <c r="P134" s="0"/>
      <c r="T134" s="430"/>
      <c r="U134" s="430"/>
      <c r="V134" s="431" t="s">
        <v>133</v>
      </c>
      <c r="W134" s="430"/>
      <c r="X134" s="430"/>
      <c r="Y134" s="430"/>
      <c r="Z134" s="430"/>
      <c r="AA134" s="430"/>
      <c r="AB134" s="499"/>
      <c r="AC134" s="516" t="n">
        <f aca="false">((AC107+AC108+AC114+AC124+AC125)*0.67)*0.1</f>
        <v>61978.752</v>
      </c>
      <c r="AD134" s="469" t="n">
        <f aca="false">ROUND(AC134/$AC$130,2)</f>
        <v>0.05</v>
      </c>
      <c r="AE134" s="515" t="n">
        <f aca="false">AC134/($X$106+$X$113+$X$123)</f>
        <v>222.945151079137</v>
      </c>
      <c r="AF134" s="257"/>
    </row>
    <row r="135" customFormat="false" ht="13.8" hidden="false" customHeight="false" outlineLevel="0" collapsed="false">
      <c r="B135" s="254"/>
      <c r="C135" s="254"/>
      <c r="D135" s="254" t="s">
        <v>133</v>
      </c>
      <c r="E135" s="254"/>
      <c r="F135" s="254"/>
      <c r="G135" s="254"/>
      <c r="H135" s="254"/>
      <c r="I135" s="254"/>
      <c r="J135" s="255"/>
      <c r="K135" s="149" t="n">
        <f aca="false">$D$129*0.08</f>
        <v>64338.08</v>
      </c>
      <c r="L135" s="256" t="n">
        <f aca="false">ROUND(K135/$K$79,2)</f>
        <v>0.03</v>
      </c>
      <c r="M135" s="393" t="n">
        <f aca="false">K135/($F$106+$F$113+$F$123)</f>
        <v>233.956654545455</v>
      </c>
      <c r="N135" s="257"/>
      <c r="O135" s="149"/>
      <c r="P135" s="0"/>
      <c r="T135" s="430"/>
      <c r="U135" s="430"/>
      <c r="V135" s="431" t="s">
        <v>104</v>
      </c>
      <c r="W135" s="430"/>
      <c r="X135" s="430"/>
      <c r="Y135" s="430"/>
      <c r="Z135" s="430"/>
      <c r="AA135" s="430"/>
      <c r="AB135" s="499"/>
      <c r="AC135" s="431" t="n">
        <v>235000</v>
      </c>
      <c r="AD135" s="469" t="n">
        <f aca="false">ROUND(AC135/$AC$130,2)</f>
        <v>0.18</v>
      </c>
      <c r="AE135" s="515" t="n">
        <f aca="false">AC135/($X$106+$X$113+$X$123)</f>
        <v>845.323741007194</v>
      </c>
      <c r="AF135" s="257"/>
    </row>
    <row r="136" customFormat="false" ht="13.8" hidden="false" customHeight="false" outlineLevel="0" collapsed="false">
      <c r="B136" s="254"/>
      <c r="C136" s="254"/>
      <c r="D136" s="254" t="s">
        <v>104</v>
      </c>
      <c r="E136" s="254"/>
      <c r="F136" s="254"/>
      <c r="G136" s="254"/>
      <c r="H136" s="254"/>
      <c r="I136" s="254"/>
      <c r="J136" s="255"/>
      <c r="K136" s="149" t="n">
        <v>140000</v>
      </c>
      <c r="L136" s="256" t="n">
        <f aca="false">ROUND(K136/$K$130,2)</f>
        <v>0.15</v>
      </c>
      <c r="M136" s="393" t="n">
        <f aca="false">K136/($F$106+$F$113+$F$123)</f>
        <v>509.090909090909</v>
      </c>
      <c r="N136" s="0"/>
      <c r="O136" s="0"/>
      <c r="P136" s="0"/>
      <c r="T136" s="430"/>
      <c r="U136" s="430"/>
      <c r="V136" s="431" t="s">
        <v>51</v>
      </c>
      <c r="W136" s="430"/>
      <c r="X136" s="430"/>
      <c r="Y136" s="430"/>
      <c r="Z136" s="430"/>
      <c r="AA136" s="430"/>
      <c r="AB136" s="499"/>
      <c r="AC136" s="431" t="n">
        <v>30000</v>
      </c>
      <c r="AD136" s="469" t="n">
        <f aca="false">ROUND(AC136/$AC$130,2)</f>
        <v>0.02</v>
      </c>
      <c r="AE136" s="515" t="n">
        <f aca="false">AC136/($X$106+$X$113+$X$123)</f>
        <v>107.913669064748</v>
      </c>
    </row>
    <row r="137" customFormat="false" ht="13.8" hidden="false" customHeight="false" outlineLevel="0" collapsed="false">
      <c r="B137" s="254"/>
      <c r="C137" s="254"/>
      <c r="D137" s="254" t="s">
        <v>51</v>
      </c>
      <c r="E137" s="254"/>
      <c r="F137" s="254"/>
      <c r="G137" s="254"/>
      <c r="H137" s="254"/>
      <c r="I137" s="254"/>
      <c r="J137" s="255"/>
      <c r="K137" s="149" t="n">
        <v>15000</v>
      </c>
      <c r="L137" s="256" t="n">
        <f aca="false">ROUND(K137/$K$130,2)</f>
        <v>0.02</v>
      </c>
      <c r="M137" s="393" t="n">
        <f aca="false">K137/($F$106+$F$113+$F$123)</f>
        <v>54.5454545454546</v>
      </c>
      <c r="N137" s="0"/>
      <c r="O137" s="0"/>
      <c r="P137" s="0"/>
      <c r="T137" s="430"/>
      <c r="U137" s="430"/>
      <c r="V137" s="431" t="s">
        <v>105</v>
      </c>
      <c r="W137" s="430"/>
      <c r="X137" s="430"/>
      <c r="Y137" s="430"/>
      <c r="Z137" s="430"/>
      <c r="AA137" s="430"/>
      <c r="AB137" s="499"/>
      <c r="AC137" s="431" t="n">
        <v>0</v>
      </c>
      <c r="AD137" s="469" t="n">
        <f aca="false">ROUND(AC137/$AC$130,2)</f>
        <v>0</v>
      </c>
      <c r="AE137" s="515" t="n">
        <f aca="false">AC137/($X$106+$X$113+$X$123)</f>
        <v>0</v>
      </c>
    </row>
    <row r="138" customFormat="false" ht="13.8" hidden="false" customHeight="false" outlineLevel="0" collapsed="false">
      <c r="B138" s="254"/>
      <c r="C138" s="254"/>
      <c r="D138" s="254" t="s">
        <v>105</v>
      </c>
      <c r="E138" s="254"/>
      <c r="F138" s="254"/>
      <c r="G138" s="254"/>
      <c r="H138" s="254"/>
      <c r="I138" s="254"/>
      <c r="J138" s="255"/>
      <c r="K138" s="495" t="n">
        <v>0</v>
      </c>
      <c r="L138" s="256" t="n">
        <f aca="false">ROUND(K138/$K$130,2)</f>
        <v>0</v>
      </c>
      <c r="M138" s="393" t="n">
        <f aca="false">K138/($F$106+$F$113+$F$123)</f>
        <v>0</v>
      </c>
      <c r="N138" s="0"/>
      <c r="O138" s="0"/>
      <c r="P138" s="0"/>
      <c r="T138" s="430"/>
      <c r="U138" s="430"/>
      <c r="V138" s="431" t="s">
        <v>52</v>
      </c>
      <c r="W138" s="430"/>
      <c r="X138" s="430"/>
      <c r="Y138" s="430"/>
      <c r="Z138" s="430"/>
      <c r="AA138" s="430"/>
      <c r="AB138" s="499"/>
      <c r="AC138" s="516" t="n">
        <v>35000</v>
      </c>
      <c r="AD138" s="469" t="n">
        <f aca="false">ROUND(AC138/$AC$130,2)</f>
        <v>0.03</v>
      </c>
      <c r="AE138" s="515" t="n">
        <f aca="false">AC138/($X$106+$X$113+$X$123)</f>
        <v>125.89928057554</v>
      </c>
    </row>
    <row r="139" customFormat="false" ht="13.8" hidden="false" customHeight="false" outlineLevel="0" collapsed="false">
      <c r="B139" s="254"/>
      <c r="C139" s="254"/>
      <c r="D139" s="254" t="s">
        <v>52</v>
      </c>
      <c r="E139" s="254"/>
      <c r="F139" s="254"/>
      <c r="G139" s="254"/>
      <c r="H139" s="254"/>
      <c r="I139" s="254"/>
      <c r="J139" s="255"/>
      <c r="K139" s="53" t="n">
        <v>35000</v>
      </c>
      <c r="L139" s="256" t="n">
        <f aca="false">ROUND(K139/$K$79,2)</f>
        <v>0.02</v>
      </c>
      <c r="M139" s="393" t="n">
        <f aca="false">K139/($F$55+$F$62+$F$72)</f>
        <v>112.903225806452</v>
      </c>
      <c r="N139" s="0"/>
      <c r="O139" s="0"/>
      <c r="P139" s="0"/>
      <c r="T139" s="430"/>
      <c r="U139" s="430"/>
      <c r="V139" s="431" t="s">
        <v>53</v>
      </c>
      <c r="W139" s="430"/>
      <c r="X139" s="430"/>
      <c r="Y139" s="430"/>
      <c r="Z139" s="430"/>
      <c r="AA139" s="430"/>
      <c r="AB139" s="499"/>
      <c r="AC139" s="431" t="n">
        <v>12000</v>
      </c>
      <c r="AD139" s="469" t="n">
        <f aca="false">ROUND(AC139/$AC$130,2)</f>
        <v>0.01</v>
      </c>
      <c r="AE139" s="515" t="n">
        <f aca="false">AC139/($X$106+$X$113+$X$123)</f>
        <v>43.1654676258993</v>
      </c>
    </row>
    <row r="140" customFormat="false" ht="13.8" hidden="false" customHeight="false" outlineLevel="0" collapsed="false">
      <c r="B140" s="254"/>
      <c r="C140" s="254"/>
      <c r="D140" s="254" t="s">
        <v>53</v>
      </c>
      <c r="E140" s="254"/>
      <c r="F140" s="254"/>
      <c r="G140" s="254"/>
      <c r="H140" s="254"/>
      <c r="I140" s="254"/>
      <c r="J140" s="255"/>
      <c r="K140" s="149" t="n">
        <v>12000</v>
      </c>
      <c r="L140" s="256" t="n">
        <f aca="false">ROUND(K140/$K$130,2)</f>
        <v>0.01</v>
      </c>
      <c r="M140" s="393" t="n">
        <f aca="false">K140/($F$106+$F$113+$F$123)</f>
        <v>43.6363636363636</v>
      </c>
      <c r="N140" s="0"/>
      <c r="O140" s="0"/>
      <c r="P140" s="0"/>
      <c r="T140" s="430"/>
      <c r="U140" s="430"/>
      <c r="V140" s="431" t="s">
        <v>54</v>
      </c>
      <c r="W140" s="430"/>
      <c r="X140" s="430"/>
      <c r="Y140" s="430"/>
      <c r="Z140" s="430"/>
      <c r="AA140" s="430"/>
      <c r="AB140" s="499"/>
      <c r="AC140" s="431" t="n">
        <v>45000</v>
      </c>
      <c r="AD140" s="469" t="n">
        <f aca="false">ROUND(AC140/$AC$130,2)</f>
        <v>0.03</v>
      </c>
      <c r="AE140" s="515" t="n">
        <f aca="false">AC140/($X$106+$X$113+$X$123)</f>
        <v>161.870503597122</v>
      </c>
    </row>
    <row r="141" customFormat="false" ht="13.8" hidden="false" customHeight="false" outlineLevel="0" collapsed="false">
      <c r="B141" s="254"/>
      <c r="C141" s="254"/>
      <c r="D141" s="254" t="s">
        <v>54</v>
      </c>
      <c r="E141" s="254"/>
      <c r="F141" s="254"/>
      <c r="G141" s="254"/>
      <c r="H141" s="254"/>
      <c r="I141" s="254"/>
      <c r="J141" s="255"/>
      <c r="K141" s="149" t="n">
        <v>45000</v>
      </c>
      <c r="L141" s="256" t="n">
        <f aca="false">ROUND(K141/$K$130,2)</f>
        <v>0.05</v>
      </c>
      <c r="M141" s="393" t="n">
        <f aca="false">K141/($F$106+$F$113+$F$123)</f>
        <v>163.636363636364</v>
      </c>
      <c r="N141" s="0"/>
      <c r="O141" s="0"/>
      <c r="P141" s="0"/>
      <c r="T141" s="430"/>
      <c r="U141" s="430"/>
      <c r="V141" s="431" t="s">
        <v>55</v>
      </c>
      <c r="W141" s="430"/>
      <c r="X141" s="430"/>
      <c r="Y141" s="430"/>
      <c r="Z141" s="430"/>
      <c r="AA141" s="430"/>
      <c r="AB141" s="499"/>
      <c r="AC141" s="431" t="n">
        <v>5000</v>
      </c>
      <c r="AD141" s="469" t="n">
        <f aca="false">ROUND(AC141/$AC$130,2)</f>
        <v>0</v>
      </c>
      <c r="AE141" s="515" t="n">
        <f aca="false">AC141/($X$106+$X$113+$X$123)</f>
        <v>17.9856115107914</v>
      </c>
    </row>
    <row r="142" customFormat="false" ht="13.8" hidden="false" customHeight="false" outlineLevel="0" collapsed="false">
      <c r="B142" s="254"/>
      <c r="C142" s="254"/>
      <c r="D142" s="254" t="s">
        <v>55</v>
      </c>
      <c r="E142" s="254"/>
      <c r="F142" s="254"/>
      <c r="G142" s="254"/>
      <c r="H142" s="254"/>
      <c r="I142" s="254"/>
      <c r="J142" s="255"/>
      <c r="K142" s="149" t="n">
        <v>5000</v>
      </c>
      <c r="L142" s="256" t="n">
        <f aca="false">ROUND(K142/$K$130,2)</f>
        <v>0.01</v>
      </c>
      <c r="M142" s="393" t="n">
        <f aca="false">K142/($F$106+$F$113+$F$123)</f>
        <v>18.1818181818182</v>
      </c>
      <c r="N142" s="0"/>
      <c r="O142" s="0"/>
      <c r="P142" s="0"/>
      <c r="T142" s="430"/>
      <c r="U142" s="430"/>
      <c r="V142" s="431" t="s">
        <v>106</v>
      </c>
      <c r="W142" s="430"/>
      <c r="X142" s="430"/>
      <c r="Y142" s="430"/>
      <c r="Z142" s="430"/>
      <c r="AA142" s="430"/>
      <c r="AB142" s="499"/>
      <c r="AC142" s="431" t="n">
        <v>50000</v>
      </c>
      <c r="AD142" s="469" t="n">
        <f aca="false">ROUND(AC142/$AC$130,2)</f>
        <v>0.04</v>
      </c>
      <c r="AE142" s="515" t="n">
        <f aca="false">AC142/($X$106+$X$113+$X$123)</f>
        <v>179.856115107914</v>
      </c>
    </row>
    <row r="143" customFormat="false" ht="13.8" hidden="false" customHeight="false" outlineLevel="0" collapsed="false">
      <c r="B143" s="254"/>
      <c r="C143" s="254"/>
      <c r="D143" s="254" t="s">
        <v>106</v>
      </c>
      <c r="E143" s="254"/>
      <c r="F143" s="254"/>
      <c r="G143" s="254"/>
      <c r="H143" s="254"/>
      <c r="I143" s="254"/>
      <c r="J143" s="255"/>
      <c r="K143" s="149" t="n">
        <v>50000</v>
      </c>
      <c r="L143" s="256" t="n">
        <f aca="false">ROUND(K143/$K$130,2)</f>
        <v>0.05</v>
      </c>
      <c r="M143" s="393" t="n">
        <f aca="false">K143/($F$106+$F$113+$F$123)</f>
        <v>181.818181818182</v>
      </c>
      <c r="N143" s="257"/>
      <c r="O143" s="149"/>
      <c r="P143" s="0"/>
      <c r="T143" s="430"/>
      <c r="U143" s="430"/>
      <c r="V143" s="431" t="s">
        <v>57</v>
      </c>
      <c r="W143" s="430"/>
      <c r="X143" s="430"/>
      <c r="Y143" s="430"/>
      <c r="Z143" s="430"/>
      <c r="AA143" s="430"/>
      <c r="AB143" s="499"/>
      <c r="AC143" s="431" t="n">
        <v>40000</v>
      </c>
      <c r="AD143" s="469" t="n">
        <f aca="false">ROUND(AC143/$AC$130,2)</f>
        <v>0.03</v>
      </c>
      <c r="AE143" s="515" t="n">
        <f aca="false">AC143/($X$106+$X$113+$X$123)</f>
        <v>143.884892086331</v>
      </c>
      <c r="AF143" s="257"/>
    </row>
    <row r="144" customFormat="false" ht="13.8" hidden="false" customHeight="false" outlineLevel="0" collapsed="false">
      <c r="B144" s="254"/>
      <c r="C144" s="254"/>
      <c r="D144" s="254" t="s">
        <v>57</v>
      </c>
      <c r="E144" s="254"/>
      <c r="F144" s="254"/>
      <c r="G144" s="254"/>
      <c r="H144" s="254"/>
      <c r="I144" s="254"/>
      <c r="J144" s="255"/>
      <c r="K144" s="149" t="n">
        <v>30000</v>
      </c>
      <c r="L144" s="256" t="n">
        <f aca="false">ROUND(K144/$K$130,2)</f>
        <v>0.03</v>
      </c>
      <c r="M144" s="393" t="n">
        <f aca="false">K144/($F$106+$F$113+$F$123)</f>
        <v>109.090909090909</v>
      </c>
      <c r="N144" s="257"/>
      <c r="O144" s="149"/>
      <c r="P144" s="0"/>
      <c r="T144" s="430"/>
      <c r="U144" s="430"/>
      <c r="V144" s="514" t="s">
        <v>140</v>
      </c>
      <c r="W144" s="452"/>
      <c r="X144" s="452"/>
      <c r="Y144" s="452"/>
      <c r="Z144" s="452"/>
      <c r="AA144" s="452"/>
      <c r="AB144" s="517"/>
      <c r="AC144" s="497" t="n">
        <v>30000</v>
      </c>
      <c r="AD144" s="469" t="n">
        <f aca="false">ROUND(AC144/$AC$130,2)</f>
        <v>0.02</v>
      </c>
      <c r="AE144" s="515" t="n">
        <f aca="false">AC144/($X$106+$X$113+$X$123)</f>
        <v>107.913669064748</v>
      </c>
      <c r="AF144" s="257"/>
    </row>
    <row r="145" customFormat="false" ht="13.8" hidden="false" customHeight="false" outlineLevel="0" collapsed="false">
      <c r="B145" s="254"/>
      <c r="C145" s="254"/>
      <c r="D145" s="263" t="s">
        <v>140</v>
      </c>
      <c r="E145" s="263"/>
      <c r="F145" s="263"/>
      <c r="G145" s="263"/>
      <c r="H145" s="263"/>
      <c r="I145" s="263"/>
      <c r="J145" s="396"/>
      <c r="K145" s="392" t="n">
        <v>30000</v>
      </c>
      <c r="L145" s="256" t="n">
        <f aca="false">ROUND(K145/$K$130,2)</f>
        <v>0.03</v>
      </c>
      <c r="M145" s="393" t="n">
        <f aca="false">K145/($F$106+$F$113+$F$123)</f>
        <v>109.090909090909</v>
      </c>
      <c r="N145" s="257"/>
      <c r="O145" s="149"/>
      <c r="P145" s="0"/>
      <c r="T145" s="430"/>
      <c r="U145" s="430"/>
      <c r="V145" s="442" t="s">
        <v>108</v>
      </c>
      <c r="W145" s="490"/>
      <c r="X145" s="490"/>
      <c r="Y145" s="490"/>
      <c r="Z145" s="490"/>
      <c r="AA145" s="490"/>
      <c r="AB145" s="511"/>
      <c r="AC145" s="510" t="n">
        <f aca="false">SUM(AC133:AC144)</f>
        <v>655567.102</v>
      </c>
      <c r="AD145" s="493" t="n">
        <f aca="false">ROUND(AC145/$AC$130,2)</f>
        <v>0.51</v>
      </c>
      <c r="AE145" s="442" t="n">
        <f aca="false">AC145/(X113+X106+X123)</f>
        <v>2358.15504316547</v>
      </c>
      <c r="AF145" s="257"/>
    </row>
    <row r="146" customFormat="false" ht="13.8" hidden="false" customHeight="false" outlineLevel="0" collapsed="false">
      <c r="B146" s="254"/>
      <c r="C146" s="254"/>
      <c r="D146" s="263" t="s">
        <v>108</v>
      </c>
      <c r="E146" s="263"/>
      <c r="F146" s="263"/>
      <c r="G146" s="263"/>
      <c r="H146" s="263"/>
      <c r="I146" s="263"/>
      <c r="J146" s="396"/>
      <c r="K146" s="397" t="n">
        <f aca="false">SUM(K134:K145)</f>
        <v>506760.68</v>
      </c>
      <c r="L146" s="327" t="n">
        <f aca="false">ROUND(K146/$K$130,2)</f>
        <v>0.53</v>
      </c>
      <c r="M146" s="277" t="n">
        <f aca="false">K146/(F113+F106+F123)</f>
        <v>1842.76610909091</v>
      </c>
      <c r="N146" s="257"/>
      <c r="O146" s="149"/>
      <c r="P146" s="0"/>
      <c r="T146" s="430"/>
      <c r="U146" s="430"/>
      <c r="V146" s="510" t="s">
        <v>142</v>
      </c>
      <c r="W146" s="490"/>
      <c r="X146" s="490"/>
      <c r="Y146" s="518"/>
      <c r="Z146" s="518"/>
      <c r="AA146" s="490"/>
      <c r="AB146" s="511"/>
      <c r="AC146" s="510" t="n">
        <f aca="false">AC130-AC145</f>
        <v>633900.398</v>
      </c>
      <c r="AD146" s="493" t="n">
        <f aca="false">ROUND(AC146/AC130,2)</f>
        <v>0.49</v>
      </c>
      <c r="AE146" s="442" t="n">
        <f aca="false">AC146/(X113+X106+X123)</f>
        <v>2280.21725899281</v>
      </c>
      <c r="AF146" s="257"/>
    </row>
    <row r="147" customFormat="false" ht="13.8" hidden="false" customHeight="false" outlineLevel="0" collapsed="false">
      <c r="B147" s="254"/>
      <c r="C147" s="254"/>
      <c r="D147" s="254"/>
      <c r="E147" s="254"/>
      <c r="F147" s="254"/>
      <c r="G147" s="408"/>
      <c r="H147" s="408"/>
      <c r="I147" s="254"/>
      <c r="J147" s="255"/>
      <c r="K147" s="149"/>
      <c r="L147" s="256"/>
      <c r="M147" s="149"/>
      <c r="N147" s="257"/>
      <c r="O147" s="149"/>
      <c r="P147" s="0"/>
      <c r="T147" s="430"/>
      <c r="U147" s="519"/>
      <c r="V147" s="520"/>
      <c r="W147" s="519"/>
      <c r="X147" s="519"/>
      <c r="Y147" s="521"/>
      <c r="Z147" s="521"/>
      <c r="AA147" s="519"/>
      <c r="AB147" s="522"/>
      <c r="AC147" s="10"/>
      <c r="AD147" s="10"/>
      <c r="AE147" s="67"/>
      <c r="AF147" s="523" t="n">
        <f aca="false">AC146/12</f>
        <v>52825.0331666667</v>
      </c>
    </row>
    <row r="148" customFormat="false" ht="13.8" hidden="false" customHeight="false" outlineLevel="0" collapsed="false">
      <c r="B148" s="254"/>
      <c r="C148" s="283"/>
      <c r="D148" s="283" t="s">
        <v>142</v>
      </c>
      <c r="E148" s="263"/>
      <c r="F148" s="263"/>
      <c r="G148" s="524"/>
      <c r="H148" s="524"/>
      <c r="I148" s="263"/>
      <c r="J148" s="396"/>
      <c r="K148" s="411" t="n">
        <f aca="false">K130-K146</f>
        <v>441049.32</v>
      </c>
      <c r="L148" s="362" t="n">
        <f aca="false">ROUND(K148/K130,2)</f>
        <v>0.47</v>
      </c>
      <c r="M148" s="392" t="n">
        <f aca="false">K148/(F113+F106+F123)</f>
        <v>1603.81570909091</v>
      </c>
      <c r="N148" s="523" t="n">
        <f aca="false">K148/12</f>
        <v>36754.11</v>
      </c>
      <c r="O148" s="249" t="s">
        <v>110</v>
      </c>
      <c r="P148" s="0"/>
      <c r="T148" s="430"/>
      <c r="U148" s="10"/>
      <c r="V148" s="525" t="s">
        <v>143</v>
      </c>
      <c r="W148" s="10"/>
      <c r="X148" s="10"/>
      <c r="Y148" s="10"/>
      <c r="Z148" s="10"/>
      <c r="AA148" s="10"/>
      <c r="AB148" s="10"/>
      <c r="AC148" s="526" t="n">
        <f aca="false">AC146/0.08</f>
        <v>7923754.975</v>
      </c>
      <c r="AD148" s="10"/>
      <c r="AE148" s="67"/>
    </row>
    <row r="149" customFormat="false" ht="13.05" hidden="false" customHeight="true" outlineLevel="0" collapsed="false">
      <c r="D149" s="527"/>
      <c r="E149" s="528"/>
      <c r="F149" s="528"/>
      <c r="G149" s="529"/>
      <c r="H149" s="529"/>
      <c r="I149" s="528"/>
      <c r="J149" s="389"/>
      <c r="K149" s="0"/>
      <c r="P149" s="0"/>
      <c r="T149" s="10"/>
      <c r="U149" s="10"/>
      <c r="AF149" s="144"/>
    </row>
    <row r="150" customFormat="false" ht="13.8" hidden="false" customHeight="false" outlineLevel="0" collapsed="false">
      <c r="D150" s="417" t="s">
        <v>143</v>
      </c>
      <c r="K150" s="418" t="n">
        <f aca="false">K148/0.08</f>
        <v>5513116.5</v>
      </c>
      <c r="P150" s="0"/>
      <c r="T150" s="10"/>
      <c r="U150" s="10"/>
      <c r="AF150" s="144"/>
    </row>
    <row r="151" customFormat="false" ht="13.8" hidden="false" customHeight="false" outlineLevel="0" collapsed="false">
      <c r="P151" s="0"/>
    </row>
    <row r="152" customFormat="false" ht="13.8" hidden="false" customHeight="false" outlineLevel="0" collapsed="false">
      <c r="P152" s="0"/>
    </row>
    <row r="153" customFormat="false" ht="13.8" hidden="false" customHeight="false" outlineLevel="0" collapsed="false">
      <c r="P153" s="0"/>
    </row>
    <row r="154" customFormat="false" ht="13.8" hidden="false" customHeight="false" outlineLevel="0" collapsed="false">
      <c r="C154" s="0" t="s">
        <v>150</v>
      </c>
      <c r="P154" s="0"/>
    </row>
    <row r="155" customFormat="false" ht="13.8" hidden="false" customHeight="false" outlineLevel="0" collapsed="false">
      <c r="C155" s="0" t="s">
        <v>151</v>
      </c>
      <c r="P155" s="0"/>
      <c r="R155" s="0" t="n">
        <f aca="false">1700000/0.6</f>
        <v>2833333.33333333</v>
      </c>
    </row>
    <row r="156" customFormat="false" ht="13.8" hidden="false" customHeight="false" outlineLevel="0" collapsed="false">
      <c r="C156" s="0" t="s">
        <v>152</v>
      </c>
      <c r="P156" s="0"/>
      <c r="R156" s="0" t="n">
        <f aca="false">1700000/0.55</f>
        <v>3090909.09090909</v>
      </c>
    </row>
    <row r="157" customFormat="false" ht="13.8" hidden="false" customHeight="false" outlineLevel="0" collapsed="false">
      <c r="C157" s="0" t="s">
        <v>153</v>
      </c>
      <c r="P157" s="530" t="n">
        <f aca="false">K98/0.09</f>
        <v>11395559.2411818</v>
      </c>
    </row>
    <row r="158" customFormat="false" ht="13.8" hidden="false" customHeight="false" outlineLevel="0" collapsed="false">
      <c r="C158" s="0" t="s">
        <v>154</v>
      </c>
      <c r="P158" s="0"/>
    </row>
    <row r="159" customFormat="false" ht="13.8" hidden="false" customHeight="false" outlineLevel="0" collapsed="false">
      <c r="P159" s="0"/>
    </row>
    <row r="160" customFormat="false" ht="13.8" hidden="false" customHeight="false" outlineLevel="0" collapsed="false">
      <c r="C160" s="0" t="s">
        <v>155</v>
      </c>
      <c r="P160" s="0"/>
    </row>
    <row r="161" customFormat="false" ht="13.8" hidden="false" customHeight="false" outlineLevel="0" collapsed="false">
      <c r="C161" s="0" t="s">
        <v>156</v>
      </c>
      <c r="P161" s="0"/>
    </row>
    <row r="162" customFormat="false" ht="13.8" hidden="false" customHeight="false" outlineLevel="0" collapsed="false">
      <c r="C162" s="0" t="s">
        <v>157</v>
      </c>
      <c r="P162" s="0"/>
    </row>
    <row r="163" customFormat="false" ht="13.8" hidden="false" customHeight="false" outlineLevel="0" collapsed="false">
      <c r="C163" s="0" t="s">
        <v>158</v>
      </c>
      <c r="P163" s="0"/>
    </row>
    <row r="164" customFormat="false" ht="13.8" hidden="false" customHeight="false" outlineLevel="0" collapsed="false">
      <c r="C164" s="0" t="s">
        <v>159</v>
      </c>
      <c r="P164" s="0"/>
    </row>
    <row r="165" customFormat="false" ht="13.8" hidden="false" customHeight="false" outlineLevel="0" collapsed="false">
      <c r="C165" s="0" t="s">
        <v>160</v>
      </c>
      <c r="P165" s="0"/>
    </row>
    <row r="166" customFormat="false" ht="13.8" hidden="false" customHeight="false" outlineLevel="0" collapsed="false">
      <c r="P166" s="0"/>
    </row>
    <row r="167" customFormat="false" ht="13.8" hidden="false" customHeight="false" outlineLevel="0" collapsed="false">
      <c r="P167" s="11" t="s">
        <v>161</v>
      </c>
    </row>
    <row r="177" customFormat="false" ht="13.8" hidden="false" customHeight="false" outlineLevel="0" collapsed="false">
      <c r="D177" s="0" t="s">
        <v>162</v>
      </c>
    </row>
    <row r="178" customFormat="false" ht="13.8" hidden="false" customHeight="false" outlineLevel="0" collapsed="false">
      <c r="C178" s="0" t="s">
        <v>163</v>
      </c>
      <c r="D178" s="0" t="s">
        <v>164</v>
      </c>
      <c r="F178" s="531" t="n">
        <v>0.09</v>
      </c>
    </row>
    <row r="179" customFormat="false" ht="13.8" hidden="false" customHeight="false" outlineLevel="0" collapsed="false">
      <c r="C179" s="0" t="s">
        <v>165</v>
      </c>
      <c r="D179" s="0" t="s">
        <v>166</v>
      </c>
      <c r="F179" s="532" t="n">
        <v>900000</v>
      </c>
    </row>
    <row r="180" customFormat="false" ht="13.8" hidden="false" customHeight="false" outlineLevel="0" collapsed="false">
      <c r="C180" s="0" t="s">
        <v>167</v>
      </c>
      <c r="D180" s="0" t="s">
        <v>168</v>
      </c>
      <c r="F180" s="533" t="n">
        <v>10000000</v>
      </c>
    </row>
    <row r="182" customFormat="false" ht="13.8" hidden="false" customHeight="false" outlineLevel="0" collapsed="false">
      <c r="F182" s="0" t="s">
        <v>169</v>
      </c>
    </row>
    <row r="183" customFormat="false" ht="13.8" hidden="false" customHeight="false" outlineLevel="0" collapsed="false">
      <c r="D183" s="0" t="s">
        <v>170</v>
      </c>
    </row>
    <row r="184" customFormat="false" ht="13.8" hidden="false" customHeight="false" outlineLevel="0" collapsed="false">
      <c r="D184" s="0" t="s">
        <v>171</v>
      </c>
    </row>
    <row r="185" customFormat="false" ht="13.8" hidden="false" customHeight="false" outlineLevel="0" collapsed="false">
      <c r="D185" s="0" t="s">
        <v>172</v>
      </c>
    </row>
  </sheetData>
  <mergeCells count="16">
    <mergeCell ref="E2:L2"/>
    <mergeCell ref="E3:L3"/>
    <mergeCell ref="E4:L4"/>
    <mergeCell ref="E34:L34"/>
    <mergeCell ref="E52:L52"/>
    <mergeCell ref="W52:AD52"/>
    <mergeCell ref="E54:L54"/>
    <mergeCell ref="W54:AD54"/>
    <mergeCell ref="E82:L82"/>
    <mergeCell ref="W82:AD82"/>
    <mergeCell ref="E103:L103"/>
    <mergeCell ref="W103:AD103"/>
    <mergeCell ref="E105:L105"/>
    <mergeCell ref="W105:AD105"/>
    <mergeCell ref="W132:AD132"/>
    <mergeCell ref="E133:L133"/>
  </mergeCells>
  <hyperlinks>
    <hyperlink ref="D97" r:id="rId2" display="* See list of contingency expenses included"/>
    <hyperlink ref="V97" r:id="rId3" display="* See list of contingency expenses included"/>
  </hyperlinks>
  <printOptions headings="false" gridLines="false" gridLinesSet="true" horizontalCentered="false" verticalCentered="false"/>
  <pageMargins left="0.7875" right="0.377777777777778" top="0.994444444444444" bottom="0.424305555555556" header="0.395833333333333" footer="0.228472222222222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Roman,Regular"&amp;12The ARROYOS PRESERVE RV Park Campground
Assumes fully built immature project (not all sites available)
using conservative 2019 rates and occupancies </oddHeader>
    <oddFooter>&amp;C&amp;7&amp;Z&amp;F&amp;F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/>
  <cols>
    <col collapsed="false" hidden="false" max="1025" min="1" style="0" width="10.6232558139535"/>
  </cols>
  <sheetData/>
  <printOptions headings="false" gridLines="false" gridLinesSet="true" horizontalCentered="false" verticalCentered="false"/>
  <pageMargins left="0.7875" right="0.7875" top="1.08263888888889" bottom="0.7875" header="0.7875" footer="0.7875"/>
  <pageSetup paperSize="1" scale="100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>&amp;C&amp;12THE ARROYOS PRESERVE
Recreational Community</oddHeader>
    <oddFooter>&amp;C&amp;12&amp;F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954425</TotalTime>
  <Application>LibreOffice/4.2.5.2$MacOSX_x86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2017-11-15T11:50:22Z</dcterms:created>
  <dc:creator>Dennis Melin</dc:creator>
  <dc:language>en-US</dc:language>
  <cp:lastModifiedBy>Kunisch James</cp:lastModifiedBy>
  <cp:lastPrinted>2019-10-09T08:11:23Z</cp:lastPrinted>
  <dcterms:modified xsi:type="dcterms:W3CDTF">2019-10-14T16:01:41Z</dcterms:modified>
  <cp:revision>420</cp:revision>
</cp:coreProperties>
</file>