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vmlDrawing4.vml" ContentType="application/vnd.openxmlformats-officedocument.vmlDrawing"/>
  <Override PartName="/xl/drawings/drawing2.xml" ContentType="application/vnd.openxmlformats-officedocument.drawing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1.xml" ContentType="application/vnd.openxmlformats-officedocument.drawing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44" firstSheet="0" activeTab="2"/>
  </bookViews>
  <sheets>
    <sheet name=" CAMPING RATES &amp; Income Assumptions" sheetId="1" state="visible" r:id="rId2"/>
    <sheet name=" Build-1 Income_Expenses" sheetId="2" state="visible" r:id="rId3"/>
    <sheet name="Consolodated Construction Cost Sheet" sheetId="3" state="visible" r:id="rId4"/>
    <sheet name="REC VILLAGE COSTS BREAKDOWN" sheetId="4" state="visible" r:id="rId5"/>
    <sheet name="Sheet8" sheetId="5" state="visible" r:id="rId6"/>
  </sheets>
  <definedNames>
    <definedName function="false" hidden="false" localSheetId="1" name="_xlnm.Print_Area" vbProcedure="false">' Build-1 Income_Expenses'!$B$52:$M$149</definedName>
    <definedName function="false" hidden="false" localSheetId="0" name="_xlnm.Print_Area" vbProcedure="false">' CAMPING RATES &amp; Income Assumptions'!$B$6:$J$52</definedName>
    <definedName function="false" hidden="false" localSheetId="2" name="_xlnm.Print_Area" vbProcedure="false">'Consolodated Construction Cost Sheet'!$B$11:$O$45</definedName>
    <definedName function="false" hidden="false" localSheetId="3" name="_xlnm.Print_Area" vbProcedure="false">'REC VILLAGE COSTS BREAKDOWN'!$B$2:$H$28</definedName>
    <definedName function="false" hidden="false" localSheetId="4" name="_xlnm.Print_Area" vbProcedure="false">Sheet8!$C$1:$J$24</definedName>
    <definedName function="false" hidden="false" localSheetId="3" name="Print_Area_0" vbProcedure="false">"'[1]resort trimmings costs breakdow'"!#REF!</definedName>
    <definedName function="false" hidden="false" localSheetId="3" name="Print_Area_0_0" vbProcedure="false">"'[1]resort trimmings costs breakdow'"!#REF!</definedName>
    <definedName function="false" hidden="false" localSheetId="3" name="_xlnm_Print_Area" vbProcedure="false">'REC VILLAGE COSTS BREAKDOWN'!$A$3:$I$4</definedName>
    <definedName function="false" hidden="false" localSheetId="3" name="_xlnm_Print_Area_0" vbProcedure="false">'REC VILLAGE COSTS BREAKDOWN'!$A$2:$H$3</definedName>
    <definedName function="false" hidden="false" localSheetId="3" name="_xlnm_Print_Area_0_0" vbProcedure="false">'REC VILLAGE COSTS BREAKDOWN'!$A$3:$I$4</definedName>
    <definedName function="false" hidden="false" localSheetId="3" name="_xlnm_Print_Area_0_0_0" vbProcedure="false">'REC VILLAGE COSTS BREAKDOWN'!$A$2:$H$3</definedName>
    <definedName function="false" hidden="false" localSheetId="3" name="_xlnm_Print_Area_0_0_0_0" vbProcedure="false">'REC VILLAGE COSTS BREAKDOWN'!$A$3:$I$4</definedName>
    <definedName function="false" hidden="false" localSheetId="3" name="_xlnm_Print_Area_0_0_0_0_0" vbProcedure="false">'REC VILLAGE COSTS BREAKDOWN'!$A$2:$H$3</definedName>
    <definedName function="false" hidden="false" localSheetId="3" name="_xlnm_Print_Area_0_0_0_0_0_0" vbProcedure="false">'REC VILLAGE COSTS BREAKDOWN'!$A$3:$I$4</definedName>
    <definedName function="false" hidden="false" localSheetId="3" name="_xlnm_Print_Area_0_0_0_0_0_0_0" vbProcedure="false">'REC VILLAGE COSTS BREAKDOWN'!$A$2:$H$3</definedName>
    <definedName function="false" hidden="false" localSheetId="3" name="_xlnm_Print_Area_0_0_0_0_0_0_0_0" vbProcedure="false">'REC VILLAGE COSTS BREAKDOWN'!$A$3:$I$4</definedName>
    <definedName function="false" hidden="false" localSheetId="3" name="_xlnm_Print_Area_0_0_0_0_0_0_0_0_0" vbProcedure="false">'REC VILLAGE COSTS BREAKDOWN'!$A$3:$H$4</definedName>
    <definedName function="false" hidden="false" localSheetId="3" name="_xlnm_Print_Area_0_0_0_0_0_0_0_0_0_0" vbProcedure="false">'REC VILLAGE COSTS BREAKDOWN'!$A$3:$I$4</definedName>
    <definedName function="false" hidden="false" localSheetId="3" name="_xlnm_Print_Area_0_0_0_0_0_0_0_0_0_0_0" vbProcedure="false">'REC VILLAGE COSTS BREAKDOWN'!$A$3:$H$4</definedName>
    <definedName function="false" hidden="false" localSheetId="3" name="_xlnm_Print_Area_0_0_0_0_0_0_0_0_0_0_0_0" vbProcedure="false">'REC VILLAGE COSTS BREAKDOWN'!$A$3:$I$4</definedName>
    <definedName function="false" hidden="false" localSheetId="3" name="_xlnm_Print_Area_0_0_0_0_0_0_0_0_0_0_0_0_0" vbProcedure="false">'REC VILLAGE COSTS BREAKDOWN'!$A$3:$H$4</definedName>
    <definedName function="false" hidden="false" localSheetId="3" name="_xlnm_Print_Area_0_0_0_0_0_0_0_0_0_0_0_0_0_0" vbProcedure="false">'REC VILLAGE COSTS BREAKDOWN'!$A$3:$I$4</definedName>
    <definedName function="false" hidden="false" localSheetId="3" name="_xlnm_Print_Area_0_0_0_0_0_0_0_0_0_0_0_0_0_0_0" vbProcedure="false">'REC VILLAGE COSTS BREAKDOWN'!$A$3:$H$4</definedName>
    <definedName function="false" hidden="false" localSheetId="3" name="_xlnm_Print_Area_0_0_0_0_0_0_0_0_0_0_0_0_0_0_0_0" vbProcedure="false">'REC VILLAGE COSTS BREAKDOWN'!$A$3:$I$4</definedName>
    <definedName function="false" hidden="false" localSheetId="3" name="_xlnm_Print_Area_0_0_0_0_0_0_0_0_0_0_0_0_0_0_0_0_0" vbProcedure="false">'REC VILLAGE COSTS BREAKDOWN'!$B$3:$H$3</definedName>
    <definedName function="false" hidden="false" localSheetId="3" name="_xlnm_Print_Area_0_0_0_0_0_0_0_0_0_0_0_0_0_0_0_0_0_0" vbProcedure="false">'REC VILLAGE COSTS BREAKDOWN'!$A$1:$H$3</definedName>
    <definedName function="false" hidden="false" localSheetId="3" name="_xlnm_Print_Area_0_0_0_0_0_0_0_0_0_0_0_0_0_0_0_0_0_0_0" vbProcedure="false">'REC VILLAGE COSTS BREAKDOWN'!$A$1:$H$3</definedName>
    <definedName function="false" hidden="false" localSheetId="3" name="_xlnm_Print_Area_0_0_0_0_0_0_0_0_0_0_0_0_0_0_0_0_0_0_0_0" vbProcedure="false">'REC VILLAGE COSTS BREAKDOWN'!$A$1:$H$3</definedName>
    <definedName function="false" hidden="false" localSheetId="3" name="_xlnm_Print_Area_0_0_0_0_0_0_0_0_0_0_0_0_0_0_0_0_0_0_0_0_0" vbProcedure="false">'REC VILLAGE COSTS BREAKDOWN'!$A$1:$H$3</definedName>
    <definedName function="false" hidden="false" localSheetId="3" name="_xlnm_Print_Area_0_0_0_0_0_0_0_0_0_0_0_0_0_0_0_0_0_0_0_0_0_0" vbProcedure="false">'REC VILLAGE COSTS BREAKDOWN'!$A$1:$H$3</definedName>
  </definedNames>
  <calcPr iterateCount="100" refMode="A1" iterate="false" iterateDelta="0.0001"/>
</workbook>
</file>

<file path=xl/comments2.xml><?xml version="1.0" encoding="utf-8"?>
<comments xmlns="http://schemas.openxmlformats.org/spreadsheetml/2006/main" xmlns:xdr="http://schemas.openxmlformats.org/drawingml/2006/spreadsheetDrawing">
  <authors>
    <author/>
  </authors>
  <commentList>
    <comment ref="D14" authorId="0">
      <text>
        <r>
          <rPr>
            <sz val="10"/>
            <rFont val="Arial"/>
            <family val="2"/>
          </rPr>
          <t xml:space="preserve">Plenty of room on West side of 10-acre parcel.</t>
        </r>
      </text>
    </comment>
    <comment ref="D18" authorId="0">
      <text>
        <r>
          <rPr>
            <sz val="10"/>
            <rFont val="Arial"/>
            <family val="2"/>
          </rPr>
          <t xml:space="preserve">“We can’t say enough about how exciting – and profitable – it is to have a unique line of merchandise you can offer your campers.”</t>
        </r>
      </text>
    </comment>
    <comment ref="D28" authorId="0">
      <text>
        <r>
          <rPr>
            <sz val="10"/>
            <rFont val="Arial"/>
            <family val="2"/>
          </rPr>
          <t xml:space="preserve">KOA Royalty Base On</t>
        </r>
      </text>
    </comment>
    <comment ref="D29" authorId="0">
      <text>
        <r>
          <rPr>
            <sz val="10"/>
            <rFont val="Arial"/>
            <family val="2"/>
          </rPr>
          <t xml:space="preserve">KOA Royalty Base On</t>
        </r>
      </text>
    </comment>
    <comment ref="D64" authorId="0">
      <text>
        <r>
          <rPr>
            <sz val="10"/>
            <rFont val="Arial"/>
            <family val="2"/>
          </rPr>
          <t xml:space="preserve">Plenty of room on West side of 10-acre parcel.</t>
        </r>
      </text>
    </comment>
    <comment ref="D66" authorId="0">
      <text>
        <r>
          <rPr>
            <sz val="10"/>
            <rFont val="Arial"/>
            <family val="2"/>
          </rPr>
          <t xml:space="preserve">$15,000 per trailer/furnished with deck</t>
        </r>
      </text>
    </comment>
    <comment ref="D68" authorId="0">
      <text>
        <r>
          <rPr>
            <sz val="10"/>
            <rFont val="Arial"/>
            <family val="2"/>
          </rPr>
          <t xml:space="preserve">“We can’t say enough about how exciting – and profitable – it is to have a unique line of merchandise you can offer your campers.”</t>
        </r>
      </text>
    </comment>
    <comment ref="D77" authorId="0">
      <text>
        <r>
          <rPr>
            <sz val="10"/>
            <rFont val="Arial"/>
            <family val="2"/>
          </rPr>
          <t xml:space="preserve">LongTerm residents not included in KOA number</t>
        </r>
      </text>
    </comment>
    <comment ref="D78" authorId="0">
      <text>
        <r>
          <rPr>
            <sz val="10"/>
            <rFont val="Arial"/>
            <family val="2"/>
          </rPr>
          <t xml:space="preserve">KOA Royalty Base On</t>
        </r>
      </text>
    </comment>
    <comment ref="D84" authorId="0">
      <text>
        <r>
          <rPr>
            <sz val="10"/>
            <rFont val="Arial"/>
            <family val="2"/>
          </rPr>
          <t xml:space="preserve">Estimate 1/3 of applicable check-ins in 1st and 2nd builds would receive 10% discount</t>
        </r>
      </text>
    </comment>
    <comment ref="D115" authorId="0">
      <text>
        <r>
          <rPr>
            <sz val="10"/>
            <rFont val="Arial"/>
            <family val="2"/>
          </rPr>
          <t xml:space="preserve">Plenty of room on West side of 10-acre parcel.</t>
        </r>
      </text>
    </comment>
    <comment ref="D119" authorId="0">
      <text>
        <r>
          <rPr>
            <sz val="10"/>
            <rFont val="Arial"/>
            <family val="2"/>
          </rPr>
          <t xml:space="preserve">“We can’t say enough about how exciting – and profitable – it is to have a unique line of merchandise you can offer your campers.”</t>
        </r>
      </text>
    </comment>
    <comment ref="D128" authorId="0">
      <text>
        <r>
          <rPr>
            <sz val="10"/>
            <rFont val="Arial"/>
            <family val="2"/>
          </rPr>
          <t xml:space="preserve">LongTerm residents not included in KOA number.</t>
        </r>
      </text>
    </comment>
    <comment ref="D129" authorId="0">
      <text>
        <r>
          <rPr>
            <sz val="10"/>
            <rFont val="Arial"/>
            <family val="2"/>
          </rPr>
          <t xml:space="preserve">KOA Royalty Base On</t>
        </r>
      </text>
    </comment>
    <comment ref="D135" authorId="0">
      <text>
        <r>
          <rPr>
            <sz val="10"/>
            <rFont val="Arial"/>
            <family val="2"/>
          </rPr>
          <t xml:space="preserve">Estimate 1/3 of applicable check-ins in 1st and 2nd builds would receive 10% discount</t>
        </r>
      </text>
    </comment>
    <comment ref="E19" authorId="0">
      <text>
        <r>
          <rPr>
            <sz val="10"/>
            <rFont val="Arial"/>
            <family val="2"/>
          </rPr>
          <t xml:space="preserve">Lottery and beer wine – 15% net </t>
        </r>
      </text>
    </comment>
    <comment ref="E69" authorId="0">
      <text>
        <r>
          <rPr>
            <sz val="10"/>
            <rFont val="Arial"/>
            <family val="2"/>
          </rPr>
          <t xml:space="preserve">Lottery and beer wine – 15% net
Propane expected to contribute significant revenue. </t>
        </r>
      </text>
    </comment>
    <comment ref="E120" authorId="0">
      <text>
        <r>
          <rPr>
            <sz val="10"/>
            <rFont val="Arial"/>
            <family val="2"/>
          </rPr>
          <t xml:space="preserve">Lottery and beer wine – 15% net </t>
        </r>
      </text>
    </comment>
    <comment ref="K69" authorId="0">
      <text>
        <r>
          <rPr>
            <sz val="10"/>
            <rFont val="Arial"/>
            <family val="2"/>
          </rPr>
          <t xml:space="preserve">Propane sales alone are expected to be ≈75,000 gals/season.</t>
        </r>
      </text>
    </comment>
    <comment ref="K84" authorId="0">
      <text>
        <r>
          <rPr>
            <sz val="10"/>
            <rFont val="Arial"/>
            <family val="2"/>
          </rPr>
          <t xml:space="preserve">Estimate 1/3 of applicable check-ins in 1st and 2nd builds would receive 10% discount</t>
        </r>
      </text>
    </comment>
    <comment ref="K135" authorId="0">
      <text>
        <r>
          <rPr>
            <sz val="10"/>
            <rFont val="Arial"/>
            <family val="2"/>
          </rPr>
          <t xml:space="preserve">Estimate 1/3 of applicable check-ins in 1st and 2nd builds would receive 10% discount</t>
        </r>
      </text>
    </comment>
    <comment ref="M45" authorId="0">
      <text>
        <r>
          <rPr>
            <sz val="10"/>
            <rFont val="Arial"/>
            <family val="2"/>
          </rPr>
          <t xml:space="preserve">Expenses / Site / Year</t>
        </r>
      </text>
    </comment>
    <comment ref="M48" authorId="0">
      <text>
        <r>
          <rPr>
            <sz val="10"/>
            <rFont val="Arial"/>
            <family val="2"/>
          </rPr>
          <t xml:space="preserve">Net/Site</t>
        </r>
      </text>
    </comment>
    <comment ref="M95" authorId="0">
      <text>
        <r>
          <rPr>
            <sz val="10"/>
            <rFont val="Arial"/>
            <family val="2"/>
          </rPr>
          <t xml:space="preserve">Expenses / Site / Year</t>
        </r>
      </text>
    </comment>
    <comment ref="M98" authorId="0">
      <text>
        <r>
          <rPr>
            <sz val="10"/>
            <rFont val="Arial"/>
            <family val="2"/>
          </rPr>
          <t xml:space="preserve">Expenses / Site / Year</t>
        </r>
      </text>
    </comment>
    <comment ref="M146" authorId="0">
      <text>
        <r>
          <rPr>
            <sz val="10"/>
            <rFont val="Arial"/>
            <family val="2"/>
          </rPr>
          <t xml:space="preserve">Expenses / Site / Year</t>
        </r>
      </text>
    </comment>
    <comment ref="M148" authorId="0">
      <text>
        <r>
          <rPr>
            <sz val="10"/>
            <rFont val="Arial"/>
            <family val="2"/>
          </rPr>
          <t xml:space="preserve">Expenses / Site / Year</t>
        </r>
      </text>
    </comment>
    <comment ref="N48" authorId="0">
      <text>
        <r>
          <rPr>
            <sz val="10"/>
            <rFont val="Arial"/>
            <family val="2"/>
          </rPr>
          <t xml:space="preserve">Net/Month</t>
        </r>
      </text>
    </comment>
    <comment ref="N98" authorId="0">
      <text>
        <r>
          <rPr>
            <sz val="10"/>
            <rFont val="Arial"/>
            <family val="2"/>
          </rPr>
          <t xml:space="preserve">Net/Month</t>
        </r>
      </text>
    </comment>
    <comment ref="N148" authorId="0">
      <text>
        <r>
          <rPr>
            <sz val="10"/>
            <rFont val="Arial"/>
            <family val="2"/>
          </rPr>
          <t xml:space="preserve">Net/Month</t>
        </r>
      </text>
    </comment>
    <comment ref="V64" authorId="0">
      <text>
        <r>
          <rPr>
            <sz val="10"/>
            <rFont val="Arial"/>
            <family val="2"/>
          </rPr>
          <t xml:space="preserve">Plenty of room on West side of 10-acre parcel.</t>
        </r>
      </text>
    </comment>
    <comment ref="V68" authorId="0">
      <text>
        <r>
          <rPr>
            <sz val="10"/>
            <rFont val="Arial"/>
            <family val="2"/>
          </rPr>
          <t xml:space="preserve">“We can’t say enough about how exciting – and profitable – it is to have a unique line of merchandise you can offer your campers.”</t>
        </r>
      </text>
    </comment>
    <comment ref="V77" authorId="0">
      <text>
        <r>
          <rPr>
            <sz val="10"/>
            <rFont val="Arial"/>
            <family val="2"/>
          </rPr>
          <t xml:space="preserve">LongTerm residents not included in KOA number</t>
        </r>
      </text>
    </comment>
    <comment ref="V78" authorId="0">
      <text>
        <r>
          <rPr>
            <sz val="10"/>
            <rFont val="Arial"/>
            <family val="2"/>
          </rPr>
          <t xml:space="preserve">KOA Royalty Base On</t>
        </r>
      </text>
    </comment>
    <comment ref="V84" authorId="0">
      <text>
        <r>
          <rPr>
            <sz val="10"/>
            <rFont val="Arial"/>
            <family val="2"/>
          </rPr>
          <t xml:space="preserve">Estimate 1/3 of applicable check-ins in 1st and 2nd builds would receive 10% discount</t>
        </r>
      </text>
    </comment>
    <comment ref="W69" authorId="0">
      <text>
        <r>
          <rPr>
            <sz val="10"/>
            <rFont val="Arial"/>
            <family val="2"/>
          </rPr>
          <t xml:space="preserve">Lottery and beer wine – 15% net
Propane expected to contribute significant revenue. </t>
        </r>
      </text>
    </comment>
    <comment ref="AC69" authorId="0">
      <text>
        <r>
          <rPr>
            <sz val="10"/>
            <rFont val="Arial"/>
            <family val="2"/>
          </rPr>
          <t xml:space="preserve">Propane sales alone are expected to be ≈75,000 gals/season.</t>
        </r>
      </text>
    </comment>
    <comment ref="AC84" authorId="0">
      <text>
        <r>
          <rPr>
            <sz val="10"/>
            <rFont val="Arial"/>
            <family val="2"/>
          </rPr>
          <t xml:space="preserve">Estimate 1/3 of applicable check-ins in 1st and 2nd builds would receive 10% discount</t>
        </r>
      </text>
    </comment>
    <comment ref="AE95" authorId="0">
      <text>
        <r>
          <rPr>
            <sz val="10"/>
            <rFont val="Arial"/>
            <family val="2"/>
          </rPr>
          <t xml:space="preserve">Expenses / Site / Year</t>
        </r>
      </text>
    </comment>
    <comment ref="AE98" authorId="0">
      <text>
        <r>
          <rPr>
            <sz val="10"/>
            <rFont val="Arial"/>
            <family val="2"/>
          </rPr>
          <t xml:space="preserve">Expenses / Site / Year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/>
  </authors>
  <commentList>
    <comment ref="D20" authorId="0">
      <text>
        <r>
          <rPr>
            <sz val="10"/>
            <rFont val="Arial"/>
            <family val="2"/>
          </rPr>
          <t xml:space="preserve">110,000 Gal Tank, $90K incl. Installation.</t>
        </r>
      </text>
    </comment>
    <comment ref="D25" authorId="0">
      <text>
        <r>
          <rPr>
            <sz val="10"/>
            <rFont val="Arial"/>
            <family val="2"/>
          </rPr>
          <t xml:space="preserve">Formerly using culverts, revised to low-water xngs.
This cost should be part of grading + concrete cutoff walls.</t>
        </r>
      </text>
    </comment>
    <comment ref="D29" authorId="0">
      <text>
        <r>
          <rPr>
            <sz val="10"/>
            <rFont val="Arial"/>
            <family val="2"/>
          </rPr>
          <t xml:space="preserve">Consider using galvanized cable...larger diameter and lower cost.  5/16 ≈ $0.55/ft.</t>
        </r>
      </text>
    </comment>
    <comment ref="D30" authorId="0">
      <text>
        <r>
          <rPr>
            <sz val="10"/>
            <rFont val="Arial"/>
            <family val="2"/>
          </rPr>
          <t xml:space="preserve">For lining the streets, we'll need 300 10-ft. Trees.</t>
        </r>
      </text>
    </comment>
    <comment ref="E29" authorId="0">
      <text>
        <r>
          <rPr>
            <sz val="10"/>
            <rFont val="Arial"/>
            <family val="2"/>
          </rPr>
          <t xml:space="preserve">Self-tapping screws holding wire clips for cable support.</t>
        </r>
      </text>
    </comment>
    <comment ref="F23" authorId="0">
      <text>
        <r>
          <rPr>
            <sz val="10"/>
            <color rgb="FF0000FF"/>
            <rFont val="Arial"/>
            <family val="2"/>
          </rPr>
          <t xml:space="preserve">http://www.rvparksupplies.com/p/503020AMPPEDPOWER/?msclkid=3de6988463931a20bc48c5e2bba3f174
</t>
        </r>
        <r>
          <rPr>
            <sz val="10"/>
            <rFont val="Arial"/>
            <family val="2"/>
          </rPr>
          <t xml:space="preserve">RVParkSupplies.com $173.95ea.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/>
  </authors>
  <commentList>
    <comment ref="B9" authorId="0">
      <text>
        <r>
          <rPr>
            <sz val="10"/>
            <rFont val="Arial"/>
            <family val="2"/>
          </rPr>
          <t xml:space="preserve">Armstrong Steel delivered=$80K loaded 3-bldgs</t>
        </r>
      </text>
    </comment>
    <comment ref="B11" authorId="0">
      <text>
        <r>
          <rPr>
            <sz val="10"/>
            <rFont val="Arial"/>
            <family val="2"/>
          </rPr>
          <t xml:space="preserve">18ft x 36ft. pool</t>
        </r>
      </text>
    </comment>
    <comment ref="B16" authorId="0">
      <text>
        <r>
          <rPr>
            <sz val="10"/>
            <rFont val="Arial"/>
            <family val="2"/>
          </rPr>
          <t xml:space="preserve">Armstrong Steel= Fully loaded 45x80 bldg = $39,000 delivered. Add $35K for concrete, total $75K.  For a 45' x 100' price is $47,547. plus concrete.</t>
        </r>
      </text>
    </comment>
    <comment ref="B18" authorId="0">
      <text>
        <r>
          <rPr>
            <sz val="10"/>
            <color rgb="FF0000FF"/>
            <rFont val="Arial"/>
            <family val="2"/>
          </rPr>
          <t xml:space="preserve">https://denvertent.com/product/the-colorado-wall-tent/
</t>
        </r>
        <r>
          <rPr>
            <sz val="10"/>
            <rFont val="Arial"/>
            <family val="2"/>
          </rPr>
          <t xml:space="preserve">16x20 w/platform &amp; deck = $2,500. Plus misc furnishings &amp; propane heater = $500. TOTAL $3,000 ea.</t>
        </r>
      </text>
    </comment>
    <comment ref="B22" authorId="0">
      <text>
        <r>
          <rPr>
            <sz val="10"/>
            <rFont val="Arial"/>
            <family val="2"/>
          </rPr>
          <t xml:space="preserve">Regulation Court = 20x44 court dim</t>
        </r>
      </text>
    </comment>
    <comment ref="C12" authorId="0">
      <text>
        <r>
          <rPr>
            <sz val="10"/>
            <rFont val="Arial"/>
            <family val="2"/>
          </rPr>
          <t xml:space="preserve">Add 10 ft to pool deck</t>
        </r>
      </text>
    </comment>
    <comment ref="E13" authorId="0">
      <text>
        <r>
          <rPr>
            <sz val="10"/>
            <rFont val="Arial"/>
            <family val="2"/>
          </rPr>
          <t xml:space="preserve">Concrete = ≈$10/sq.ft. X 4500 sq.ft.</t>
        </r>
      </text>
    </comment>
    <comment ref="E16" authorId="0">
      <text>
        <r>
          <rPr>
            <sz val="10"/>
            <rFont val="Arial"/>
            <family val="2"/>
          </rPr>
          <t xml:space="preserve">Store Imprvmnts &amp; Lndry = $145,000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/>
  </authors>
  <commentList>
    <comment ref="D18" authorId="0">
      <text>
        <r>
          <rPr>
            <sz val="10"/>
            <rFont val="Arial"/>
            <family val="2"/>
          </rPr>
          <t xml:space="preserve">Steel bldg = ≈ $70K delivered.</t>
        </r>
      </text>
    </comment>
    <comment ref="D19" authorId="0">
      <text>
        <r>
          <rPr>
            <sz val="10"/>
            <rFont val="Arial"/>
            <family val="2"/>
          </rPr>
          <t xml:space="preserve">Steel bldg ≈ $80K delivered</t>
        </r>
      </text>
    </comment>
    <comment ref="D85" authorId="0">
      <text>
        <r>
          <rPr>
            <sz val="10"/>
            <rFont val="Arial"/>
            <family val="2"/>
          </rPr>
          <t xml:space="preserve">110,000 Gal Tank, $90K incl. Installation.</t>
        </r>
      </text>
    </comment>
    <comment ref="D90" authorId="0">
      <text>
        <r>
          <rPr>
            <sz val="10"/>
            <rFont val="Arial"/>
            <family val="2"/>
          </rPr>
          <t xml:space="preserve">Formerly using culverts, revised to low-water xngs.
This cost should be part of grading + concrete cutoff walls.</t>
        </r>
      </text>
    </comment>
    <comment ref="D94" authorId="0">
      <text>
        <r>
          <rPr>
            <sz val="10"/>
            <rFont val="Arial"/>
            <family val="2"/>
          </rPr>
          <t xml:space="preserve">Consider using galvanized cable...larger diameter and lower cost.  5/16 ≈ $0.55/ft.</t>
        </r>
      </text>
    </comment>
    <comment ref="D95" authorId="0">
      <text>
        <r>
          <rPr>
            <sz val="10"/>
            <rFont val="Arial"/>
            <family val="2"/>
          </rPr>
          <t xml:space="preserve">For lining the streets, we'll need 300 10-ft. Trees.</t>
        </r>
      </text>
    </comment>
    <comment ref="E94" authorId="0">
      <text>
        <r>
          <rPr>
            <sz val="10"/>
            <rFont val="Arial"/>
            <family val="2"/>
          </rPr>
          <t xml:space="preserve">Self-tapping screws holding wire clips for cable support.</t>
        </r>
      </text>
    </comment>
    <comment ref="G18" authorId="0">
      <text>
        <r>
          <rPr>
            <sz val="10"/>
            <rFont val="Arial"/>
            <family val="2"/>
          </rPr>
          <t xml:space="preserve">Buildout ≈$155K</t>
        </r>
      </text>
    </comment>
    <comment ref="G19" authorId="0">
      <text>
        <r>
          <rPr>
            <sz val="10"/>
            <rFont val="Arial"/>
            <family val="2"/>
          </rPr>
          <t xml:space="preserve">Buildout ≈$250K</t>
        </r>
      </text>
    </comment>
    <comment ref="H10" authorId="0">
      <text>
        <r>
          <rPr>
            <sz val="10"/>
            <rFont val="Arial"/>
            <family val="2"/>
          </rPr>
          <t xml:space="preserve">1,700 ft. roadway &amp; take-offs &amp; sewer/septic</t>
        </r>
      </text>
    </comment>
    <comment ref="H12" authorId="0">
      <text>
        <r>
          <rPr>
            <sz val="10"/>
            <rFont val="Arial"/>
            <family val="2"/>
          </rPr>
          <t xml:space="preserve">1,900 ft. roadway &amp; 37 takeoffs + septic</t>
        </r>
      </text>
    </comment>
    <comment ref="H85" authorId="0">
      <text>
        <r>
          <rPr>
            <sz val="10"/>
            <rFont val="Arial"/>
            <family val="2"/>
          </rPr>
          <t xml:space="preserve">If 70,000 gal tank, reduce price $20K.</t>
        </r>
      </text>
    </comment>
    <comment ref="I88" authorId="0">
      <text>
        <r>
          <rPr>
            <sz val="10"/>
            <rFont val="Arial"/>
            <family val="2"/>
          </rPr>
          <t xml:space="preserve">Expensed from 1</t>
        </r>
        <r>
          <rPr>
            <vertAlign val="superscript"/>
            <sz val="10"/>
            <rFont val="Arial"/>
            <family val="2"/>
          </rPr>
          <t xml:space="preserve">st</t>
        </r>
        <r>
          <rPr>
            <sz val="10"/>
            <rFont val="Arial"/>
            <family val="2"/>
          </rPr>
          <t xml:space="preserve"> Build Cashflow $43,200</t>
        </r>
      </text>
    </comment>
    <comment ref="I92" authorId="0">
      <text>
        <r>
          <rPr>
            <sz val="10"/>
            <rFont val="Arial"/>
            <family val="2"/>
          </rPr>
          <t xml:space="preserve">Expensed from 1</t>
        </r>
        <r>
          <rPr>
            <vertAlign val="superscript"/>
            <sz val="10"/>
            <rFont val="Arial"/>
            <family val="2"/>
          </rPr>
          <t xml:space="preserve">st</t>
        </r>
        <r>
          <rPr>
            <sz val="10"/>
            <rFont val="Arial"/>
            <family val="2"/>
          </rPr>
          <t xml:space="preserve"> Build Cashflow $43,200</t>
        </r>
      </text>
    </comment>
    <comment ref="I93" authorId="0">
      <text>
        <r>
          <rPr>
            <sz val="10"/>
            <rFont val="Arial"/>
            <family val="2"/>
          </rPr>
          <t xml:space="preserve">Expensed from 1</t>
        </r>
        <r>
          <rPr>
            <vertAlign val="superscript"/>
            <sz val="10"/>
            <rFont val="Arial"/>
            <family val="2"/>
          </rPr>
          <t xml:space="preserve">st</t>
        </r>
        <r>
          <rPr>
            <sz val="10"/>
            <rFont val="Arial"/>
            <family val="2"/>
          </rPr>
          <t xml:space="preserve"> Build Cashflow $43,200</t>
        </r>
      </text>
    </comment>
    <comment ref="I95" authorId="0">
      <text>
        <r>
          <rPr>
            <sz val="10"/>
            <rFont val="Arial"/>
            <family val="2"/>
          </rPr>
          <t xml:space="preserve">Expensed from 1</t>
        </r>
        <r>
          <rPr>
            <vertAlign val="superscript"/>
            <sz val="10"/>
            <rFont val="Arial"/>
            <family val="2"/>
          </rPr>
          <t xml:space="preserve">st</t>
        </r>
        <r>
          <rPr>
            <sz val="10"/>
            <rFont val="Arial"/>
            <family val="2"/>
          </rPr>
          <t xml:space="preserve"> Build Cashflow $43,200</t>
        </r>
      </text>
    </comment>
    <comment ref="I98" authorId="0">
      <text>
        <r>
          <rPr>
            <sz val="10"/>
            <rFont val="Arial"/>
            <family val="2"/>
          </rPr>
          <t xml:space="preserve">Expensed from 1</t>
        </r>
        <r>
          <rPr>
            <vertAlign val="superscript"/>
            <sz val="10"/>
            <rFont val="Arial"/>
            <family val="2"/>
          </rPr>
          <t xml:space="preserve">st</t>
        </r>
        <r>
          <rPr>
            <sz val="10"/>
            <rFont val="Arial"/>
            <family val="2"/>
          </rPr>
          <t xml:space="preserve"> Build Cashflow $43,200</t>
        </r>
      </text>
    </comment>
    <comment ref="K88" authorId="0">
      <text>
        <r>
          <rPr>
            <sz val="10"/>
            <rFont val="Arial"/>
            <family val="2"/>
          </rPr>
          <t xml:space="preserve">This number is expected to be included in the DryUtilities $245K, therefore, it's an extra amount that may not be needed.</t>
        </r>
      </text>
    </comment>
    <comment ref="P10" authorId="0">
      <text>
        <r>
          <rPr>
            <sz val="10"/>
            <rFont val="Arial"/>
            <family val="2"/>
          </rPr>
          <t xml:space="preserve">Plenty of room on West side of 10-acre parcel.</t>
        </r>
      </text>
    </comment>
    <comment ref="P15" authorId="0">
      <text>
        <r>
          <rPr>
            <sz val="10"/>
            <rFont val="Arial"/>
            <family val="2"/>
          </rPr>
          <t xml:space="preserve">“We can’t say enough about how exciting – and profitable – it is to have a unique line of merchandise you can offer your campers.”</t>
        </r>
      </text>
    </comment>
    <comment ref="P24" authorId="0">
      <text>
        <r>
          <rPr>
            <sz val="10"/>
            <rFont val="Arial"/>
            <family val="2"/>
          </rPr>
          <t xml:space="preserve">LongTerm residents not included in KOA number</t>
        </r>
      </text>
    </comment>
    <comment ref="P25" authorId="0">
      <text>
        <r>
          <rPr>
            <sz val="10"/>
            <rFont val="Arial"/>
            <family val="2"/>
          </rPr>
          <t xml:space="preserve">KOA Royalty Base On</t>
        </r>
      </text>
    </comment>
    <comment ref="Q16" authorId="0">
      <text>
        <r>
          <rPr>
            <sz val="10"/>
            <rFont val="Arial"/>
            <family val="2"/>
          </rPr>
          <t xml:space="preserve">Lottery and beer wine – 15% net
Propane expected to contribute significant revenue. </t>
        </r>
      </text>
    </comment>
    <comment ref="W16" authorId="0">
      <text>
        <r>
          <rPr>
            <sz val="10"/>
            <rFont val="Arial"/>
            <family val="2"/>
          </rPr>
          <t xml:space="preserve">Propane sales alone are expected to be ≈75,000 gals/season.</t>
        </r>
      </text>
    </comment>
  </commentList>
</comments>
</file>

<file path=xl/sharedStrings.xml><?xml version="1.0" encoding="utf-8"?>
<sst xmlns="http://schemas.openxmlformats.org/spreadsheetml/2006/main" count="649" uniqueCount="308">
  <si>
    <t>The Arroyos Preserve Income Assumptions &amp; CAMPING RATES</t>
  </si>
  <si>
    <t>DRAFT</t>
  </si>
  <si>
    <t>There are THREE main areas of the park:</t>
  </si>
  <si>
    <t>AREA-1 – </t>
  </si>
  <si>
    <t>South Area, 136 spaces Not Developed Initially – of these, 18 Lots (36-spaces) eventually Available as</t>
  </si>
  <si>
    <t> Fee Simple Ownership</t>
  </si>
  <si>
    <r>
      <t xml:space="preserve">AREA-2</t>
    </r>
    <r>
      <rPr>
        <sz val="10"/>
        <color rgb="FF006EEB"/>
        <rFont val="Arial"/>
        <family val="2"/>
      </rPr>
      <t xml:space="preserve"> – </t>
    </r>
  </si>
  <si>
    <t>North Area, 122 spaces for RV Campsites with 59 Pull-Through and 63 Back-In spaces</t>
  </si>
  <si>
    <r>
      <t xml:space="preserve">AREA-3</t>
    </r>
    <r>
      <rPr>
        <sz val="10"/>
        <color rgb="FF6600CC"/>
        <rFont val="Arial"/>
        <family val="2"/>
      </rPr>
      <t xml:space="preserve"> – </t>
    </r>
  </si>
  <si>
    <t>Recreation Village, 52 spaces for 29 RV Campsites (Back In), 8 Cabins, 8 Glamping Units, Tent Area, </t>
  </si>
  <si>
    <t>Camp store, Rental Concessions and Laundry.</t>
  </si>
  <si>
    <t>CAMPING RATES </t>
  </si>
  <si>
    <t>RV Campsite – Back In – 30 or 50-Amp, Gravel Pad w/Concrete Space, Picnic Table and many with Shared Fire Ring</t>
  </si>
  <si>
    <t> $41-$60/Day, at 77% vacancy in AREAS-1&amp;2 (rented 80 days/yr), and 70% vacancy in AREA-3 (rented 110 days/yr)</t>
  </si>
  <si>
    <r>
      <t xml:space="preserve">RV Campsite – Pull Through</t>
    </r>
    <r>
      <rPr>
        <sz val="10"/>
        <rFont val="Arial"/>
        <family val="2"/>
      </rPr>
      <t xml:space="preserve"> </t>
    </r>
    <r>
      <rPr>
        <b val="true"/>
        <sz val="10"/>
        <rFont val="Arial"/>
        <family val="2"/>
      </rPr>
      <t xml:space="preserve">– 30 or 50-Amp, Gravel Pad w/Concrete Space, Picnic Table and many with Shared Fire Pit</t>
    </r>
  </si>
  <si>
    <t> $49/Day, at 77% vacancy in AREAS-1&amp;2 (rented 80 days/yr)</t>
  </si>
  <si>
    <t>Cabins, Furnished with Kitchenettes </t>
  </si>
  <si>
    <t> $120/Day, TWO-Day minimum, at 85% vacancy in AREAS-2 (rented 55 days/yr), and 70% vacancy in AREA-3 (rented 110 days/yr)</t>
  </si>
  <si>
    <r>
      <t xml:space="preserve">C</t>
    </r>
    <r>
      <rPr>
        <b val="true"/>
        <sz val="10"/>
        <rFont val="Arial"/>
        <family val="2"/>
      </rPr>
      <t xml:space="preserve">abins, Furnished, no Kitchen </t>
    </r>
  </si>
  <si>
    <t> $95/Day, TWO-Day minimum, at 85% vacancy in AREA-2 (rented 55 days/yr), and 70% vacancy in AREA-3 (rented 110 days/yr)</t>
  </si>
  <si>
    <t>Glamping Units </t>
  </si>
  <si>
    <t>$70-$945/Day, at 85% vacancy (rented 55 days/yr)</t>
  </si>
  <si>
    <r>
      <t xml:space="preserve">Annual RV and Mobile Home Spaces</t>
    </r>
    <r>
      <rPr>
        <sz val="10"/>
        <rFont val="Arial"/>
        <family val="2"/>
      </rPr>
      <t xml:space="preserve"> </t>
    </r>
  </si>
  <si>
    <t> $4,500/Yr, at 15% vacancy in AREA-1, and 10% vacancy in AREA-2</t>
  </si>
  <si>
    <t>Tent Spaces</t>
  </si>
  <si>
    <r>
      <t xml:space="preserve">$35/Day, at 87% vacancy in AREA-3 (rented 45 days/yr)</t>
    </r>
    <r>
      <rPr>
        <sz val="8"/>
        <rFont val="Arial"/>
        <family val="2"/>
      </rPr>
      <t xml:space="preserve"> </t>
    </r>
  </si>
  <si>
    <r>
      <t xml:space="preserve">Site Built Homes/Villas</t>
    </r>
    <r>
      <rPr>
        <sz val="10"/>
        <color rgb="FFCC0000"/>
        <rFont val="Arial"/>
        <family val="2"/>
      </rPr>
      <t xml:space="preserve"> </t>
    </r>
  </si>
  <si>
    <t> $500/Mo for year-round living in AREA-1. These home sites are premium lots with exclusive desert garden settings and desert views, and could eventually be offered on longer-term lease basis, but could be available for Mobile Home rentals until either built upon or long-term leased.</t>
  </si>
  <si>
    <t>OTHER INCOME</t>
  </si>
  <si>
    <t>Laundry, 2 Facilities</t>
  </si>
  <si>
    <t> $7,500/Yr. among eight machines between facilities located in all three AREAS.</t>
  </si>
  <si>
    <r>
      <t xml:space="preserve">Camp Store</t>
    </r>
    <r>
      <rPr>
        <sz val="10"/>
        <rFont val="Arial"/>
        <family val="2"/>
      </rPr>
      <t xml:space="preserve"> </t>
    </r>
  </si>
  <si>
    <t> $20,000/Yr. from store sales located in AREA-3</t>
  </si>
  <si>
    <r>
      <t xml:space="preserve">ATV Equipment Rentals and ATV Equipment Sales,</t>
    </r>
    <r>
      <rPr>
        <sz val="10"/>
        <color rgb="FFCC0000"/>
        <rFont val="Arial"/>
        <family val="2"/>
      </rPr>
      <t xml:space="preserve"> </t>
    </r>
    <r>
      <rPr>
        <b val="true"/>
        <sz val="10"/>
        <rFont val="Arial"/>
        <family val="2"/>
      </rPr>
      <t xml:space="preserve">Concession Operator percentage of sales or annual lease</t>
    </r>
  </si>
  <si>
    <t> $25,000/Yr. From operation located in AREA-3</t>
  </si>
  <si>
    <r>
      <t xml:space="preserve">Propane Sales and/or Other, Concession </t>
    </r>
    <r>
      <rPr>
        <sz val="10"/>
        <rFont val="Arial"/>
        <family val="2"/>
      </rPr>
      <t xml:space="preserve"> </t>
    </r>
  </si>
  <si>
    <t> $80,000/Yr.</t>
  </si>
  <si>
    <t>RATES AND OCCUPANCIES RV Park/Campground</t>
  </si>
  <si>
    <r>
      <t xml:space="preserve">Build-1 INCOME BREAKDOWN</t>
    </r>
    <r>
      <rPr>
        <sz val="10"/>
        <rFont val="Arial"/>
        <family val="2"/>
      </rPr>
      <t xml:space="preserve"> (Expected Case)</t>
    </r>
  </si>
  <si>
    <t>1st Build</t>
  </si>
  <si>
    <t>Total Sites</t>
  </si>
  <si>
    <t>Vacancy</t>
  </si>
  <si>
    <t>Annual</t>
  </si>
  <si>
    <t>%GOI</t>
  </si>
  <si>
    <t>Per Site</t>
  </si>
  <si>
    <t>RV Camping, Back In</t>
  </si>
  <si>
    <t>/day</t>
  </si>
  <si>
    <t>RV Pull Through</t>
  </si>
  <si>
    <t>Cabins</t>
  </si>
  <si>
    <t>GlampingPods</t>
  </si>
  <si>
    <t>Tent Area</t>
  </si>
  <si>
    <t>/mo</t>
  </si>
  <si>
    <t>Rec Village</t>
  </si>
  <si>
    <t>Glamping</t>
  </si>
  <si>
    <t>Cabin/Park Model</t>
  </si>
  <si>
    <t>Laundry</t>
  </si>
  <si>
    <r>
      <t xml:space="preserve">Store </t>
    </r>
    <r>
      <rPr>
        <sz val="8"/>
        <rFont val="Arial"/>
        <family val="2"/>
      </rPr>
      <t xml:space="preserve">(Lease income based on store sales)</t>
    </r>
  </si>
  <si>
    <r>
      <t xml:space="preserve">Recreation, &amp; Misc.</t>
    </r>
    <r>
      <rPr>
        <sz val="8"/>
        <rFont val="Arial"/>
        <family val="2"/>
      </rPr>
      <t xml:space="preserve">(Concession Fees based on concession sales.)</t>
    </r>
  </si>
  <si>
    <t>YEAR-3</t>
  </si>
  <si>
    <t>(ATV and Other Sports, Tours, Rentals, Equipment, Propane Sales, etc.)</t>
  </si>
  <si>
    <t>EXPECT YEAR-4</t>
  </si>
  <si>
    <t>2nd Build</t>
  </si>
  <si>
    <t>RV Camping, Pull-Thru</t>
  </si>
  <si>
    <t>Park Model RV ShortTerm</t>
  </si>
  <si>
    <t>Park Model RV LongTerm</t>
  </si>
  <si>
    <t> </t>
  </si>
  <si>
    <t>/mo.</t>
  </si>
  <si>
    <t>Total Gross Operating Income—1st Build</t>
  </si>
  <si>
    <t>Total Gross Operating Income—Both Builds</t>
  </si>
  <si>
    <t>Build-1 EXPENSES BREAKDOWN</t>
  </si>
  <si>
    <t>KOA Royalty and Advertising – 10% of Lodging Revenue</t>
  </si>
  <si>
    <t>Managers and Workers – 2-full time, 2-seasonal, plus 1</t>
  </si>
  <si>
    <t>Insurance</t>
  </si>
  <si>
    <t>Taxes, AZ Vacation 5.78%</t>
  </si>
  <si>
    <t>Water Maintenance</t>
  </si>
  <si>
    <t>Gas/Electric</t>
  </si>
  <si>
    <t>Trash</t>
  </si>
  <si>
    <t>Contingencies &amp; Marketing</t>
  </si>
  <si>
    <t>Reserve</t>
  </si>
  <si>
    <t>Maintenance &amp; Repairs &amp; Reserve</t>
  </si>
  <si>
    <t>Total ANNUAL EXPENSES</t>
  </si>
  <si>
    <t>Build-1 Annual NET OPERATING INCOME</t>
  </si>
  <si>
    <t>/Mo</t>
  </si>
  <si>
    <r>
      <t xml:space="preserve">Final Buildout INCOME BREAKDOWN</t>
    </r>
    <r>
      <rPr>
        <sz val="10"/>
        <rFont val="Arial"/>
        <family val="2"/>
      </rPr>
      <t xml:space="preserve"> (Conservative/Expected Case)</t>
    </r>
  </si>
  <si>
    <t>Equivalent Monthly Rent per Site</t>
  </si>
  <si>
    <t>1st Phase</t>
  </si>
  <si>
    <t>Days Ocp'd</t>
  </si>
  <si>
    <t>Annual / Sites / 12</t>
  </si>
  <si>
    <t>Park Model</t>
  </si>
  <si>
    <t>RecVillage</t>
  </si>
  <si>
    <t>RV Camping</t>
  </si>
  <si>
    <t>Frnshd Cabin/Park Model</t>
  </si>
  <si>
    <r>
      <t xml:space="preserve">Store </t>
    </r>
    <r>
      <rPr>
        <sz val="8"/>
        <rFont val="Arial"/>
        <family val="2"/>
      </rPr>
      <t xml:space="preserve">(Lease income based on store lease)</t>
    </r>
  </si>
  <si>
    <t>Tents</t>
  </si>
  <si>
    <t>2nd Phase</t>
  </si>
  <si>
    <t>Store Consessions</t>
  </si>
  <si>
    <t>RV ShortTerm (Monthly)</t>
  </si>
  <si>
    <t>RV or Park Model (Annual)</t>
  </si>
  <si>
    <t>Recreation Concessions</t>
  </si>
  <si>
    <t>Total Gross Operating Income</t>
  </si>
  <si>
    <t>Laundries</t>
  </si>
  <si>
    <t>Final Buildout EXPENSES BREAKDOWN</t>
  </si>
  <si>
    <t>Propane</t>
  </si>
  <si>
    <r>
      <t xml:space="preserve">Discounts &amp; Incentives (</t>
    </r>
    <r>
      <rPr>
        <sz val="8"/>
        <rFont val="Arial"/>
        <family val="2"/>
      </rPr>
      <t xml:space="preserve">Travel Clubs &amp; Membership Discounts</t>
    </r>
    <r>
      <rPr>
        <sz val="10"/>
        <rFont val="Arial"/>
        <family val="2"/>
      </rPr>
      <t xml:space="preserve">) </t>
    </r>
  </si>
  <si>
    <r>
      <t xml:space="preserve">Managers and Workers – 2-full time, 4-seasonal, </t>
    </r>
    <r>
      <rPr>
        <sz val="7"/>
        <rFont val="Arial"/>
        <family val="2"/>
      </rPr>
      <t xml:space="preserve">plus</t>
    </r>
    <r>
      <rPr>
        <sz val="10"/>
        <rFont val="Arial"/>
        <family val="2"/>
      </rPr>
      <t xml:space="preserve"> Mgr</t>
    </r>
  </si>
  <si>
    <r>
      <t xml:space="preserve">Managers and Workers – 2-full time, 2-seasonal, </t>
    </r>
    <r>
      <rPr>
        <sz val="7"/>
        <rFont val="Arial"/>
        <family val="2"/>
      </rPr>
      <t xml:space="preserve">plus</t>
    </r>
    <r>
      <rPr>
        <sz val="10"/>
        <rFont val="Arial"/>
        <family val="2"/>
      </rPr>
      <t xml:space="preserve"> Mgr</t>
    </r>
  </si>
  <si>
    <t>La Paz County Property Tax</t>
  </si>
  <si>
    <t>Internet &amp; Misc</t>
  </si>
  <si>
    <t>Expected</t>
  </si>
  <si>
    <t>Less than</t>
  </si>
  <si>
    <t>Contingencies* &amp; Marketing</t>
  </si>
  <si>
    <t>Maintenance &amp; Repairs over/above park workers</t>
  </si>
  <si>
    <t>* See list of contingency expenses included</t>
  </si>
  <si>
    <t>Final Buildout Annual NET OPERATING INCOME</t>
  </si>
  <si>
    <t>ASSUMING 8% CAP RATE, VALUE OF PROJECT MAY BE</t>
  </si>
  <si>
    <r>
      <t xml:space="preserve">Final Buildout INCOME BREAKDOWN</t>
    </r>
    <r>
      <rPr>
        <sz val="10"/>
        <rFont val="Arial"/>
        <family val="2"/>
      </rPr>
      <t xml:space="preserve"> (</t>
    </r>
    <r>
      <rPr>
        <b val="true"/>
        <sz val="10"/>
        <color rgb="FFFF420E"/>
        <rFont val="Arial"/>
        <family val="2"/>
      </rPr>
      <t xml:space="preserve">Less</t>
    </r>
    <r>
      <rPr>
        <sz val="10"/>
        <rFont val="Arial"/>
        <family val="2"/>
      </rPr>
      <t xml:space="preserve"> </t>
    </r>
    <r>
      <rPr>
        <b val="true"/>
        <sz val="10"/>
        <color rgb="FFFF420E"/>
        <rFont val="Arial"/>
        <family val="2"/>
      </rPr>
      <t xml:space="preserve">Than Expected</t>
    </r>
    <r>
      <rPr>
        <sz val="10"/>
        <rFont val="Arial"/>
        <family val="2"/>
      </rPr>
      <t xml:space="preserve">, or </t>
    </r>
    <r>
      <rPr>
        <b val="true"/>
        <sz val="10"/>
        <color rgb="FFFF420E"/>
        <rFont val="Arial"/>
        <family val="2"/>
      </rPr>
      <t xml:space="preserve">Worse</t>
    </r>
    <r>
      <rPr>
        <sz val="10"/>
        <rFont val="Arial"/>
        <family val="2"/>
      </rPr>
      <t xml:space="preserve"> Case)</t>
    </r>
  </si>
  <si>
    <t>Bld-1</t>
  </si>
  <si>
    <t>Number of Sites</t>
  </si>
  <si>
    <t>Cost</t>
  </si>
  <si>
    <t>Income</t>
  </si>
  <si>
    <t>Expenses</t>
  </si>
  <si>
    <t>NOI</t>
  </si>
  <si>
    <t>Bld-2</t>
  </si>
  <si>
    <t>Sites Added</t>
  </si>
  <si>
    <t>Furnished/Park Model</t>
  </si>
  <si>
    <t>Total</t>
  </si>
  <si>
    <t>.</t>
  </si>
  <si>
    <t>Total Gross Operating Income (GOI)</t>
  </si>
  <si>
    <t>2% of KOA fees for marketing</t>
  </si>
  <si>
    <t>Final configuration of Park would find Premium Lots with Luxury Homes on South side, and</t>
  </si>
  <si>
    <t>Luxury RV Park and Recreation Village to the North.  </t>
  </si>
  <si>
    <t>During 2nd Build “rent up”, 18 Premium Lots may sell at ≈ $110,000, yielding ≈ $2 million.</t>
  </si>
  <si>
    <r>
      <t xml:space="preserve">Possible strategy: Build Rec Village and 1</t>
    </r>
    <r>
      <rPr>
        <vertAlign val="superscript"/>
        <sz val="10"/>
        <rFont val="Arial"/>
        <family val="2"/>
      </rPr>
      <t xml:space="preserve">st</t>
    </r>
    <r>
      <rPr>
        <sz val="10"/>
        <rFont val="Arial"/>
        <family val="2"/>
      </rPr>
      <t xml:space="preserve"> Build, then as park populates, begin adding </t>
    </r>
  </si>
  <si>
    <r>
      <t xml:space="preserve">improvements to South side (2</t>
    </r>
    <r>
      <rPr>
        <vertAlign val="superscript"/>
        <sz val="10"/>
        <rFont val="Arial"/>
        <family val="2"/>
      </rPr>
      <t xml:space="preserve">nd</t>
    </r>
    <r>
      <rPr>
        <sz val="10"/>
        <rFont val="Arial"/>
        <family val="2"/>
      </rPr>
      <t xml:space="preserve"> Build), while marketing the sale of Fee Simple Lots to guests.  </t>
    </r>
  </si>
  <si>
    <r>
      <t xml:space="preserve">The Arroyos Preserve OFF SEASON is presumed</t>
    </r>
    <r>
      <rPr>
        <u val="single"/>
        <sz val="10"/>
        <rFont val="Arial"/>
        <family val="2"/>
      </rPr>
      <t xml:space="preserve"> to be shorter</t>
    </r>
    <r>
      <rPr>
        <sz val="10"/>
        <rFont val="Arial"/>
        <family val="2"/>
      </rPr>
      <t xml:space="preserve"> than typical RV parks in Southern</t>
    </r>
  </si>
  <si>
    <t>Arizona because of its Off-Road recreational component &amp; marketing, so the typical guest that would</t>
  </si>
  <si>
    <t>be expected during both in- and off-season would likely be an off-highway vehicle enthusiast</t>
  </si>
  <si>
    <t>found from marketing in OHV trade media, groups and clubs, as well as from the park's exposure</t>
  </si>
  <si>
    <t>to prospective customers from KOA and RV Business News type publications and press releases.</t>
  </si>
  <si>
    <t>Rental rates and occupancies used are not comparable to those found in Quartzsite for this reason.</t>
  </si>
  <si>
    <t>Final project evolves into Luxury RV Park and Villas, with classy Recreation Village area, including driverless shuttle.</t>
  </si>
  <si>
    <t>worksheet for cap rates</t>
  </si>
  <si>
    <t>X</t>
  </si>
  <si>
    <t>"=cap rate</t>
  </si>
  <si>
    <t>N</t>
  </si>
  <si>
    <t>“=Net Operating Income</t>
  </si>
  <si>
    <t>V</t>
  </si>
  <si>
    <t>“=Value or Price</t>
  </si>
  <si>
    <t>.09=10000000*900000</t>
  </si>
  <si>
    <t>V=N/X</t>
  </si>
  <si>
    <t>X=V/N</t>
  </si>
  <si>
    <t>N=V/X</t>
  </si>
  <si>
    <t>166 Lots</t>
  </si>
  <si>
    <t>310 spaces</t>
  </si>
  <si>
    <r>
      <t xml:space="preserve">  </t>
    </r>
    <r>
      <rPr>
        <b val="true"/>
        <sz val="9"/>
        <color rgb="FFAECF00"/>
        <rFont val="Arial"/>
        <family val="2"/>
      </rPr>
      <t xml:space="preserve">Ô </t>
    </r>
    <r>
      <rPr>
        <sz val="9"/>
        <rFont val="Arial"/>
        <family val="2"/>
      </rPr>
      <t xml:space="preserve">$/Site</t>
    </r>
  </si>
  <si>
    <r>
      <t xml:space="preserve"> </t>
    </r>
    <r>
      <rPr>
        <b val="true"/>
        <sz val="9"/>
        <color rgb="FFFF950E"/>
        <rFont val="Arial"/>
        <family val="2"/>
      </rPr>
      <t xml:space="preserve">Ô</t>
    </r>
    <r>
      <rPr>
        <sz val="9"/>
        <rFont val="Arial"/>
        <family val="2"/>
      </rPr>
      <t xml:space="preserve"> $/Lot</t>
    </r>
  </si>
  <si>
    <t>Number of Subdivided Lots →</t>
  </si>
  <si>
    <t>ON-SITE IMPROVEMENTS COSTS</t>
  </si>
  <si>
    <t>Number of Campsites →</t>
  </si>
  <si>
    <t>Mobilizing,Staking,Testing, etc.</t>
  </si>
  <si>
    <t>Rough grading</t>
  </si>
  <si>
    <t>Wastewater construction</t>
  </si>
  <si>
    <t>Wastewater tertiary</t>
  </si>
  <si>
    <t>Well (backup)</t>
  </si>
  <si>
    <t>FireFlow-112,000 gal tank</t>
  </si>
  <si>
    <t>Incl. Booster, etc.</t>
  </si>
  <si>
    <t>Water distribution</t>
  </si>
  <si>
    <t>Electric APS meters w/pedestals (see Rec.Village)</t>
  </si>
  <si>
    <t>Electric meters w/pedestals</t>
  </si>
  <si>
    <t>Electric distribution, Dry Utilities</t>
  </si>
  <si>
    <t>Storm Drains</t>
  </si>
  <si>
    <t>Paving- Slurry</t>
  </si>
  <si>
    <t>Campsite Furniture/Enhancements/Fire-rings, etc.</t>
  </si>
  <si>
    <t>3-ADA,Bathrooms (2 stalls,sink,shwr)(1 stall,sink,urinal,shwr) </t>
  </si>
  <si>
    <t>Perimeter Fencing (3/16” stainless cable (4) w/4” galv posts)</t>
  </si>
  <si>
    <t>Landscaping Hardscape,trees,shrubs,etc.,w/irrigation</t>
  </si>
  <si>
    <t>Resort amenities (See Rec Village detail sheet)</t>
  </si>
  <si>
    <t>Resort enhancements (e.g., self-driving shuttle)</t>
  </si>
  <si>
    <t>Contingency – closing fees &amp; misc. costs, etc.</t>
  </si>
  <si>
    <t>Construction Supervision</t>
  </si>
  <si>
    <t>Total ON-Site Improvements Cost</t>
  </si>
  <si>
    <t>OFF-SITE IMPROVEMENT COSTS</t>
  </si>
  <si>
    <t>Entrance Road SubGrade &amp; ABC 6”</t>
  </si>
  <si>
    <t>Entrance Road Slurry</t>
  </si>
  <si>
    <t>APS System Improvements (MediumVoltageMetering)</t>
  </si>
  <si>
    <t>Total OFF-Site Improvements</t>
  </si>
  <si>
    <t>TOTAL PROJECTED CONSTRUCTION COSTS, OFF-&amp; ON-SITE</t>
  </si>
  <si>
    <t>*</t>
  </si>
  <si>
    <t>Seek Professional Tax Advice for tax deductions for IRC Sec. 179, depreciation, …</t>
  </si>
  <si>
    <t>Section 179 Tax Deductions, Bonus Depreciation &amp; Tax Deductions will be appropriately calculated &amp; allocated – Please consult your Tax Advisor</t>
  </si>
  <si>
    <t> </t>
  </si>
  <si>
    <t>Full and Final Buildout </t>
  </si>
  <si>
    <t>Resort Trimmings – Costs of Amenities/Recreation Elements and KOA Franchise</t>
  </si>
  <si>
    <t>TOTAL RESORT AND KOA FRANCHISE COSTS</t>
  </si>
  <si>
    <t>KOA Franchise Fee</t>
  </si>
  <si>
    <t>Includes redesign/engineering work</t>
  </si>
  <si>
    <t>supplies</t>
  </si>
  <si>
    <t>bldg</t>
  </si>
  <si>
    <t>Rosendahl Engrng</t>
  </si>
  <si>
    <t>Work with KOA to enhance plat standards</t>
  </si>
  <si>
    <t>archery pavilion</t>
  </si>
  <si>
    <t>Clubhouse </t>
  </si>
  <si>
    <t>4,250 sq.ft.(3 steel bldgs, per overlay picture)</t>
  </si>
  <si>
    <t>∆</t>
  </si>
  <si>
    <t>club house with pool</t>
  </si>
  <si>
    <t>Clubhouse Buildout</t>
  </si>
  <si>
    <t>Based on Havasu Clubhouse numbers</t>
  </si>
  <si>
    <t>pickleball</t>
  </si>
  <si>
    <t>Splash pool bar</t>
  </si>
  <si>
    <t>30 x 50 ft. Fiberglass,in-ground w/concrete decking</t>
  </si>
  <si>
    <t>golf putting</t>
  </si>
  <si>
    <t>Jacuzzi</t>
  </si>
  <si>
    <t>10 ft dia. Fiberglass in-ground</t>
  </si>
  <si>
    <t>Petangue</t>
  </si>
  <si>
    <t>Pool decking &amp; fencing</t>
  </si>
  <si>
    <t>≈4,000 sf Redwood deck + 250 lin.ft. fencing </t>
  </si>
  <si>
    <t>store</t>
  </si>
  <si>
    <t>2 – Bathroom/showers</t>
  </si>
  <si>
    <t>AZ State Req.Code &amp; ADA</t>
  </si>
  <si>
    <t>rental bldg</t>
  </si>
  <si>
    <t>2 – Ramadas/ Roundup areas</t>
  </si>
  <si>
    <t>Hexagon ramada, 30 ft. w/deployable canvas walls</t>
  </si>
  <si>
    <t>wash ramps</t>
  </si>
  <si>
    <t>Convenience store &amp; laundry</t>
  </si>
  <si>
    <t>45x90 steel bldg, incl. Imprvmnts,Frnshngs, Lndry</t>
  </si>
  <si>
    <t>glamping pods</t>
  </si>
  <si>
    <t>Archery Pavilion</t>
  </si>
  <si>
    <t>6-lanes with covered shooting area</t>
  </si>
  <si>
    <t>bathrooms</t>
  </si>
  <si>
    <t>Glamping Pods</t>
  </si>
  <si>
    <t>8 WallTents w/deck and heat</t>
  </si>
  <si>
    <t>Cabins, Furnished</t>
  </si>
  <si>
    <t>8-Refrbshd ParkMdls w/entertnment decks @15K ea.</t>
  </si>
  <si>
    <t>First Phase buildout</t>
  </si>
  <si>
    <t>Wash ramps – 1</t>
  </si>
  <si>
    <t>3 ramps slopping for drainage.  3/8-inch gravel floor.</t>
  </si>
  <si>
    <t>Split amount</t>
  </si>
  <si>
    <t>Pressure Washer</t>
  </si>
  <si>
    <t>1 station</t>
  </si>
  <si>
    <t>Pickleball courts 25x60</t>
  </si>
  <si>
    <t>3 courts, lighted and fenced 60X90 ft.</t>
  </si>
  <si>
    <t>Putting Green</t>
  </si>
  <si>
    <t>120' x 40' chipshot and putting with sandtrap</t>
  </si>
  <si>
    <t>Fire ring meeting area</t>
  </si>
  <si>
    <t>50 ft circle, compacted DG</t>
  </si>
  <si>
    <t>POOL DECKING, approx..4,000 sq.ft.</t>
  </si>
  <si>
    <t>ATV rentals garage</t>
  </si>
  <si>
    <t>Steel bldg. For rental vehicles storage</t>
  </si>
  <si>
    <t>Composite Decking Board</t>
  </si>
  <si>
    <t>$4.50/sq.ft.</t>
  </si>
  <si>
    <t>Driverless shuttle</t>
  </si>
  <si>
    <t>EasyMile</t>
  </si>
  <si>
    <t>2”x4” Redwood</t>
  </si>
  <si>
    <t>$3.50/sq.ft.</t>
  </si>
  <si>
    <t>Landscaping -- Rec Area</t>
  </si>
  <si>
    <t>Including for campsites &amp; recreation elements</t>
  </si>
  <si>
    <t>TREX Composite</t>
  </si>
  <si>
    <t>$5.00/sq.ft.</t>
  </si>
  <si>
    <t>Working Capital – Marketing</t>
  </si>
  <si>
    <t>Marketing</t>
  </si>
  <si>
    <t>IRC Sec. 179 items ∆</t>
  </si>
  <si>
    <t>Days</t>
  </si>
  <si>
    <t>First Phase-1</t>
  </si>
  <si>
    <t>75 SPACES</t>
  </si>
  <si>
    <t>Entrance road without final slurry</t>
  </si>
  <si>
    <t>New well and water line 1,150 ft. up Serene Dr.</t>
  </si>
  <si>
    <t>Drill Well</t>
  </si>
  <si>
    <t>Pump &amp; Booster</t>
  </si>
  <si>
    <t>Fire Flow Tank 112,000 gal</t>
  </si>
  <si>
    <t>1,200 ft. 6 in. water pipe </t>
  </si>
  <si>
    <t>Power</t>
  </si>
  <si>
    <t>Develop Peaceful Dr. from entrance to Rec Village</t>
  </si>
  <si>
    <t>Develop RV spaces along Peaceful Dr. and Tranquil Cr.</t>
  </si>
  <si>
    <t>Included</t>
  </si>
  <si>
    <t>Develop Rec Village Phase-1a w/o improvements</t>
  </si>
  <si>
    <t>PHASE-Ia (Roads and site improvements ≈75 spaces)</t>
  </si>
  <si>
    <t>First Phase-2</t>
  </si>
  <si>
    <t>85 SPACES</t>
  </si>
  <si>
    <t>Store/Office 45' x 100'</t>
  </si>
  <si>
    <t>Recreation Hall</t>
  </si>
  <si>
    <t>REC-HALL</t>
  </si>
  <si>
    <t>Rental Units/ParkModels</t>
  </si>
  <si>
    <t>TypicalUnit</t>
  </si>
  <si>
    <t>Pickleball Courts</t>
  </si>
  <si>
    <t>Glamping Pods &amp; Paths/Trails/Landscaping</t>
  </si>
  <si>
    <t>           </t>
  </si>
  <si>
    <t>Tent Area – Tents</t>
  </si>
  <si>
    <r>
      <t xml:space="preserve">2</t>
    </r>
    <r>
      <rPr>
        <vertAlign val="superscript"/>
        <sz val="10"/>
        <rFont val="Arial"/>
        <family val="2"/>
      </rPr>
      <t xml:space="preserve">nd</t>
    </r>
    <r>
      <rPr>
        <sz val="10"/>
        <rFont val="Arial"/>
        <family val="2"/>
      </rPr>
      <t xml:space="preserve"> Phase</t>
    </r>
  </si>
  <si>
    <r>
      <t xml:space="preserve">  </t>
    </r>
    <r>
      <rPr>
        <b val="true"/>
        <sz val="10"/>
        <color rgb="FFAECF00"/>
        <rFont val="Arial"/>
        <family val="2"/>
      </rPr>
      <t xml:space="preserve">Ô </t>
    </r>
    <r>
      <rPr>
        <sz val="10"/>
        <rFont val="Arial"/>
        <family val="2"/>
      </rPr>
      <t xml:space="preserve">$/Site</t>
    </r>
  </si>
  <si>
    <r>
      <t xml:space="preserve"> </t>
    </r>
    <r>
      <rPr>
        <b val="true"/>
        <sz val="10"/>
        <color rgb="FFFF950E"/>
        <rFont val="Arial"/>
        <family val="2"/>
      </rPr>
      <t xml:space="preserve">Ô</t>
    </r>
    <r>
      <rPr>
        <sz val="10"/>
        <rFont val="Arial"/>
        <family val="2"/>
      </rPr>
      <t xml:space="preserve"> $/Lot</t>
    </r>
  </si>
  <si>
    <t>x</t>
  </si>
  <si>
    <t>Funded by Build-1 CashFlow</t>
  </si>
  <si>
    <t>FireFlow capabilities</t>
  </si>
  <si>
    <t>Electric APS meters w/pedestals (Rec.Village)</t>
  </si>
  <si>
    <t>ea.</t>
  </si>
  <si>
    <t>Cashflow-&gt;</t>
  </si>
  <si>
    <t>Paving</t>
  </si>
  <si>
    <r>
      <t xml:space="preserve">Bathroom (</t>
    </r>
    <r>
      <rPr>
        <sz val="8"/>
        <rFont val="Arial"/>
        <family val="2"/>
      </rPr>
      <t xml:space="preserve">2 stalls, sink, shower)(1 stall, sink, urinal, shower</t>
    </r>
    <r>
      <rPr>
        <sz val="10"/>
        <rFont val="Arial"/>
        <family val="2"/>
      </rPr>
      <t xml:space="preserve">) </t>
    </r>
  </si>
  <si>
    <r>
      <t xml:space="preserve">Perimeter Fencing (</t>
    </r>
    <r>
      <rPr>
        <sz val="8"/>
        <rFont val="Arial"/>
        <family val="2"/>
      </rPr>
      <t xml:space="preserve">3/16” stainless cable (4) w/4” galv posts</t>
    </r>
    <r>
      <rPr>
        <sz val="10"/>
        <rFont val="Arial"/>
        <family val="2"/>
      </rPr>
      <t xml:space="preserve">)</t>
    </r>
  </si>
  <si>
    <t>Contingency</t>
  </si>
  <si>
    <t>APS System Improvements </t>
  </si>
  <si>
    <r>
      <t xml:space="preserve">Total 1</t>
    </r>
    <r>
      <rPr>
        <vertAlign val="superscript"/>
        <sz val="10"/>
        <rFont val="Arial"/>
        <family val="2"/>
      </rPr>
      <t xml:space="preserve">st</t>
    </r>
    <r>
      <rPr>
        <sz val="10"/>
        <rFont val="Arial"/>
        <family val="2"/>
      </rPr>
      <t xml:space="preserve"> Build Costs</t>
    </r>
  </si>
  <si>
    <t>(See NOI ProForma)</t>
  </si>
  <si>
    <r>
      <t xml:space="preserve">Total 2</t>
    </r>
    <r>
      <rPr>
        <vertAlign val="superscript"/>
        <sz val="10"/>
        <rFont val="Arial"/>
        <family val="2"/>
      </rPr>
      <t xml:space="preserve">nd</t>
    </r>
    <r>
      <rPr>
        <sz val="10"/>
        <rFont val="Arial"/>
        <family val="2"/>
      </rPr>
      <t xml:space="preserve"> Build Costs</t>
    </r>
  </si>
  <si>
    <t>TOTAL COSTS, OFF-SITE AND ON-SITE</t>
  </si>
  <si>
    <r>
      <t xml:space="preserve">Allowed IRS Sec.179</t>
    </r>
    <r>
      <rPr>
        <b val="true"/>
        <sz val="10"/>
        <rFont val="Arial"/>
        <family val="2"/>
      </rPr>
      <t xml:space="preserve">* Deduction (</t>
    </r>
    <r>
      <rPr>
        <b val="true"/>
        <sz val="8"/>
        <rFont val="Arial"/>
        <family val="2"/>
      </rPr>
      <t xml:space="preserve">Assumes 40% Tax Bracket</t>
    </r>
    <r>
      <rPr>
        <b val="true"/>
        <sz val="10"/>
        <rFont val="Arial"/>
        <family val="2"/>
      </rPr>
      <t xml:space="preserve">)</t>
    </r>
  </si>
  <si>
    <r>
      <t xml:space="preserve">TOTAL COSTS MINUS Allowed IRS </t>
    </r>
    <r>
      <rPr>
        <b val="true"/>
        <u val="double"/>
        <sz val="8"/>
        <rFont val="Arial"/>
        <family val="2"/>
      </rPr>
      <t xml:space="preserve">Sec.179</t>
    </r>
    <r>
      <rPr>
        <b val="true"/>
        <u val="double"/>
        <sz val="10"/>
        <rFont val="Arial"/>
        <family val="2"/>
      </rPr>
      <t xml:space="preserve"> Deductions*</t>
    </r>
  </si>
  <si>
    <t>* Seek Professional Tax Accounting Advice</t>
  </si>
</sst>
</file>

<file path=xl/styles.xml><?xml version="1.0" encoding="utf-8"?>
<styleSheet xmlns="http://schemas.openxmlformats.org/spreadsheetml/2006/main">
  <numFmts count="9">
    <numFmt numFmtId="164" formatCode="#,##0"/>
    <numFmt numFmtId="165" formatCode="0%"/>
    <numFmt numFmtId="166" formatCode="0.0%"/>
    <numFmt numFmtId="167" formatCode="0.00%"/>
    <numFmt numFmtId="168" formatCode="\$#,##0"/>
    <numFmt numFmtId="169" formatCode="[$$-409]#,##0;[RED]\-[$$-409]#,##0"/>
    <numFmt numFmtId="170" formatCode="#,##0\ ;\(#,##0\)"/>
    <numFmt numFmtId="171" formatCode="GENERAL"/>
    <numFmt numFmtId="172" formatCode="0"/>
  </numFmts>
  <fonts count="6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sz val="12"/>
      <color rgb="FF669999"/>
      <name val="Arial"/>
      <family val="2"/>
    </font>
    <font>
      <b val="true"/>
      <sz val="10"/>
      <name val="Arial"/>
      <family val="2"/>
    </font>
    <font>
      <b val="true"/>
      <sz val="10"/>
      <color rgb="FF006EEB"/>
      <name val="Arial"/>
      <family val="2"/>
    </font>
    <font>
      <sz val="10"/>
      <color rgb="FF006EEB"/>
      <name val="Arial"/>
      <family val="2"/>
    </font>
    <font>
      <b val="true"/>
      <sz val="10"/>
      <color rgb="FF6600CC"/>
      <name val="Arial"/>
      <family val="2"/>
    </font>
    <font>
      <sz val="10"/>
      <color rgb="FF6600CC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rgb="FFCC0000"/>
      <name val="Arial"/>
      <family val="2"/>
    </font>
    <font>
      <sz val="10"/>
      <color rgb="FF83CAFF"/>
      <name val="Arial"/>
      <family val="2"/>
    </font>
    <font>
      <sz val="10"/>
      <color rgb="FFB2B2B2"/>
      <name val="Arial"/>
      <family val="2"/>
    </font>
    <font>
      <i val="true"/>
      <sz val="9"/>
      <name val="Arial"/>
      <family val="2"/>
    </font>
    <font>
      <b val="true"/>
      <sz val="10"/>
      <color rgb="FF83CAFF"/>
      <name val="Arial"/>
      <family val="2"/>
    </font>
    <font>
      <sz val="10"/>
      <color rgb="FF99CCFF"/>
      <name val="Arial"/>
      <family val="2"/>
    </font>
    <font>
      <b val="true"/>
      <sz val="10"/>
      <color rgb="FF99CCFF"/>
      <name val="Arial"/>
      <family val="2"/>
    </font>
    <font>
      <sz val="10"/>
      <color rgb="FF00CC33"/>
      <name val="Arial"/>
      <family val="2"/>
    </font>
    <font>
      <sz val="10"/>
      <color rgb="FFFF0000"/>
      <name val="Arial"/>
      <family val="2"/>
    </font>
    <font>
      <sz val="10"/>
      <color rgb="FF999999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color rgb="FF0000FF"/>
      <name val="Arial"/>
      <family val="2"/>
    </font>
    <font>
      <b val="true"/>
      <sz val="9"/>
      <name val="Arial"/>
      <family val="2"/>
    </font>
    <font>
      <b val="true"/>
      <sz val="10"/>
      <color rgb="FFFF420E"/>
      <name val="Arial"/>
      <family val="2"/>
    </font>
    <font>
      <sz val="10"/>
      <color rgb="FF800000"/>
      <name val="Arial"/>
      <family val="2"/>
    </font>
    <font>
      <vertAlign val="superscript"/>
      <sz val="10"/>
      <name val="Arial"/>
      <family val="2"/>
    </font>
    <font>
      <u val="single"/>
      <sz val="10"/>
      <name val="Arial"/>
      <family val="2"/>
    </font>
    <font>
      <sz val="6"/>
      <name val="Arial"/>
      <family val="2"/>
    </font>
    <font>
      <sz val="10"/>
      <color rgb="FF99CCCC"/>
      <name val="Arial"/>
      <family val="2"/>
    </font>
    <font>
      <b val="true"/>
      <sz val="9"/>
      <color rgb="FFAECF00"/>
      <name val="Arial"/>
      <family val="2"/>
    </font>
    <font>
      <b val="true"/>
      <sz val="9"/>
      <color rgb="FFFF950E"/>
      <name val="Arial"/>
      <family val="2"/>
    </font>
    <font>
      <b val="true"/>
      <sz val="10"/>
      <color rgb="FF3333FF"/>
      <name val="Arial"/>
      <family val="2"/>
    </font>
    <font>
      <b val="true"/>
      <sz val="10"/>
      <color rgb="FF0000FF"/>
      <name val="Arial"/>
      <family val="2"/>
    </font>
    <font>
      <b val="true"/>
      <sz val="10"/>
      <color rgb="FF990000"/>
      <name val="Arial"/>
      <family val="2"/>
    </font>
    <font>
      <sz val="9"/>
      <color rgb="FFAECF00"/>
      <name val="Arial"/>
      <family val="2"/>
    </font>
    <font>
      <sz val="9"/>
      <color rgb="FFFF950E"/>
      <name val="Arial"/>
      <family val="2"/>
    </font>
    <font>
      <sz val="9"/>
      <color rgb="FF800000"/>
      <name val="Arial"/>
      <family val="2"/>
    </font>
    <font>
      <b val="true"/>
      <sz val="10"/>
      <color rgb="FF996633"/>
      <name val="Arial"/>
      <family val="2"/>
    </font>
    <font>
      <b val="true"/>
      <sz val="11"/>
      <name val="Arial"/>
      <family val="2"/>
    </font>
    <font>
      <sz val="9"/>
      <color rgb="FFE6E6FF"/>
      <name val="Arial"/>
      <family val="2"/>
    </font>
    <font>
      <b val="true"/>
      <sz val="10"/>
      <color rgb="FF993366"/>
      <name val="Arial"/>
      <family val="2"/>
    </font>
    <font>
      <b val="true"/>
      <sz val="10.5"/>
      <name val="Arial"/>
      <family val="2"/>
    </font>
    <font>
      <sz val="10"/>
      <color rgb="FFDDDDDD"/>
      <name val="Arial"/>
      <family val="2"/>
    </font>
    <font>
      <sz val="10"/>
      <color rgb="FFFF420E"/>
      <name val="Arial"/>
      <family val="2"/>
    </font>
    <font>
      <sz val="7"/>
      <color rgb="FF18376A"/>
      <name val="Arial"/>
      <family val="2"/>
    </font>
    <font>
      <sz val="15"/>
      <color rgb="FF18376A"/>
      <name val="Arial"/>
      <family val="2"/>
    </font>
    <font>
      <sz val="10"/>
      <color rgb="FF0000FF"/>
      <name val="Arial"/>
      <family val="2"/>
    </font>
    <font>
      <sz val="10"/>
      <color rgb="FFCC99CC"/>
      <name val="Arial"/>
      <family val="2"/>
    </font>
    <font>
      <sz val="9"/>
      <color rgb="FF0000FF"/>
      <name val="Arial"/>
      <family val="2"/>
    </font>
    <font>
      <i val="true"/>
      <sz val="8"/>
      <name val="Arial"/>
      <family val="2"/>
    </font>
    <font>
      <b val="true"/>
      <sz val="10"/>
      <color rgb="FFAECF00"/>
      <name val="Arial"/>
      <family val="2"/>
    </font>
    <font>
      <b val="true"/>
      <sz val="10"/>
      <color rgb="FFFF950E"/>
      <name val="Arial"/>
      <family val="2"/>
    </font>
    <font>
      <b val="true"/>
      <sz val="10"/>
      <color rgb="FF990066"/>
      <name val="Arial"/>
      <family val="2"/>
    </font>
    <font>
      <b val="true"/>
      <sz val="7"/>
      <color rgb="FFC5000B"/>
      <name val="Arial"/>
      <family val="2"/>
    </font>
    <font>
      <sz val="10"/>
      <color rgb="FFAECF00"/>
      <name val="Arial"/>
      <family val="2"/>
    </font>
    <font>
      <sz val="10"/>
      <color rgb="FF729FCF"/>
      <name val="Arial"/>
      <family val="2"/>
    </font>
    <font>
      <sz val="10"/>
      <color rgb="FFE6E6FF"/>
      <name val="Arial"/>
      <family val="2"/>
    </font>
    <font>
      <sz val="10"/>
      <color rgb="FFFF950E"/>
      <name val="Arial"/>
      <family val="2"/>
    </font>
    <font>
      <b val="true"/>
      <sz val="10"/>
      <color rgb="FF800000"/>
      <name val="Arial"/>
      <family val="2"/>
    </font>
    <font>
      <b val="true"/>
      <sz val="8"/>
      <name val="Arial"/>
      <family val="2"/>
    </font>
    <font>
      <b val="true"/>
      <u val="double"/>
      <sz val="10"/>
      <name val="Arial"/>
      <family val="2"/>
    </font>
    <font>
      <b val="true"/>
      <u val="double"/>
      <sz val="8"/>
      <name val="Arial"/>
      <family val="2"/>
    </font>
    <font>
      <u val="double"/>
      <sz val="10"/>
      <color rgb="FFB2B2B2"/>
      <name val="Arial"/>
      <family val="2"/>
    </font>
    <font>
      <u val="double"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rgb="FFCC0000"/>
      </patternFill>
    </fill>
    <fill>
      <patternFill patternType="solid">
        <fgColor rgb="FFFFCCFF"/>
        <bgColor rgb="FFE6E6FF"/>
      </patternFill>
    </fill>
    <fill>
      <patternFill patternType="solid">
        <fgColor rgb="FFEEEEEE"/>
        <bgColor rgb="FFE6E6FF"/>
      </patternFill>
    </fill>
    <fill>
      <patternFill patternType="solid">
        <fgColor rgb="FF009900"/>
        <bgColor rgb="FF00CC33"/>
      </patternFill>
    </fill>
    <fill>
      <patternFill patternType="solid">
        <fgColor rgb="FFCC9900"/>
        <bgColor rgb="FFFF950E"/>
      </patternFill>
    </fill>
    <fill>
      <patternFill patternType="solid">
        <fgColor rgb="FFCCCCCC"/>
        <bgColor rgb="FFDDDDDD"/>
      </patternFill>
    </fill>
    <fill>
      <patternFill patternType="solid">
        <fgColor rgb="FF99FF99"/>
        <bgColor rgb="FF99CCCC"/>
      </patternFill>
    </fill>
    <fill>
      <patternFill patternType="solid">
        <fgColor rgb="FFFFFF00"/>
        <bgColor rgb="FFFFCC00"/>
      </patternFill>
    </fill>
    <fill>
      <patternFill patternType="solid">
        <fgColor rgb="FFAECF00"/>
        <bgColor rgb="FFFFCC00"/>
      </patternFill>
    </fill>
    <fill>
      <patternFill patternType="solid">
        <fgColor rgb="FF00CCCC"/>
        <bgColor rgb="FF00FFFF"/>
      </patternFill>
    </fill>
    <fill>
      <patternFill patternType="solid">
        <fgColor rgb="FFFFFFCC"/>
        <bgColor rgb="FFFFFF99"/>
      </patternFill>
    </fill>
  </fills>
  <borders count="18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/>
      <bottom style="hair">
        <color rgb="FF111111"/>
      </bottom>
      <diagonal/>
    </border>
    <border diagonalUp="false" diagonalDown="false">
      <left/>
      <right/>
      <top style="hair">
        <color rgb="FF111111"/>
      </top>
      <bottom/>
      <diagonal/>
    </border>
    <border diagonalUp="false" diagonalDown="false">
      <left/>
      <right/>
      <top style="hair">
        <color rgb="FF99CCFF"/>
      </top>
      <bottom style="hair">
        <color rgb="FF99CCFF"/>
      </bottom>
      <diagonal/>
    </border>
    <border diagonalUp="false" diagonalDown="false">
      <left/>
      <right/>
      <top/>
      <bottom style="hair">
        <color rgb="FF99CCFF"/>
      </bottom>
      <diagonal/>
    </border>
    <border diagonalUp="false" diagonalDown="false">
      <left/>
      <right/>
      <top style="hair"/>
      <bottom/>
      <diagonal/>
    </border>
    <border diagonalUp="false" diagonalDown="false">
      <left style="double">
        <color rgb="FF336633"/>
      </left>
      <right/>
      <top style="double">
        <color rgb="FF336633"/>
      </top>
      <bottom/>
      <diagonal/>
    </border>
    <border diagonalUp="false" diagonalDown="false">
      <left/>
      <right/>
      <top style="double">
        <color rgb="FF336633"/>
      </top>
      <bottom/>
      <diagonal/>
    </border>
    <border diagonalUp="false" diagonalDown="false">
      <left/>
      <right style="double">
        <color rgb="FF336633"/>
      </right>
      <top style="double">
        <color rgb="FF336633"/>
      </top>
      <bottom/>
      <diagonal/>
    </border>
    <border diagonalUp="false" diagonalDown="false">
      <left style="double">
        <color rgb="FF336633"/>
      </left>
      <right/>
      <top/>
      <bottom/>
      <diagonal/>
    </border>
    <border diagonalUp="false" diagonalDown="false">
      <left/>
      <right style="double">
        <color rgb="FF336633"/>
      </right>
      <top/>
      <bottom/>
      <diagonal/>
    </border>
    <border diagonalUp="false" diagonalDown="false">
      <left style="double">
        <color rgb="FF336633"/>
      </left>
      <right/>
      <top style="hair"/>
      <bottom style="hair"/>
      <diagonal/>
    </border>
    <border diagonalUp="false" diagonalDown="false">
      <left/>
      <right style="double">
        <color rgb="FF336633"/>
      </right>
      <top style="hair"/>
      <bottom style="hair"/>
      <diagonal/>
    </border>
    <border diagonalUp="false" diagonalDown="false">
      <left style="double">
        <color rgb="FF336633"/>
      </left>
      <right/>
      <top/>
      <bottom style="double">
        <color rgb="FF336633"/>
      </bottom>
      <diagonal/>
    </border>
    <border diagonalUp="false" diagonalDown="false">
      <left/>
      <right/>
      <top/>
      <bottom style="double">
        <color rgb="FF336633"/>
      </bottom>
      <diagonal/>
    </border>
    <border diagonalUp="false" diagonalDown="false">
      <left/>
      <right style="double">
        <color rgb="FF336633"/>
      </right>
      <top/>
      <bottom style="double">
        <color rgb="FF336633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4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5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3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1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3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3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8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18" fillId="3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8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8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18" fillId="3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5" fontId="18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18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8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0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8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4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0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5" fontId="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1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0" fillId="4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5" fontId="0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4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6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0" fillId="4" borderId="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2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7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7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7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5" fontId="6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23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3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2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23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38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9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2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38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3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2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5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8" fillId="4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9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8" fillId="0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46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4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5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9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8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6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8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1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2" fontId="2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66" fillId="1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4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4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EEEEEE"/>
      <rgbColor rgb="FFFF0000"/>
      <rgbColor rgb="FF00CC33"/>
      <rgbColor rgb="FF0000FF"/>
      <rgbColor rgb="FFFFFF00"/>
      <rgbColor rgb="FFFF00FF"/>
      <rgbColor rgb="FF00FFFF"/>
      <rgbColor rgb="FF800000"/>
      <rgbColor rgb="FF009900"/>
      <rgbColor rgb="FF000080"/>
      <rgbColor rgb="FF996633"/>
      <rgbColor rgb="FF990066"/>
      <rgbColor rgb="FF008080"/>
      <rgbColor rgb="FFCCCCCC"/>
      <rgbColor rgb="FF669999"/>
      <rgbColor rgb="FF9999FF"/>
      <rgbColor rgb="FF993366"/>
      <rgbColor rgb="FFFFFFCC"/>
      <rgbColor rgb="FFE6E6FF"/>
      <rgbColor rgb="FF660066"/>
      <rgbColor rgb="FFFF8080"/>
      <rgbColor rgb="FF006EEB"/>
      <rgbColor rgb="FFDDDDDD"/>
      <rgbColor rgb="FF000080"/>
      <rgbColor rgb="FFFF00FF"/>
      <rgbColor rgb="FFCC9900"/>
      <rgbColor rgb="FF00FFFF"/>
      <rgbColor rgb="FF6600CC"/>
      <rgbColor rgb="FF990000"/>
      <rgbColor rgb="FF008080"/>
      <rgbColor rgb="FF0000FF"/>
      <rgbColor rgb="FF00CCCC"/>
      <rgbColor rgb="FF99CCCC"/>
      <rgbColor rgb="FF99FF99"/>
      <rgbColor rgb="FFFFFF99"/>
      <rgbColor rgb="FF99CCFF"/>
      <rgbColor rgb="FFB2B2B2"/>
      <rgbColor rgb="FFCC99CC"/>
      <rgbColor rgb="FFFFCCFF"/>
      <rgbColor rgb="FF3366FF"/>
      <rgbColor rgb="FF83CAFF"/>
      <rgbColor rgb="FFAECF00"/>
      <rgbColor rgb="FFFFCC00"/>
      <rgbColor rgb="FFFF950E"/>
      <rgbColor rgb="FFFF420E"/>
      <rgbColor rgb="FF729FCF"/>
      <rgbColor rgb="FF999999"/>
      <rgbColor rgb="FF18376A"/>
      <rgbColor rgb="FF339966"/>
      <rgbColor rgb="FF111111"/>
      <rgbColor rgb="FF333300"/>
      <rgbColor rgb="FFC5000B"/>
      <rgbColor rgb="FFCC0000"/>
      <rgbColor rgb="FF3333FF"/>
      <rgbColor rgb="FF3366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11</xdr:col>
      <xdr:colOff>14040</xdr:colOff>
      <xdr:row>22</xdr:row>
      <xdr:rowOff>39960</xdr:rowOff>
    </xdr:from>
    <xdr:to>
      <xdr:col>11</xdr:col>
      <xdr:colOff>97200</xdr:colOff>
      <xdr:row>23</xdr:row>
      <xdr:rowOff>151920</xdr:rowOff>
    </xdr:to>
    <xdr:sp>
      <xdr:nvSpPr>
        <xdr:cNvPr id="0" name="CustomShape 1"/>
        <xdr:cNvSpPr/>
      </xdr:nvSpPr>
      <xdr:spPr>
        <a:xfrm>
          <a:off x="5049360" y="3898080"/>
          <a:ext cx="83160" cy="298080"/>
        </a:xfrm>
        <a:prstGeom prst="rightBrace">
          <a:avLst>
            <a:gd name="adj1" fmla="val 1800"/>
            <a:gd name="adj2" fmla="val 5088"/>
          </a:avLst>
        </a:prstGeom>
        <a:noFill/>
        <a:ln w="18360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11</xdr:col>
      <xdr:colOff>7920</xdr:colOff>
      <xdr:row>83</xdr:row>
      <xdr:rowOff>64800</xdr:rowOff>
    </xdr:from>
    <xdr:to>
      <xdr:col>11</xdr:col>
      <xdr:colOff>113400</xdr:colOff>
      <xdr:row>85</xdr:row>
      <xdr:rowOff>20520</xdr:rowOff>
    </xdr:to>
    <xdr:sp>
      <xdr:nvSpPr>
        <xdr:cNvPr id="1" name="CustomShape 1"/>
        <xdr:cNvSpPr/>
      </xdr:nvSpPr>
      <xdr:spPr>
        <a:xfrm>
          <a:off x="6285960" y="13992840"/>
          <a:ext cx="105480" cy="280800"/>
        </a:xfrm>
        <a:prstGeom prst="rightBrace">
          <a:avLst>
            <a:gd name="adj1" fmla="val 1800"/>
            <a:gd name="adj2" fmla="val 10800"/>
          </a:avLst>
        </a:prstGeom>
        <a:noFill/>
        <a:ln w="18360">
          <a:solidFill>
            <a:srgbClr val="000000"/>
          </a:solidFill>
          <a:round/>
        </a:ln>
      </xdr:spPr>
    </xdr:sp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hyperlink" Target="https://img1.wsimg.com/blobby/go/f9e3a0fb-605a-4149-a3d0-1321eb3788fa/downloads/Expense%20Contingencies.pdf?ver=1554503779723" TargetMode="External"/><Relationship Id="rId3" Type="http://schemas.openxmlformats.org/officeDocument/2006/relationships/hyperlink" Target="https://img1.wsimg.com/blobby/go/f9e3a0fb-605a-4149-a3d0-1321eb3788fa/downloads/Expense%20Contingencies.pdf?ver=1554503779723" TargetMode="External"/><Relationship Id="rId4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hyperlink" Target="https://img1.wsimg.com/blobby/go/f9e3a0fb-605a-4149-a3d0-1321eb3788fa/downloads/Screen%20Shot%202019-08-06%20at%201.30.18%20PM.png?ver=1565123658506" TargetMode="External"/><Relationship Id="rId3" Type="http://schemas.openxmlformats.org/officeDocument/2006/relationships/hyperlink" Target="https://img1.wsimg.com/blobby/go/f9e3a0fb-605a-4149-a3d0-1321eb3788fa/downloads/PHASE%20Ia%20Lots%2050-ac.jpg?ver=1565212165963" TargetMode="External"/><Relationship Id="rId4" Type="http://schemas.openxmlformats.org/officeDocument/2006/relationships/hyperlink" Target="https://img1.wsimg.com/blobby/go/f9e3a0fb-605a-4149-a3d0-1321eb3788fa/downloads/Arroyos%20Clubhouse3.pdf?ver=1565193526845" TargetMode="External"/><Relationship Id="rId5" Type="http://schemas.openxmlformats.org/officeDocument/2006/relationships/hyperlink" Target="https://www.ebay.com/itm/1972-Shasta-Compact-vintage-camper-/233305518530" TargetMode="External"/><Relationship Id="rId6" Type="http://schemas.openxmlformats.org/officeDocument/2006/relationships/drawing" Target="../drawings/drawing2.xml"/><Relationship Id="rId7" Type="http://schemas.openxmlformats.org/officeDocument/2006/relationships/vmlDrawing" Target="../drawings/vmlDrawing4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999FF"/>
    <pageSetUpPr fitToPage="false"/>
  </sheetPr>
  <dimension ref="B2:J5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2.8"/>
  <cols>
    <col collapsed="false" hidden="false" max="1025" min="1" style="0" width="11.5204081632653"/>
  </cols>
  <sheetData>
    <row r="2" customFormat="false" ht="12.8" hidden="false" customHeight="true" outlineLevel="0" collapsed="false">
      <c r="I2" s="1"/>
    </row>
    <row r="3" customFormat="false" ht="15" hidden="false" customHeight="true" outlineLevel="0" collapsed="false">
      <c r="B3" s="2" t="s">
        <v>0</v>
      </c>
      <c r="I3" s="1"/>
    </row>
    <row r="4" customFormat="false" ht="15" hidden="false" customHeight="true" outlineLevel="0" collapsed="false">
      <c r="B4" s="3" t="s">
        <v>1</v>
      </c>
    </row>
    <row r="5" customFormat="false" ht="15" hidden="false" customHeight="true" outlineLevel="0" collapsed="false">
      <c r="B5" s="3"/>
    </row>
    <row r="7" customFormat="false" ht="12.8" hidden="false" customHeight="true" outlineLevel="0" collapsed="false">
      <c r="B7" s="4" t="s">
        <v>2</v>
      </c>
    </row>
    <row r="8" customFormat="false" ht="12.8" hidden="false" customHeight="true" outlineLevel="0" collapsed="false">
      <c r="B8" s="5" t="s">
        <v>3</v>
      </c>
      <c r="C8" s="5" t="s">
        <v>4</v>
      </c>
    </row>
    <row r="9" customFormat="false" ht="12.8" hidden="false" customHeight="true" outlineLevel="0" collapsed="false">
      <c r="C9" s="5" t="s">
        <v>5</v>
      </c>
    </row>
    <row r="10" customFormat="false" ht="13" hidden="false" customHeight="true" outlineLevel="0" collapsed="false">
      <c r="B10" s="6" t="s">
        <v>6</v>
      </c>
      <c r="C10" s="6" t="s">
        <v>7</v>
      </c>
    </row>
    <row r="11" customFormat="false" ht="13" hidden="false" customHeight="true" outlineLevel="0" collapsed="false">
      <c r="B11" s="7" t="s">
        <v>8</v>
      </c>
      <c r="C11" s="7" t="s">
        <v>9</v>
      </c>
    </row>
    <row r="12" customFormat="false" ht="12.8" hidden="false" customHeight="true" outlineLevel="0" collapsed="false">
      <c r="C12" s="7" t="s">
        <v>10</v>
      </c>
    </row>
    <row r="13" customFormat="false" ht="15" hidden="false" customHeight="true" outlineLevel="0" collapsed="false">
      <c r="B13" s="8"/>
    </row>
    <row r="14" customFormat="false" ht="12.8" hidden="false" customHeight="true" outlineLevel="0" collapsed="false">
      <c r="B14" s="5" t="s">
        <v>11</v>
      </c>
    </row>
    <row r="15" customFormat="false" ht="12.8" hidden="false" customHeight="true" outlineLevel="0" collapsed="false">
      <c r="B15" s="5"/>
    </row>
    <row r="16" customFormat="false" ht="12.8" hidden="false" customHeight="true" outlineLevel="0" collapsed="false">
      <c r="B16" s="5" t="s">
        <v>12</v>
      </c>
    </row>
    <row r="17" customFormat="false" ht="12.8" hidden="false" customHeight="true" outlineLevel="0" collapsed="false">
      <c r="B17" s="4" t="s">
        <v>13</v>
      </c>
    </row>
    <row r="18" customFormat="false" ht="12.8" hidden="false" customHeight="true" outlineLevel="0" collapsed="false">
      <c r="B18" s="9"/>
    </row>
    <row r="19" customFormat="false" ht="13.05" hidden="false" customHeight="true" outlineLevel="0" collapsed="false">
      <c r="B19" s="5" t="s">
        <v>14</v>
      </c>
    </row>
    <row r="20" customFormat="false" ht="12.8" hidden="false" customHeight="true" outlineLevel="0" collapsed="false">
      <c r="B20" s="4" t="s">
        <v>15</v>
      </c>
    </row>
    <row r="21" customFormat="false" ht="12.8" hidden="false" customHeight="true" outlineLevel="0" collapsed="false">
      <c r="B21" s="9"/>
    </row>
    <row r="22" customFormat="false" ht="12.8" hidden="false" customHeight="true" outlineLevel="0" collapsed="false">
      <c r="B22" s="5" t="s">
        <v>16</v>
      </c>
    </row>
    <row r="23" customFormat="false" ht="12.8" hidden="false" customHeight="true" outlineLevel="0" collapsed="false">
      <c r="B23" s="4" t="s">
        <v>17</v>
      </c>
    </row>
    <row r="24" customFormat="false" ht="12.8" hidden="false" customHeight="true" outlineLevel="0" collapsed="false">
      <c r="B24" s="9"/>
    </row>
    <row r="25" customFormat="false" ht="13.05" hidden="false" customHeight="true" outlineLevel="0" collapsed="false">
      <c r="B25" s="4" t="s">
        <v>18</v>
      </c>
    </row>
    <row r="26" customFormat="false" ht="12.8" hidden="false" customHeight="true" outlineLevel="0" collapsed="false">
      <c r="B26" s="4" t="s">
        <v>19</v>
      </c>
    </row>
    <row r="27" customFormat="false" ht="12.8" hidden="false" customHeight="true" outlineLevel="0" collapsed="false">
      <c r="B27" s="9"/>
    </row>
    <row r="28" customFormat="false" ht="12.8" hidden="false" customHeight="true" outlineLevel="0" collapsed="false">
      <c r="B28" s="5" t="s">
        <v>20</v>
      </c>
    </row>
    <row r="29" customFormat="false" ht="12.8" hidden="false" customHeight="true" outlineLevel="0" collapsed="false">
      <c r="B29" s="4" t="s">
        <v>21</v>
      </c>
    </row>
    <row r="30" customFormat="false" ht="12.8" hidden="false" customHeight="true" outlineLevel="0" collapsed="false">
      <c r="B30" s="9"/>
    </row>
    <row r="31" customFormat="false" ht="13.05" hidden="false" customHeight="true" outlineLevel="0" collapsed="false">
      <c r="B31" s="5" t="s">
        <v>22</v>
      </c>
    </row>
    <row r="32" customFormat="false" ht="12.8" hidden="false" customHeight="true" outlineLevel="0" collapsed="false">
      <c r="B32" s="4" t="s">
        <v>23</v>
      </c>
    </row>
    <row r="33" customFormat="false" ht="12.8" hidden="false" customHeight="true" outlineLevel="0" collapsed="false">
      <c r="B33" s="9"/>
    </row>
    <row r="34" customFormat="false" ht="12.8" hidden="false" customHeight="true" outlineLevel="0" collapsed="false">
      <c r="B34" s="5" t="s">
        <v>24</v>
      </c>
    </row>
    <row r="35" customFormat="false" ht="13.05" hidden="false" customHeight="true" outlineLevel="0" collapsed="false">
      <c r="B35" s="4" t="s">
        <v>25</v>
      </c>
    </row>
    <row r="36" customFormat="false" ht="12.8" hidden="false" customHeight="true" outlineLevel="0" collapsed="false">
      <c r="B36" s="9"/>
    </row>
    <row r="37" customFormat="false" ht="13.05" hidden="false" customHeight="true" outlineLevel="0" collapsed="false">
      <c r="B37" s="5" t="s">
        <v>26</v>
      </c>
    </row>
    <row r="38" customFormat="false" ht="36.15" hidden="false" customHeight="true" outlineLevel="0" collapsed="false">
      <c r="B38" s="10" t="s">
        <v>27</v>
      </c>
      <c r="C38" s="10"/>
      <c r="D38" s="10"/>
      <c r="E38" s="10"/>
      <c r="F38" s="10"/>
      <c r="G38" s="10"/>
      <c r="H38" s="10"/>
      <c r="I38" s="10"/>
      <c r="J38" s="10"/>
    </row>
    <row r="40" customFormat="false" ht="12.8" hidden="false" customHeight="true" outlineLevel="0" collapsed="false">
      <c r="B40" s="5" t="s">
        <v>28</v>
      </c>
    </row>
    <row r="41" customFormat="false" ht="12.8" hidden="false" customHeight="true" outlineLevel="0" collapsed="false">
      <c r="B41" s="5"/>
    </row>
    <row r="42" customFormat="false" ht="13" hidden="false" customHeight="true" outlineLevel="0" collapsed="false">
      <c r="B42" s="5" t="s">
        <v>29</v>
      </c>
    </row>
    <row r="43" customFormat="false" ht="12.8" hidden="false" customHeight="true" outlineLevel="0" collapsed="false">
      <c r="B43" s="4" t="s">
        <v>30</v>
      </c>
    </row>
    <row r="44" customFormat="false" ht="12.8" hidden="false" customHeight="true" outlineLevel="0" collapsed="false">
      <c r="B44" s="9"/>
    </row>
    <row r="45" customFormat="false" ht="13" hidden="false" customHeight="true" outlineLevel="0" collapsed="false">
      <c r="B45" s="5" t="s">
        <v>31</v>
      </c>
    </row>
    <row r="46" customFormat="false" ht="12.8" hidden="false" customHeight="true" outlineLevel="0" collapsed="false">
      <c r="B46" s="4" t="s">
        <v>32</v>
      </c>
    </row>
    <row r="47" customFormat="false" ht="12.8" hidden="false" customHeight="true" outlineLevel="0" collapsed="false">
      <c r="B47" s="9"/>
    </row>
    <row r="48" customFormat="false" ht="12.8" hidden="false" customHeight="true" outlineLevel="0" collapsed="false">
      <c r="B48" s="5" t="s">
        <v>33</v>
      </c>
    </row>
    <row r="49" customFormat="false" ht="12.8" hidden="false" customHeight="true" outlineLevel="0" collapsed="false">
      <c r="B49" s="0" t="s">
        <v>34</v>
      </c>
    </row>
    <row r="50" customFormat="false" ht="12.8" hidden="false" customHeight="true" outlineLevel="0" collapsed="false">
      <c r="B50" s="9"/>
    </row>
    <row r="51" customFormat="false" ht="13" hidden="false" customHeight="true" outlineLevel="0" collapsed="false">
      <c r="B51" s="5" t="s">
        <v>35</v>
      </c>
    </row>
    <row r="52" customFormat="false" ht="12.8" hidden="false" customHeight="true" outlineLevel="0" collapsed="false">
      <c r="B52" s="4" t="s">
        <v>36</v>
      </c>
    </row>
  </sheetData>
  <mergeCells count="1">
    <mergeCell ref="B38:J38"/>
  </mergeCells>
  <printOptions headings="false" gridLines="false" gridLinesSet="true" horizontalCentered="false" verticalCentered="false"/>
  <pageMargins left="0.575" right="0.0430555555555556" top="0.748611111111111" bottom="0.395138888888889" header="0.483333333333333" footer="0.129861111111111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Roman,Regular"&amp;12The ArroyosPreserve Luxury RV Park Campground and Recreation Village</oddHeader>
    <oddFooter>&amp;C&amp;"Times New Roman,Regular"&amp;12&amp;D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8080"/>
    <pageSetUpPr fitToPage="false"/>
  </sheetPr>
  <dimension ref="A2:AO185"/>
  <sheetViews>
    <sheetView windowProtection="false" showFormulas="false" showGridLines="true" showRowColHeaders="true" showZeros="true" rightToLeft="false" tabSelected="false" showOutlineSymbols="true" defaultGridColor="true" view="normal" topLeftCell="A59" colorId="64" zoomScale="90" zoomScaleNormal="90" zoomScalePageLayoutView="100" workbookViewId="0">
      <selection pane="topLeft" activeCell="Q85" activeCellId="0" sqref="Q85"/>
    </sheetView>
  </sheetViews>
  <sheetFormatPr defaultRowHeight="12.8"/>
  <cols>
    <col collapsed="false" hidden="false" max="1" min="1" style="0" width="6.19897959183674"/>
    <col collapsed="false" hidden="false" max="2" min="2" style="0" width="10.2704081632653"/>
    <col collapsed="false" hidden="false" max="3" min="3" style="0" width="1.37755102040816"/>
    <col collapsed="false" hidden="false" max="4" min="4" style="0" width="11.5204081632653"/>
    <col collapsed="false" hidden="false" max="5" min="5" style="0" width="10.8979591836735"/>
    <col collapsed="false" hidden="false" max="6" min="6" style="0" width="4.82142857142857"/>
    <col collapsed="false" hidden="false" max="7" min="7" style="0" width="4.68877551020408"/>
    <col collapsed="false" hidden="false" max="8" min="8" style="0" width="3.99489795918367"/>
    <col collapsed="false" hidden="false" max="9" min="9" style="0" width="6.19897959183674"/>
    <col collapsed="false" hidden="false" max="10" min="10" style="0" width="4.54591836734694"/>
    <col collapsed="false" hidden="false" max="11" min="11" style="0" width="11.5816326530612"/>
    <col collapsed="false" hidden="false" max="12" min="12" style="11" width="5.37244897959184"/>
    <col collapsed="false" hidden="false" max="13" min="13" style="0" width="6.6530612244898"/>
    <col collapsed="false" hidden="false" max="14" min="14" style="0" width="10.6530612244898"/>
    <col collapsed="false" hidden="false" max="15" min="15" style="0" width="4.15816326530612"/>
    <col collapsed="false" hidden="false" max="16" min="16" style="12" width="6.26530612244898"/>
    <col collapsed="false" hidden="false" max="17" min="17" style="0" width="11.5204081632653"/>
    <col collapsed="false" hidden="false" max="18" min="18" style="0" width="4.68877551020408"/>
    <col collapsed="false" hidden="false" max="19" min="19" style="0" width="5.37244897959184"/>
    <col collapsed="false" hidden="false" max="20" min="20" style="0" width="11.5204081632653"/>
    <col collapsed="false" hidden="false" max="21" min="21" style="0" width="4.53571428571429"/>
    <col collapsed="false" hidden="false" max="23" min="22" style="0" width="11.5204081632653"/>
    <col collapsed="false" hidden="false" max="24" min="24" style="0" width="4.37244897959184"/>
    <col collapsed="false" hidden="false" max="25" min="25" style="0" width="4.70918367346939"/>
    <col collapsed="false" hidden="false" max="26" min="26" style="0" width="4.86734693877551"/>
    <col collapsed="false" hidden="false" max="27" min="27" style="0" width="8.5969387755102"/>
    <col collapsed="false" hidden="false" max="28" min="28" style="0" width="4.86734693877551"/>
    <col collapsed="false" hidden="false" max="29" min="29" style="0" width="10.8724489795918"/>
    <col collapsed="false" hidden="false" max="30" min="30" style="0" width="7.94897959183674"/>
    <col collapsed="false" hidden="false" max="31" min="31" style="0" width="7.45918367346939"/>
    <col collapsed="false" hidden="false" max="1025" min="32" style="0" width="11.5204081632653"/>
  </cols>
  <sheetData>
    <row r="2" customFormat="false" ht="12.8" hidden="false" customHeight="true" outlineLevel="0" collapsed="false">
      <c r="B2" s="13"/>
      <c r="C2" s="13"/>
      <c r="D2" s="13"/>
      <c r="E2" s="14" t="s">
        <v>37</v>
      </c>
      <c r="F2" s="14"/>
      <c r="G2" s="14"/>
      <c r="H2" s="14"/>
      <c r="I2" s="14"/>
      <c r="J2" s="14"/>
      <c r="K2" s="14"/>
      <c r="L2" s="14"/>
      <c r="M2" s="13"/>
      <c r="N2" s="13"/>
      <c r="O2" s="4"/>
    </row>
    <row r="3" customFormat="false" ht="12.8" hidden="false" customHeight="true" outlineLevel="0" collapsed="false">
      <c r="B3" s="13"/>
      <c r="C3" s="15"/>
      <c r="D3" s="16"/>
      <c r="E3" s="17" t="s">
        <v>38</v>
      </c>
      <c r="F3" s="17"/>
      <c r="G3" s="17"/>
      <c r="H3" s="17"/>
      <c r="I3" s="17"/>
      <c r="J3" s="17"/>
      <c r="K3" s="17"/>
      <c r="L3" s="17"/>
      <c r="M3" s="16"/>
      <c r="N3" s="13"/>
      <c r="O3" s="4"/>
    </row>
    <row r="4" customFormat="false" ht="12.8" hidden="false" customHeight="true" outlineLevel="0" collapsed="false">
      <c r="B4" s="13"/>
      <c r="C4" s="18"/>
      <c r="D4" s="19"/>
      <c r="E4" s="20" t="str">
        <f aca="false">"Total "&amp;TEXT(F5+F12+F22,"###.#")&amp;" Sites in Build-1"</f>
        <v>Total 310 Sites in Build-1</v>
      </c>
      <c r="F4" s="20"/>
      <c r="G4" s="20"/>
      <c r="H4" s="20"/>
      <c r="I4" s="20"/>
      <c r="J4" s="20"/>
      <c r="K4" s="20"/>
      <c r="L4" s="20"/>
      <c r="M4" s="19"/>
      <c r="N4" s="13"/>
      <c r="O4" s="4"/>
    </row>
    <row r="5" customFormat="false" ht="12.8" hidden="false" customHeight="true" outlineLevel="0" collapsed="false">
      <c r="B5" s="15" t="s">
        <v>39</v>
      </c>
      <c r="C5" s="21"/>
      <c r="D5" s="22" t="n">
        <f aca="false">K6+K7</f>
        <v>500845.7</v>
      </c>
      <c r="E5" s="23" t="s">
        <v>40</v>
      </c>
      <c r="F5" s="17" t="n">
        <f aca="false">SUM(F6:F10)</f>
        <v>122</v>
      </c>
      <c r="G5" s="24"/>
      <c r="H5" s="16"/>
      <c r="I5" s="25" t="s">
        <v>41</v>
      </c>
      <c r="J5" s="25"/>
      <c r="K5" s="24" t="s">
        <v>42</v>
      </c>
      <c r="L5" s="26" t="s">
        <v>43</v>
      </c>
      <c r="M5" s="24" t="s">
        <v>44</v>
      </c>
      <c r="N5" s="13"/>
      <c r="O5" s="4"/>
    </row>
    <row r="6" customFormat="false" ht="12.8" hidden="false" customHeight="true" outlineLevel="0" collapsed="false">
      <c r="B6" s="27"/>
      <c r="C6" s="27"/>
      <c r="D6" s="13" t="s">
        <v>45</v>
      </c>
      <c r="E6" s="13"/>
      <c r="F6" s="28" t="n">
        <v>63</v>
      </c>
      <c r="G6" s="29" t="n">
        <v>46</v>
      </c>
      <c r="H6" s="30" t="s">
        <v>46</v>
      </c>
      <c r="I6" s="31" t="n">
        <v>0.77</v>
      </c>
      <c r="J6" s="28"/>
      <c r="K6" s="32" t="n">
        <f aca="false">(F6*G6)*365*(1-I6)</f>
        <v>243287.1</v>
      </c>
      <c r="L6" s="33" t="n">
        <f aca="false">ROUND(K6/$K$30,2)</f>
        <v>0.25</v>
      </c>
      <c r="M6" s="13" t="n">
        <f aca="false">K6/F6</f>
        <v>3861.7</v>
      </c>
      <c r="N6" s="28"/>
      <c r="O6" s="4"/>
      <c r="P6" s="34" t="n">
        <v>0.22</v>
      </c>
    </row>
    <row r="7" customFormat="false" ht="12.8" hidden="false" customHeight="true" outlineLevel="0" collapsed="false">
      <c r="B7" s="13"/>
      <c r="C7" s="13"/>
      <c r="D7" s="13" t="s">
        <v>47</v>
      </c>
      <c r="E7" s="13"/>
      <c r="F7" s="28" t="n">
        <v>59</v>
      </c>
      <c r="G7" s="29" t="n">
        <v>52</v>
      </c>
      <c r="H7" s="30" t="s">
        <v>46</v>
      </c>
      <c r="I7" s="31" t="n">
        <v>0.77</v>
      </c>
      <c r="J7" s="28"/>
      <c r="K7" s="32" t="n">
        <f aca="false">(F7*G7)*365*(1-I7)</f>
        <v>257558.6</v>
      </c>
      <c r="L7" s="33" t="n">
        <f aca="false">ROUND(K7/$K$30,2)</f>
        <v>0.26</v>
      </c>
      <c r="M7" s="13" t="n">
        <f aca="false">K7/F7</f>
        <v>4365.4</v>
      </c>
      <c r="N7" s="13"/>
      <c r="P7" s="12" t="n">
        <f aca="false">49*49*P6*365</f>
        <v>192800.3</v>
      </c>
    </row>
    <row r="8" customFormat="false" ht="12.8" hidden="false" customHeight="true" outlineLevel="0" collapsed="false">
      <c r="B8" s="27"/>
      <c r="C8" s="27"/>
      <c r="D8" s="13" t="s">
        <v>48</v>
      </c>
      <c r="E8" s="13"/>
      <c r="F8" s="28" t="n">
        <v>0</v>
      </c>
      <c r="G8" s="29" t="n">
        <v>120</v>
      </c>
      <c r="H8" s="30" t="s">
        <v>46</v>
      </c>
      <c r="I8" s="31" t="n">
        <v>0.85</v>
      </c>
      <c r="J8" s="28"/>
      <c r="K8" s="32" t="n">
        <f aca="false">(F8*G8)*365*(1-I8)</f>
        <v>0</v>
      </c>
      <c r="L8" s="33" t="n">
        <f aca="false">ROUND(K8/$K$30,2)</f>
        <v>0</v>
      </c>
      <c r="M8" s="13"/>
      <c r="N8" s="13"/>
      <c r="O8" s="4"/>
    </row>
    <row r="9" customFormat="false" ht="12.8" hidden="false" customHeight="true" outlineLevel="0" collapsed="false">
      <c r="B9" s="27"/>
      <c r="C9" s="27"/>
      <c r="D9" s="13" t="s">
        <v>49</v>
      </c>
      <c r="E9" s="13"/>
      <c r="F9" s="28" t="n">
        <v>0</v>
      </c>
      <c r="G9" s="29" t="n">
        <v>69</v>
      </c>
      <c r="H9" s="30" t="s">
        <v>46</v>
      </c>
      <c r="I9" s="31" t="n">
        <v>0.8</v>
      </c>
      <c r="J9" s="28"/>
      <c r="K9" s="32" t="n">
        <f aca="false">(F9*G9)*365*(1-I9)</f>
        <v>0</v>
      </c>
      <c r="L9" s="33" t="n">
        <f aca="false">ROUND(K9/$K$30,2)</f>
        <v>0</v>
      </c>
      <c r="M9" s="13"/>
      <c r="N9" s="13"/>
      <c r="O9" s="4"/>
      <c r="P9" s="12" t="n">
        <f aca="false">(F7*G7)/0.2</f>
        <v>15340</v>
      </c>
    </row>
    <row r="10" customFormat="false" ht="12.8" hidden="false" customHeight="true" outlineLevel="0" collapsed="false">
      <c r="B10" s="27"/>
      <c r="C10" s="27"/>
      <c r="D10" s="13" t="s">
        <v>50</v>
      </c>
      <c r="E10" s="13"/>
      <c r="F10" s="28" t="n">
        <v>0</v>
      </c>
      <c r="G10" s="29" t="n">
        <v>35</v>
      </c>
      <c r="H10" s="30" t="s">
        <v>46</v>
      </c>
      <c r="I10" s="31" t="n">
        <v>0.9</v>
      </c>
      <c r="J10" s="28"/>
      <c r="K10" s="32" t="n">
        <f aca="false">(F10*G10)*365*(1-I10)</f>
        <v>0</v>
      </c>
      <c r="L10" s="33" t="n">
        <f aca="false">ROUND(K10/$K$30,2)</f>
        <v>0</v>
      </c>
      <c r="M10" s="13"/>
      <c r="N10" s="13"/>
      <c r="O10" s="4"/>
    </row>
    <row r="11" customFormat="false" ht="12.8" hidden="false" customHeight="true" outlineLevel="0" collapsed="false">
      <c r="B11" s="27"/>
      <c r="C11" s="27"/>
      <c r="D11" s="13"/>
      <c r="E11" s="13"/>
      <c r="F11" s="28"/>
      <c r="G11" s="29"/>
      <c r="H11" s="30"/>
      <c r="I11" s="31"/>
      <c r="J11" s="28"/>
      <c r="K11" s="35" t="n">
        <f aca="false">SUM(K6:K10)</f>
        <v>500845.7</v>
      </c>
      <c r="L11" s="33"/>
      <c r="M11" s="13" t="n">
        <f aca="false">K11/12</f>
        <v>41737.1416666667</v>
      </c>
      <c r="N11" s="13" t="s">
        <v>51</v>
      </c>
      <c r="O11" s="4"/>
    </row>
    <row r="12" customFormat="false" ht="12.95" hidden="false" customHeight="true" outlineLevel="0" collapsed="false">
      <c r="B12" s="36" t="s">
        <v>52</v>
      </c>
      <c r="C12" s="13"/>
      <c r="D12" s="37" t="n">
        <f aca="false">K13+K14+K15+K16</f>
        <v>338026.5</v>
      </c>
      <c r="E12" s="38" t="s">
        <v>40</v>
      </c>
      <c r="F12" s="39" t="n">
        <f aca="false">SUM(F13:F16)</f>
        <v>52</v>
      </c>
      <c r="G12" s="40"/>
      <c r="H12" s="19"/>
      <c r="I12" s="41"/>
      <c r="J12" s="20"/>
      <c r="K12" s="42"/>
      <c r="L12" s="43"/>
      <c r="M12" s="19"/>
      <c r="N12" s="13"/>
      <c r="O12" s="4"/>
    </row>
    <row r="13" customFormat="false" ht="12.8" hidden="false" customHeight="true" outlineLevel="0" collapsed="false">
      <c r="B13" s="13"/>
      <c r="C13" s="13"/>
      <c r="D13" s="13" t="s">
        <v>45</v>
      </c>
      <c r="E13" s="13"/>
      <c r="F13" s="28" t="n">
        <v>29</v>
      </c>
      <c r="G13" s="29" t="n">
        <v>56</v>
      </c>
      <c r="H13" s="30" t="s">
        <v>46</v>
      </c>
      <c r="I13" s="31" t="n">
        <v>0.7</v>
      </c>
      <c r="J13" s="28"/>
      <c r="K13" s="32" t="n">
        <f aca="false">(F13*G13)*365*(1-I13)</f>
        <v>177828</v>
      </c>
      <c r="L13" s="33" t="n">
        <f aca="false">ROUND(K13/$K$30,2)</f>
        <v>0.18</v>
      </c>
      <c r="M13" s="13" t="n">
        <f aca="false">K13/F13</f>
        <v>6132</v>
      </c>
      <c r="N13" s="13"/>
      <c r="O13" s="4"/>
    </row>
    <row r="14" customFormat="false" ht="12.8" hidden="false" customHeight="true" outlineLevel="0" collapsed="false">
      <c r="B14" s="27"/>
      <c r="C14" s="27"/>
      <c r="D14" s="13" t="s">
        <v>50</v>
      </c>
      <c r="E14" s="13"/>
      <c r="F14" s="28" t="n">
        <v>7</v>
      </c>
      <c r="G14" s="29" t="n">
        <v>35</v>
      </c>
      <c r="H14" s="30" t="s">
        <v>46</v>
      </c>
      <c r="I14" s="31" t="n">
        <v>0.9</v>
      </c>
      <c r="J14" s="28"/>
      <c r="K14" s="32" t="n">
        <f aca="false">(F14*G14)*365*(1-I14)</f>
        <v>8942.5</v>
      </c>
      <c r="L14" s="33" t="n">
        <f aca="false">ROUND(K14/$K$30,2)</f>
        <v>0.01</v>
      </c>
      <c r="M14" s="13" t="n">
        <f aca="false">K14/F14</f>
        <v>1277.5</v>
      </c>
      <c r="N14" s="13"/>
      <c r="O14" s="4"/>
    </row>
    <row r="15" customFormat="false" ht="12.8" hidden="false" customHeight="true" outlineLevel="0" collapsed="false">
      <c r="B15" s="27"/>
      <c r="C15" s="27"/>
      <c r="D15" s="13" t="s">
        <v>53</v>
      </c>
      <c r="E15" s="13"/>
      <c r="F15" s="28" t="n">
        <v>8</v>
      </c>
      <c r="G15" s="29" t="n">
        <v>94</v>
      </c>
      <c r="H15" s="30" t="s">
        <v>46</v>
      </c>
      <c r="I15" s="31" t="n">
        <v>0.8</v>
      </c>
      <c r="J15" s="28"/>
      <c r="K15" s="32" t="n">
        <f aca="false">(F15*G15)*365*(1-I15)</f>
        <v>54896</v>
      </c>
      <c r="L15" s="33" t="n">
        <f aca="false">ROUND(K15/$K$30,2)</f>
        <v>0.06</v>
      </c>
      <c r="M15" s="13" t="n">
        <f aca="false">K15/F15</f>
        <v>6862</v>
      </c>
      <c r="N15" s="13"/>
      <c r="O15" s="4"/>
    </row>
    <row r="16" customFormat="false" ht="12.8" hidden="false" customHeight="true" outlineLevel="0" collapsed="false">
      <c r="B16" s="27"/>
      <c r="C16" s="27"/>
      <c r="D16" s="13" t="s">
        <v>54</v>
      </c>
      <c r="E16" s="13"/>
      <c r="F16" s="28" t="n">
        <v>8</v>
      </c>
      <c r="G16" s="29" t="n">
        <v>110</v>
      </c>
      <c r="H16" s="30" t="s">
        <v>46</v>
      </c>
      <c r="I16" s="31" t="n">
        <v>0.7</v>
      </c>
      <c r="J16" s="28"/>
      <c r="K16" s="32" t="n">
        <f aca="false">(F16*G16)*365*(1-I16)</f>
        <v>96360</v>
      </c>
      <c r="L16" s="33" t="n">
        <f aca="false">ROUND(K16/$K$30,2)</f>
        <v>0.1</v>
      </c>
      <c r="M16" s="13" t="n">
        <f aca="false">K16/F16</f>
        <v>12045</v>
      </c>
      <c r="N16" s="13"/>
      <c r="O16" s="4"/>
    </row>
    <row r="17" customFormat="false" ht="12.8" hidden="false" customHeight="true" outlineLevel="0" collapsed="false">
      <c r="B17" s="27"/>
      <c r="C17" s="27"/>
      <c r="D17" s="13" t="s">
        <v>55</v>
      </c>
      <c r="E17" s="13"/>
      <c r="F17" s="28" t="n">
        <v>1</v>
      </c>
      <c r="G17" s="32"/>
      <c r="H17" s="28"/>
      <c r="I17" s="13"/>
      <c r="J17" s="28"/>
      <c r="K17" s="32" t="n">
        <v>7500</v>
      </c>
      <c r="L17" s="33" t="n">
        <f aca="false">ROUND(K17/$K$30,2)</f>
        <v>0.01</v>
      </c>
      <c r="M17" s="13"/>
      <c r="N17" s="13"/>
      <c r="O17" s="4"/>
    </row>
    <row r="18" customFormat="false" ht="12.8" hidden="false" customHeight="true" outlineLevel="0" collapsed="false">
      <c r="B18" s="27"/>
      <c r="C18" s="27"/>
      <c r="D18" s="13" t="s">
        <v>56</v>
      </c>
      <c r="E18" s="13"/>
      <c r="F18" s="28"/>
      <c r="G18" s="28"/>
      <c r="H18" s="28"/>
      <c r="I18" s="13"/>
      <c r="J18" s="28"/>
      <c r="K18" s="32" t="n">
        <v>20000</v>
      </c>
      <c r="L18" s="33" t="n">
        <f aca="false">ROUND(K18/$K$30,2)</f>
        <v>0.02</v>
      </c>
      <c r="M18" s="13"/>
      <c r="N18" s="13"/>
      <c r="O18" s="4"/>
    </row>
    <row r="19" customFormat="false" ht="12.8" hidden="false" customHeight="true" outlineLevel="0" collapsed="false">
      <c r="B19" s="27"/>
      <c r="C19" s="27"/>
      <c r="D19" s="13" t="s">
        <v>57</v>
      </c>
      <c r="E19" s="13"/>
      <c r="F19" s="28"/>
      <c r="G19" s="28"/>
      <c r="H19" s="28"/>
      <c r="I19" s="13"/>
      <c r="J19" s="28"/>
      <c r="K19" s="44" t="n">
        <v>110000</v>
      </c>
      <c r="L19" s="33" t="n">
        <f aca="false">ROUND(K19/$K$30,2)</f>
        <v>0.11</v>
      </c>
      <c r="M19" s="13"/>
      <c r="N19" s="13"/>
      <c r="O19" s="4"/>
      <c r="Z19" s="0" t="s">
        <v>58</v>
      </c>
    </row>
    <row r="20" customFormat="false" ht="12.8" hidden="false" customHeight="true" outlineLevel="0" collapsed="false">
      <c r="B20" s="27"/>
      <c r="C20" s="27"/>
      <c r="D20" s="13"/>
      <c r="E20" s="45"/>
      <c r="F20" s="13"/>
      <c r="G20" s="13"/>
      <c r="H20" s="13"/>
      <c r="I20" s="13"/>
      <c r="J20" s="46" t="s">
        <v>59</v>
      </c>
      <c r="K20" s="47" t="n">
        <f aca="false">SUM(K13:K19)</f>
        <v>475526.5</v>
      </c>
      <c r="L20" s="33"/>
      <c r="M20" s="13" t="n">
        <f aca="false">K20/12</f>
        <v>39627.2083333333</v>
      </c>
      <c r="N20" s="13" t="s">
        <v>51</v>
      </c>
      <c r="O20" s="4"/>
      <c r="AE20" s="0" t="s">
        <v>60</v>
      </c>
    </row>
    <row r="21" customFormat="false" ht="12.8" hidden="false" customHeight="true" outlineLevel="0" collapsed="false">
      <c r="B21" s="13"/>
      <c r="C21" s="13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13"/>
      <c r="O21" s="4"/>
    </row>
    <row r="22" customFormat="false" ht="14.65" hidden="false" customHeight="true" outlineLevel="0" collapsed="false">
      <c r="A22" s="48"/>
      <c r="B22" s="49" t="s">
        <v>61</v>
      </c>
      <c r="C22" s="50"/>
      <c r="D22" s="51" t="n">
        <f aca="false">SUM(K23:K26)</f>
        <v>473172.8</v>
      </c>
      <c r="E22" s="52" t="s">
        <v>40</v>
      </c>
      <c r="F22" s="53" t="n">
        <f aca="false">SUM(F23:F27)</f>
        <v>136</v>
      </c>
      <c r="G22" s="54"/>
      <c r="H22" s="55"/>
      <c r="I22" s="56"/>
      <c r="J22" s="57"/>
      <c r="K22" s="58"/>
      <c r="L22" s="59"/>
      <c r="M22" s="60"/>
      <c r="N22" s="61"/>
      <c r="O22" s="62"/>
      <c r="S22" s="63" t="n">
        <v>12562.5</v>
      </c>
      <c r="T22" s="63" t="n">
        <v>4687.5</v>
      </c>
      <c r="U22" s="63" t="n">
        <v>4687.5</v>
      </c>
      <c r="V22" s="63" t="n">
        <v>9375</v>
      </c>
      <c r="X22" s="0" t="n">
        <v>25125</v>
      </c>
      <c r="Y22" s="0" t="n">
        <v>9375</v>
      </c>
      <c r="Z22" s="0" t="n">
        <v>9375</v>
      </c>
      <c r="AA22" s="0" t="n">
        <v>18750</v>
      </c>
      <c r="AC22" s="63" t="n">
        <v>37500</v>
      </c>
      <c r="AD22" s="63" t="n">
        <v>9375</v>
      </c>
      <c r="AE22" s="63" t="n">
        <v>9375</v>
      </c>
      <c r="AF22" s="63" t="n">
        <v>18750</v>
      </c>
    </row>
    <row r="23" customFormat="false" ht="12.8" hidden="false" customHeight="true" outlineLevel="0" collapsed="false">
      <c r="A23" s="48"/>
      <c r="B23" s="64"/>
      <c r="C23" s="64"/>
      <c r="D23" s="61" t="s">
        <v>45</v>
      </c>
      <c r="E23" s="61"/>
      <c r="F23" s="65" t="n">
        <v>34</v>
      </c>
      <c r="G23" s="66" t="n">
        <v>48</v>
      </c>
      <c r="H23" s="67" t="s">
        <v>46</v>
      </c>
      <c r="I23" s="68" t="n">
        <v>0.77</v>
      </c>
      <c r="J23" s="65"/>
      <c r="K23" s="69" t="n">
        <f aca="false">(F23*G23)*365*(1-I23)</f>
        <v>137006.4</v>
      </c>
      <c r="L23" s="70" t="n">
        <f aca="false">ROUND(K23/$K$79,2)</f>
        <v>0.07</v>
      </c>
      <c r="M23" s="61" t="n">
        <f aca="false">K23/F23</f>
        <v>4029.6</v>
      </c>
      <c r="N23" s="65"/>
      <c r="O23" s="62"/>
      <c r="S23" s="71" t="n">
        <f aca="false">S22/X22</f>
        <v>0.5</v>
      </c>
      <c r="T23" s="71" t="n">
        <f aca="false">T22/Y22</f>
        <v>0.5</v>
      </c>
      <c r="U23" s="71" t="n">
        <f aca="false">U22/Z22</f>
        <v>0.5</v>
      </c>
      <c r="V23" s="71" t="n">
        <f aca="false">V22/AA22</f>
        <v>0.5</v>
      </c>
      <c r="X23" s="71" t="n">
        <f aca="false">X22/AC22</f>
        <v>0.67</v>
      </c>
      <c r="Y23" s="71" t="n">
        <f aca="false">Y22/AD22</f>
        <v>1</v>
      </c>
      <c r="Z23" s="71" t="n">
        <f aca="false">Z22/AE22</f>
        <v>1</v>
      </c>
      <c r="AA23" s="71" t="n">
        <f aca="false">AA22/AF22</f>
        <v>1</v>
      </c>
    </row>
    <row r="24" customFormat="false" ht="12.8" hidden="false" customHeight="true" outlineLevel="0" collapsed="false">
      <c r="A24" s="48"/>
      <c r="B24" s="64"/>
      <c r="C24" s="64"/>
      <c r="D24" s="61" t="s">
        <v>62</v>
      </c>
      <c r="E24" s="61"/>
      <c r="F24" s="65" t="n">
        <v>48</v>
      </c>
      <c r="G24" s="66" t="n">
        <v>54</v>
      </c>
      <c r="H24" s="67" t="s">
        <v>46</v>
      </c>
      <c r="I24" s="68" t="n">
        <v>0.77</v>
      </c>
      <c r="J24" s="65"/>
      <c r="K24" s="69" t="n">
        <f aca="false">(F24*G24)*365*(1-I24)</f>
        <v>217598.4</v>
      </c>
      <c r="L24" s="70" t="n">
        <f aca="false">ROUND(K24/$K$79,2)</f>
        <v>0.11</v>
      </c>
      <c r="M24" s="61" t="n">
        <f aca="false">K24/F24</f>
        <v>4533.3</v>
      </c>
      <c r="N24" s="65"/>
      <c r="O24" s="62"/>
      <c r="S24" s="63" t="n">
        <v>167500</v>
      </c>
      <c r="T24" s="63" t="n">
        <v>71000</v>
      </c>
      <c r="U24" s="63" t="n">
        <v>71000</v>
      </c>
      <c r="V24" s="63" t="n">
        <v>125000</v>
      </c>
      <c r="X24" s="0" t="n">
        <v>335000</v>
      </c>
      <c r="Y24" s="0" t="n">
        <v>142000</v>
      </c>
      <c r="Z24" s="0" t="n">
        <v>142000</v>
      </c>
      <c r="AA24" s="0" t="n">
        <v>250000</v>
      </c>
      <c r="AC24" s="0" t="n">
        <v>500000</v>
      </c>
      <c r="AD24" s="0" t="n">
        <v>142000</v>
      </c>
      <c r="AE24" s="0" t="n">
        <v>142000</v>
      </c>
      <c r="AF24" s="0" t="n">
        <v>250000</v>
      </c>
    </row>
    <row r="25" customFormat="false" ht="12.8" hidden="false" customHeight="true" outlineLevel="0" collapsed="false">
      <c r="A25" s="48"/>
      <c r="B25" s="64"/>
      <c r="C25" s="64"/>
      <c r="D25" s="61" t="s">
        <v>63</v>
      </c>
      <c r="E25" s="61"/>
      <c r="F25" s="65" t="n">
        <v>20</v>
      </c>
      <c r="G25" s="66" t="n">
        <v>375</v>
      </c>
      <c r="H25" s="67" t="s">
        <v>51</v>
      </c>
      <c r="I25" s="68" t="n">
        <v>0.75</v>
      </c>
      <c r="J25" s="65"/>
      <c r="K25" s="69" t="n">
        <f aca="false">(F25*G25)*12*(1-I25)</f>
        <v>22500</v>
      </c>
      <c r="L25" s="70" t="n">
        <f aca="false">ROUND(K25/$K$79,2)</f>
        <v>0.01</v>
      </c>
      <c r="M25" s="61" t="n">
        <f aca="false">K25/F25</f>
        <v>1125</v>
      </c>
      <c r="N25" s="65"/>
      <c r="O25" s="62"/>
      <c r="S25" s="71" t="n">
        <f aca="false">S24/X24</f>
        <v>0.5</v>
      </c>
      <c r="T25" s="71" t="n">
        <f aca="false">T24/Y24</f>
        <v>0.5</v>
      </c>
      <c r="U25" s="71" t="n">
        <f aca="false">U24/Z24</f>
        <v>0.5</v>
      </c>
      <c r="V25" s="71" t="n">
        <f aca="false">V24/AA24</f>
        <v>0.5</v>
      </c>
      <c r="X25" s="71" t="n">
        <f aca="false">X24/AC24</f>
        <v>0.67</v>
      </c>
      <c r="Y25" s="71" t="n">
        <f aca="false">Y24/AD24</f>
        <v>1</v>
      </c>
      <c r="Z25" s="71" t="n">
        <f aca="false">Z24/AE24</f>
        <v>1</v>
      </c>
      <c r="AA25" s="71" t="n">
        <f aca="false">AA24/AF24</f>
        <v>1</v>
      </c>
    </row>
    <row r="26" customFormat="false" ht="14.65" hidden="false" customHeight="true" outlineLevel="0" collapsed="false">
      <c r="A26" s="48"/>
      <c r="B26" s="64"/>
      <c r="C26" s="64"/>
      <c r="D26" s="61" t="s">
        <v>53</v>
      </c>
      <c r="E26" s="61"/>
      <c r="F26" s="65" t="n">
        <v>14</v>
      </c>
      <c r="G26" s="61" t="n">
        <v>94</v>
      </c>
      <c r="H26" s="61" t="s">
        <v>46</v>
      </c>
      <c r="I26" s="68" t="n">
        <v>0.8</v>
      </c>
      <c r="J26" s="61"/>
      <c r="K26" s="72" t="n">
        <f aca="false">(F26*G26)*365*(1-I26)</f>
        <v>96068</v>
      </c>
      <c r="L26" s="70" t="n">
        <f aca="false">ROUND(K26/$K$79,2)</f>
        <v>0.05</v>
      </c>
      <c r="M26" s="61" t="n">
        <f aca="false">K26/F26</f>
        <v>6862</v>
      </c>
      <c r="N26" s="65"/>
      <c r="O26" s="62"/>
      <c r="S26" s="63" t="n">
        <v>16080</v>
      </c>
      <c r="T26" s="63" t="n">
        <v>6000</v>
      </c>
      <c r="U26" s="63" t="n">
        <v>6000</v>
      </c>
      <c r="V26" s="63" t="n">
        <v>12000</v>
      </c>
      <c r="X26" s="0" t="n">
        <v>32160</v>
      </c>
      <c r="Y26" s="0" t="n">
        <v>12000</v>
      </c>
      <c r="Z26" s="0" t="n">
        <v>12000</v>
      </c>
      <c r="AA26" s="0" t="n">
        <v>24000</v>
      </c>
      <c r="AC26" s="0" t="n">
        <v>48000</v>
      </c>
      <c r="AD26" s="0" t="n">
        <v>12000</v>
      </c>
      <c r="AE26" s="0" t="n">
        <v>12000</v>
      </c>
      <c r="AF26" s="0" t="n">
        <v>24000</v>
      </c>
    </row>
    <row r="27" customFormat="false" ht="12.8" hidden="false" customHeight="true" outlineLevel="0" collapsed="false">
      <c r="A27" s="48"/>
      <c r="B27" s="64"/>
      <c r="C27" s="64"/>
      <c r="D27" s="61" t="s">
        <v>64</v>
      </c>
      <c r="E27" s="61"/>
      <c r="F27" s="65" t="n">
        <v>20</v>
      </c>
      <c r="G27" s="66" t="n">
        <v>265</v>
      </c>
      <c r="H27" s="67" t="s">
        <v>51</v>
      </c>
      <c r="I27" s="68" t="n">
        <v>0.1</v>
      </c>
      <c r="J27" s="65"/>
      <c r="K27" s="69" t="n">
        <f aca="false">(F27*G27)*12*(1-I27)</f>
        <v>57240</v>
      </c>
      <c r="L27" s="70" t="n">
        <f aca="false">ROUND(K27/$K$79,2)</f>
        <v>0.03</v>
      </c>
      <c r="M27" s="61" t="n">
        <f aca="false">K27/F27</f>
        <v>2862</v>
      </c>
      <c r="N27" s="65"/>
      <c r="O27" s="62"/>
      <c r="S27" s="71" t="n">
        <f aca="false">S26/X26</f>
        <v>0.5</v>
      </c>
      <c r="T27" s="71" t="n">
        <f aca="false">T26/Y26</f>
        <v>0.5</v>
      </c>
      <c r="U27" s="71" t="n">
        <f aca="false">U26/Z26</f>
        <v>0.5</v>
      </c>
      <c r="V27" s="71" t="n">
        <f aca="false">V26/AA26</f>
        <v>0.5</v>
      </c>
      <c r="X27" s="71" t="n">
        <f aca="false">X26/AC26</f>
        <v>0.67</v>
      </c>
      <c r="Y27" s="71" t="n">
        <f aca="false">Y26/AD26</f>
        <v>1</v>
      </c>
      <c r="Z27" s="71" t="n">
        <f aca="false">Z26/AE26</f>
        <v>1</v>
      </c>
      <c r="AA27" s="71" t="n">
        <f aca="false">AA26/AF26</f>
        <v>1</v>
      </c>
    </row>
    <row r="28" customFormat="false" ht="12.8" hidden="false" customHeight="true" outlineLevel="0" collapsed="false">
      <c r="A28" s="48"/>
      <c r="B28" s="64"/>
      <c r="C28" s="64"/>
      <c r="D28" s="73" t="n">
        <f aca="false">D5+D12+D22</f>
        <v>1312045</v>
      </c>
      <c r="E28" s="61"/>
      <c r="F28" s="74"/>
      <c r="G28" s="65"/>
      <c r="H28" s="65"/>
      <c r="I28" s="69"/>
      <c r="J28" s="75"/>
      <c r="K28" s="76" t="n">
        <f aca="false">SUM(K23:K27)</f>
        <v>530412.8</v>
      </c>
      <c r="L28" s="77" t="s">
        <v>65</v>
      </c>
      <c r="M28" s="13" t="n">
        <f aca="false">K28/12</f>
        <v>44201.0666666667</v>
      </c>
      <c r="N28" s="45" t="s">
        <v>66</v>
      </c>
      <c r="O28" s="62"/>
      <c r="S28" s="63" t="n">
        <v>25125</v>
      </c>
      <c r="T28" s="63" t="n">
        <v>9437.5</v>
      </c>
      <c r="U28" s="63" t="n">
        <v>9437.5</v>
      </c>
      <c r="V28" s="63" t="n">
        <v>18875</v>
      </c>
      <c r="X28" s="0" t="n">
        <v>50250</v>
      </c>
      <c r="Y28" s="0" t="n">
        <v>18875</v>
      </c>
      <c r="Z28" s="0" t="n">
        <v>18875</v>
      </c>
      <c r="AA28" s="0" t="n">
        <v>37750</v>
      </c>
      <c r="AC28" s="0" t="n">
        <v>75000</v>
      </c>
      <c r="AD28" s="0" t="n">
        <v>18875</v>
      </c>
      <c r="AE28" s="0" t="n">
        <v>18875</v>
      </c>
      <c r="AF28" s="0" t="n">
        <v>37750</v>
      </c>
    </row>
    <row r="29" customFormat="false" ht="12.8" hidden="false" customHeight="true" outlineLevel="0" collapsed="false">
      <c r="A29" s="48"/>
      <c r="B29" s="50"/>
      <c r="C29" s="50"/>
      <c r="D29" s="64" t="n">
        <f aca="false">D5+D12+D22</f>
        <v>1312045</v>
      </c>
      <c r="E29" s="50"/>
      <c r="F29" s="78"/>
      <c r="G29" s="78"/>
      <c r="H29" s="78"/>
      <c r="I29" s="79"/>
      <c r="J29" s="78"/>
      <c r="K29" s="78"/>
      <c r="L29" s="80"/>
      <c r="M29" s="81"/>
      <c r="N29" s="32"/>
      <c r="O29" s="4"/>
      <c r="S29" s="71" t="n">
        <f aca="false">S28/X28</f>
        <v>0.5</v>
      </c>
      <c r="T29" s="71" t="n">
        <f aca="false">T28/Y28</f>
        <v>0.5</v>
      </c>
      <c r="U29" s="71" t="n">
        <f aca="false">U28/Z28</f>
        <v>0.5</v>
      </c>
      <c r="V29" s="71" t="n">
        <f aca="false">V28/AA28</f>
        <v>0.5</v>
      </c>
      <c r="X29" s="71" t="n">
        <f aca="false">X28/AC28</f>
        <v>0.67</v>
      </c>
      <c r="Y29" s="71" t="n">
        <f aca="false">Y28/AD28</f>
        <v>1</v>
      </c>
      <c r="Z29" s="71" t="n">
        <f aca="false">Z28/AE28</f>
        <v>1</v>
      </c>
      <c r="AA29" s="71" t="n">
        <f aca="false">AA28/AF28</f>
        <v>1</v>
      </c>
    </row>
    <row r="30" customFormat="false" ht="14.65" hidden="false" customHeight="true" outlineLevel="0" collapsed="false">
      <c r="B30" s="13"/>
      <c r="C30" s="13"/>
      <c r="D30" s="82" t="s">
        <v>67</v>
      </c>
      <c r="E30" s="19"/>
      <c r="F30" s="16"/>
      <c r="G30" s="20"/>
      <c r="H30" s="20"/>
      <c r="I30" s="38"/>
      <c r="J30" s="19"/>
      <c r="K30" s="42" t="n">
        <f aca="false">K11+K20</f>
        <v>976372.2</v>
      </c>
      <c r="L30" s="43"/>
      <c r="M30" s="16" t="n">
        <f aca="false">K30/12</f>
        <v>81364.35</v>
      </c>
      <c r="N30" s="13" t="s">
        <v>51</v>
      </c>
      <c r="O30" s="4"/>
      <c r="S30" s="63" t="n">
        <v>1507.5</v>
      </c>
      <c r="T30" s="63" t="n">
        <v>650</v>
      </c>
      <c r="U30" s="63" t="n">
        <v>600</v>
      </c>
      <c r="V30" s="63" t="n">
        <v>1000</v>
      </c>
      <c r="X30" s="0" t="n">
        <v>3015</v>
      </c>
      <c r="Y30" s="0" t="n">
        <v>1300</v>
      </c>
      <c r="Z30" s="0" t="n">
        <v>1200</v>
      </c>
      <c r="AA30" s="0" t="n">
        <v>2000</v>
      </c>
      <c r="AC30" s="63" t="n">
        <v>4500</v>
      </c>
      <c r="AD30" s="63" t="n">
        <v>1300</v>
      </c>
      <c r="AE30" s="63" t="n">
        <v>1200</v>
      </c>
      <c r="AF30" s="63" t="n">
        <v>2000</v>
      </c>
    </row>
    <row r="31" customFormat="false" ht="12.8" hidden="false" customHeight="true" outlineLevel="0" collapsed="false">
      <c r="B31" s="13"/>
      <c r="C31" s="13"/>
      <c r="D31" s="82" t="s">
        <v>68</v>
      </c>
      <c r="E31" s="19"/>
      <c r="F31" s="16"/>
      <c r="G31" s="20"/>
      <c r="H31" s="20"/>
      <c r="I31" s="38"/>
      <c r="J31" s="19"/>
      <c r="K31" s="42" t="n">
        <f aca="false">K11+K20+K28</f>
        <v>1506785</v>
      </c>
      <c r="L31" s="43"/>
      <c r="M31" s="13" t="n">
        <f aca="false">K31/12</f>
        <v>125565.416666667</v>
      </c>
      <c r="N31" s="13" t="s">
        <v>51</v>
      </c>
      <c r="O31" s="4"/>
      <c r="S31" s="71" t="n">
        <f aca="false">S30/X30</f>
        <v>0.5</v>
      </c>
      <c r="T31" s="71" t="n">
        <f aca="false">T30/Y30</f>
        <v>0.5</v>
      </c>
      <c r="U31" s="71" t="n">
        <f aca="false">U30/Z30</f>
        <v>0.5</v>
      </c>
      <c r="V31" s="71" t="n">
        <f aca="false">V30/AA30</f>
        <v>0.5</v>
      </c>
      <c r="X31" s="71" t="n">
        <f aca="false">X30/AC30</f>
        <v>0.67</v>
      </c>
      <c r="Y31" s="71" t="n">
        <f aca="false">Y30/AD30</f>
        <v>1</v>
      </c>
      <c r="Z31" s="71" t="n">
        <f aca="false">Z30/AE30</f>
        <v>1</v>
      </c>
      <c r="AA31" s="71" t="n">
        <f aca="false">AA30/AF30</f>
        <v>1</v>
      </c>
    </row>
    <row r="32" customFormat="false" ht="12.8" hidden="false" customHeight="true" outlineLevel="0" collapsed="false">
      <c r="B32" s="13"/>
      <c r="C32" s="13"/>
      <c r="D32" s="82"/>
      <c r="E32" s="19"/>
      <c r="F32" s="16"/>
      <c r="G32" s="20"/>
      <c r="H32" s="20"/>
      <c r="I32" s="38"/>
      <c r="J32" s="19"/>
      <c r="K32" s="20"/>
      <c r="L32" s="43"/>
      <c r="M32" s="19"/>
      <c r="N32" s="13"/>
      <c r="O32" s="4"/>
      <c r="S32" s="63" t="n">
        <v>3350</v>
      </c>
      <c r="T32" s="63" t="n">
        <v>1250</v>
      </c>
      <c r="U32" s="63" t="n">
        <v>1250</v>
      </c>
      <c r="V32" s="63" t="n">
        <v>2500</v>
      </c>
      <c r="X32" s="0" t="n">
        <v>6700</v>
      </c>
      <c r="Y32" s="0" t="n">
        <v>2500</v>
      </c>
      <c r="Z32" s="0" t="n">
        <v>2500</v>
      </c>
      <c r="AA32" s="0" t="n">
        <v>5000</v>
      </c>
      <c r="AC32" s="0" t="n">
        <v>10000</v>
      </c>
      <c r="AD32" s="0" t="n">
        <v>2500</v>
      </c>
      <c r="AE32" s="0" t="n">
        <v>2500</v>
      </c>
      <c r="AF32" s="0" t="n">
        <v>5000</v>
      </c>
    </row>
    <row r="33" customFormat="false" ht="12.8" hidden="false" customHeight="true" outlineLevel="0" collapsed="false">
      <c r="B33" s="13"/>
      <c r="C33" s="13"/>
      <c r="D33" s="83"/>
      <c r="E33" s="84"/>
      <c r="F33" s="84"/>
      <c r="G33" s="14"/>
      <c r="H33" s="14"/>
      <c r="I33" s="84"/>
      <c r="J33" s="84"/>
      <c r="K33" s="15"/>
      <c r="L33" s="33"/>
      <c r="M33" s="13"/>
      <c r="N33" s="13"/>
      <c r="O33" s="4"/>
      <c r="S33" s="71" t="n">
        <f aca="false">S32/X32</f>
        <v>0.5</v>
      </c>
      <c r="T33" s="71" t="n">
        <f aca="false">T32/Y32</f>
        <v>0.5</v>
      </c>
      <c r="U33" s="71" t="n">
        <f aca="false">U32/Z32</f>
        <v>0.5</v>
      </c>
      <c r="V33" s="71" t="n">
        <f aca="false">V32/AA32</f>
        <v>0.5</v>
      </c>
      <c r="X33" s="71" t="n">
        <f aca="false">X32/AC32</f>
        <v>0.67</v>
      </c>
      <c r="Y33" s="71" t="n">
        <f aca="false">Y32/AD32</f>
        <v>1</v>
      </c>
      <c r="Z33" s="71" t="n">
        <f aca="false">Z32/AE32</f>
        <v>1</v>
      </c>
      <c r="AA33" s="71" t="n">
        <f aca="false">AA32/AF32</f>
        <v>1</v>
      </c>
    </row>
    <row r="34" customFormat="false" ht="14.65" hidden="false" customHeight="true" outlineLevel="0" collapsed="false">
      <c r="B34" s="13"/>
      <c r="C34" s="13"/>
      <c r="D34" s="16"/>
      <c r="E34" s="17" t="s">
        <v>69</v>
      </c>
      <c r="F34" s="17"/>
      <c r="G34" s="17"/>
      <c r="H34" s="17"/>
      <c r="I34" s="17"/>
      <c r="J34" s="17"/>
      <c r="K34" s="17"/>
      <c r="L34" s="17"/>
      <c r="M34" s="16"/>
      <c r="N34" s="13"/>
      <c r="O34" s="4"/>
      <c r="S34" s="63" t="n">
        <v>5025</v>
      </c>
      <c r="T34" s="63" t="n">
        <v>1875</v>
      </c>
      <c r="U34" s="63" t="n">
        <v>1875</v>
      </c>
      <c r="V34" s="63" t="n">
        <v>3750</v>
      </c>
      <c r="X34" s="0" t="n">
        <v>10050</v>
      </c>
      <c r="Y34" s="0" t="n">
        <v>3750</v>
      </c>
      <c r="Z34" s="0" t="n">
        <v>3750</v>
      </c>
      <c r="AA34" s="0" t="n">
        <v>7500</v>
      </c>
      <c r="AC34" s="0" t="n">
        <v>15000</v>
      </c>
      <c r="AD34" s="0" t="n">
        <v>3750</v>
      </c>
      <c r="AE34" s="0" t="n">
        <v>3750</v>
      </c>
      <c r="AF34" s="0" t="n">
        <v>7500</v>
      </c>
    </row>
    <row r="35" customFormat="false" ht="12.8" hidden="false" customHeight="true" outlineLevel="0" collapsed="false">
      <c r="B35" s="13"/>
      <c r="C35" s="13"/>
      <c r="D35" s="13" t="s">
        <v>70</v>
      </c>
      <c r="E35" s="13"/>
      <c r="F35" s="13"/>
      <c r="G35" s="13"/>
      <c r="H35" s="13"/>
      <c r="I35" s="13"/>
      <c r="J35" s="13"/>
      <c r="K35" s="13" t="n">
        <f aca="false">D28*0.1</f>
        <v>131204.5</v>
      </c>
      <c r="L35" s="33" t="n">
        <f aca="false">ROUND(K35/$K$30,2)</f>
        <v>0.13</v>
      </c>
      <c r="M35" s="13"/>
      <c r="N35" s="13"/>
      <c r="O35" s="4"/>
      <c r="S35" s="71" t="n">
        <f aca="false">S34/X34</f>
        <v>0.5</v>
      </c>
      <c r="T35" s="71" t="n">
        <f aca="false">T34/Y34</f>
        <v>0.5</v>
      </c>
      <c r="U35" s="71" t="n">
        <f aca="false">U34/Z34</f>
        <v>0.5</v>
      </c>
      <c r="V35" s="71" t="n">
        <f aca="false">V34/AA34</f>
        <v>0.5</v>
      </c>
      <c r="X35" s="71" t="n">
        <f aca="false">X34/AC34</f>
        <v>0.67</v>
      </c>
      <c r="Y35" s="71" t="n">
        <f aca="false">Y34/AD34</f>
        <v>1</v>
      </c>
      <c r="Z35" s="71" t="n">
        <f aca="false">Z34/AE34</f>
        <v>1</v>
      </c>
      <c r="AA35" s="71" t="n">
        <f aca="false">AA34/AF34</f>
        <v>1</v>
      </c>
    </row>
    <row r="36" customFormat="false" ht="12.8" hidden="false" customHeight="true" outlineLevel="0" collapsed="false">
      <c r="B36" s="13"/>
      <c r="C36" s="13"/>
      <c r="D36" s="13" t="s">
        <v>71</v>
      </c>
      <c r="E36" s="13"/>
      <c r="F36" s="13"/>
      <c r="G36" s="13"/>
      <c r="H36" s="13"/>
      <c r="I36" s="13"/>
      <c r="J36" s="13"/>
      <c r="K36" s="13" t="n">
        <v>70000</v>
      </c>
      <c r="L36" s="33" t="n">
        <f aca="false">ROUND(K36/$K$30,2)</f>
        <v>0.07</v>
      </c>
      <c r="M36" s="13"/>
      <c r="N36" s="13"/>
      <c r="O36" s="4"/>
      <c r="S36" s="63" t="n">
        <v>1256.25</v>
      </c>
      <c r="T36" s="63" t="n">
        <v>468.5</v>
      </c>
      <c r="U36" s="63" t="n">
        <v>468.5</v>
      </c>
      <c r="V36" s="63" t="n">
        <v>937.5</v>
      </c>
      <c r="X36" s="0" t="n">
        <v>2512.5</v>
      </c>
      <c r="Y36" s="0" t="n">
        <v>937</v>
      </c>
      <c r="Z36" s="0" t="n">
        <v>937</v>
      </c>
      <c r="AA36" s="0" t="n">
        <v>1875</v>
      </c>
      <c r="AC36" s="0" t="n">
        <v>3750</v>
      </c>
      <c r="AD36" s="0" t="n">
        <v>937</v>
      </c>
      <c r="AE36" s="0" t="n">
        <v>937</v>
      </c>
      <c r="AF36" s="0" t="n">
        <v>1875</v>
      </c>
    </row>
    <row r="37" customFormat="false" ht="14.65" hidden="false" customHeight="true" outlineLevel="0" collapsed="false">
      <c r="B37" s="13"/>
      <c r="C37" s="13"/>
      <c r="D37" s="13" t="s">
        <v>72</v>
      </c>
      <c r="E37" s="13"/>
      <c r="F37" s="13"/>
      <c r="G37" s="13"/>
      <c r="H37" s="13"/>
      <c r="I37" s="13"/>
      <c r="J37" s="13"/>
      <c r="K37" s="13" t="n">
        <v>10000</v>
      </c>
      <c r="L37" s="33" t="n">
        <f aca="false">ROUND(K37/$K$30,2)</f>
        <v>0.01</v>
      </c>
      <c r="M37" s="13"/>
      <c r="N37" s="13"/>
      <c r="O37" s="4"/>
      <c r="S37" s="71" t="n">
        <f aca="false">S36/X36</f>
        <v>0.5</v>
      </c>
      <c r="T37" s="71" t="n">
        <f aca="false">T36/Y36</f>
        <v>0.5</v>
      </c>
      <c r="U37" s="71" t="n">
        <f aca="false">U36/Z36</f>
        <v>0.5</v>
      </c>
      <c r="V37" s="71" t="n">
        <f aca="false">V36/AA36</f>
        <v>0.5</v>
      </c>
      <c r="X37" s="71" t="n">
        <f aca="false">X36/AC36</f>
        <v>0.67</v>
      </c>
      <c r="Y37" s="71" t="n">
        <f aca="false">Y36/AD36</f>
        <v>1</v>
      </c>
      <c r="Z37" s="71" t="n">
        <f aca="false">Z36/AE36</f>
        <v>1</v>
      </c>
      <c r="AA37" s="71" t="n">
        <f aca="false">AA36/AF36</f>
        <v>1</v>
      </c>
      <c r="AC37" s="63"/>
      <c r="AD37" s="63"/>
      <c r="AE37" s="63"/>
      <c r="AF37" s="63"/>
    </row>
    <row r="38" customFormat="false" ht="12.8" hidden="false" customHeight="true" outlineLevel="0" collapsed="false">
      <c r="B38" s="13"/>
      <c r="C38" s="13"/>
      <c r="D38" s="13" t="s">
        <v>73</v>
      </c>
      <c r="E38" s="13"/>
      <c r="F38" s="13"/>
      <c r="G38" s="13"/>
      <c r="H38" s="13"/>
      <c r="I38" s="13"/>
      <c r="J38" s="13"/>
      <c r="K38" s="45" t="n">
        <f aca="false">SUM(K6:K7,K13:K16,K23:K24)*0.056</f>
        <v>66834.712</v>
      </c>
      <c r="L38" s="33" t="n">
        <f aca="false">ROUND(K38/$K$30,2)</f>
        <v>0.07</v>
      </c>
      <c r="M38" s="13"/>
      <c r="N38" s="13"/>
      <c r="O38" s="4"/>
      <c r="S38" s="63" t="n">
        <v>13400</v>
      </c>
      <c r="T38" s="63" t="n">
        <v>5000</v>
      </c>
      <c r="U38" s="63" t="n">
        <v>5000</v>
      </c>
      <c r="V38" s="63" t="n">
        <v>10000</v>
      </c>
      <c r="X38" s="0" t="n">
        <v>26800</v>
      </c>
      <c r="Y38" s="0" t="n">
        <v>10000</v>
      </c>
      <c r="Z38" s="0" t="n">
        <v>10000</v>
      </c>
      <c r="AA38" s="0" t="n">
        <v>20000</v>
      </c>
      <c r="AC38" s="0" t="n">
        <v>40000</v>
      </c>
      <c r="AD38" s="0" t="n">
        <v>10000</v>
      </c>
      <c r="AE38" s="0" t="n">
        <v>10000</v>
      </c>
      <c r="AF38" s="0" t="n">
        <v>20000</v>
      </c>
    </row>
    <row r="39" customFormat="false" ht="12.8" hidden="false" customHeight="true" outlineLevel="0" collapsed="false">
      <c r="B39" s="13"/>
      <c r="C39" s="13"/>
      <c r="D39" s="13" t="s">
        <v>74</v>
      </c>
      <c r="E39" s="13"/>
      <c r="F39" s="13"/>
      <c r="G39" s="13"/>
      <c r="H39" s="13"/>
      <c r="I39" s="13"/>
      <c r="J39" s="13"/>
      <c r="K39" s="13" t="n">
        <v>12000</v>
      </c>
      <c r="L39" s="33" t="n">
        <f aca="false">ROUND(K39/$K$30,2)</f>
        <v>0.01</v>
      </c>
      <c r="M39" s="13"/>
      <c r="N39" s="85"/>
      <c r="O39" s="4"/>
      <c r="S39" s="71" t="n">
        <f aca="false">S38/X38</f>
        <v>0.5</v>
      </c>
      <c r="T39" s="71" t="n">
        <f aca="false">T38/Y38</f>
        <v>0.5</v>
      </c>
      <c r="U39" s="71" t="n">
        <f aca="false">U38/Z38</f>
        <v>0.5</v>
      </c>
      <c r="V39" s="71" t="n">
        <f aca="false">V38/AA38</f>
        <v>0.5</v>
      </c>
      <c r="X39" s="71" t="n">
        <f aca="false">X38/AC38</f>
        <v>0.67</v>
      </c>
      <c r="Y39" s="71" t="n">
        <f aca="false">Y38/AD38</f>
        <v>1</v>
      </c>
      <c r="Z39" s="71" t="n">
        <f aca="false">Z38/AE38</f>
        <v>1</v>
      </c>
      <c r="AA39" s="71" t="n">
        <f aca="false">AA38/AF38</f>
        <v>1</v>
      </c>
    </row>
    <row r="40" customFormat="false" ht="14.65" hidden="false" customHeight="true" outlineLevel="0" collapsed="false">
      <c r="B40" s="13"/>
      <c r="C40" s="13"/>
      <c r="D40" s="13" t="s">
        <v>75</v>
      </c>
      <c r="E40" s="13"/>
      <c r="F40" s="13"/>
      <c r="G40" s="13"/>
      <c r="H40" s="13"/>
      <c r="I40" s="13"/>
      <c r="J40" s="13"/>
      <c r="K40" s="13" t="n">
        <v>28000</v>
      </c>
      <c r="L40" s="33" t="n">
        <f aca="false">ROUND(K40/$K$30,2)</f>
        <v>0.03</v>
      </c>
      <c r="M40" s="13"/>
      <c r="N40" s="13"/>
      <c r="O40" s="4"/>
      <c r="S40" s="63" t="n">
        <v>760.03125</v>
      </c>
      <c r="T40" s="63" t="n">
        <v>385.6875</v>
      </c>
      <c r="U40" s="63" t="n">
        <v>144.247125</v>
      </c>
      <c r="V40" s="63" t="n">
        <v>1875</v>
      </c>
      <c r="X40" s="0" t="n">
        <v>1520.0625</v>
      </c>
      <c r="Y40" s="0" t="n">
        <v>771.375</v>
      </c>
      <c r="Z40" s="0" t="n">
        <v>288.49425</v>
      </c>
      <c r="AA40" s="0" t="n">
        <v>3750</v>
      </c>
      <c r="AC40" s="86" t="n">
        <v>2268.75</v>
      </c>
      <c r="AD40" s="86" t="n">
        <v>848.5125</v>
      </c>
      <c r="AE40" s="86" t="n">
        <v>317.343675</v>
      </c>
      <c r="AF40" s="86" t="n">
        <v>3750</v>
      </c>
    </row>
    <row r="41" customFormat="false" ht="12.8" hidden="false" customHeight="true" outlineLevel="0" collapsed="false">
      <c r="B41" s="13"/>
      <c r="C41" s="13"/>
      <c r="D41" s="13" t="s">
        <v>76</v>
      </c>
      <c r="E41" s="13"/>
      <c r="F41" s="13"/>
      <c r="G41" s="13"/>
      <c r="H41" s="13"/>
      <c r="I41" s="13"/>
      <c r="J41" s="13"/>
      <c r="K41" s="13" t="n">
        <v>5000</v>
      </c>
      <c r="L41" s="33" t="n">
        <f aca="false">ROUND(K41/$K$30,2)</f>
        <v>0.01</v>
      </c>
      <c r="M41" s="13"/>
      <c r="N41" s="13"/>
      <c r="O41" s="4"/>
      <c r="S41" s="71" t="n">
        <f aca="false">S40/X40</f>
        <v>0.5</v>
      </c>
      <c r="T41" s="71" t="n">
        <f aca="false">T40/Y40</f>
        <v>0.5</v>
      </c>
      <c r="U41" s="71" t="n">
        <f aca="false">U40/Z40</f>
        <v>0.5</v>
      </c>
      <c r="V41" s="71" t="n">
        <f aca="false">V40/AA40</f>
        <v>0.5</v>
      </c>
      <c r="X41" s="71" t="n">
        <f aca="false">X40/AC40</f>
        <v>0.67</v>
      </c>
      <c r="Y41" s="71" t="n">
        <f aca="false">Y40/AD40</f>
        <v>0.909090909090909</v>
      </c>
      <c r="Z41" s="71" t="n">
        <f aca="false">Z40/AE40</f>
        <v>0.909090909090909</v>
      </c>
      <c r="AA41" s="71" t="n">
        <f aca="false">AA40/AF40</f>
        <v>1</v>
      </c>
    </row>
    <row r="42" customFormat="false" ht="12.8" hidden="false" customHeight="true" outlineLevel="0" collapsed="false">
      <c r="B42" s="13"/>
      <c r="C42" s="13"/>
      <c r="D42" s="13" t="s">
        <v>77</v>
      </c>
      <c r="E42" s="13"/>
      <c r="F42" s="13"/>
      <c r="G42" s="13"/>
      <c r="H42" s="13"/>
      <c r="I42" s="13"/>
      <c r="J42" s="13"/>
      <c r="K42" s="13" t="n">
        <v>50000</v>
      </c>
      <c r="L42" s="33" t="n">
        <f aca="false">ROUND(K42/$K$30,2)</f>
        <v>0.05</v>
      </c>
      <c r="M42" s="13"/>
      <c r="N42" s="13"/>
      <c r="O42" s="4"/>
      <c r="S42" s="87"/>
      <c r="T42" s="87"/>
      <c r="U42" s="87"/>
      <c r="V42" s="87"/>
    </row>
    <row r="43" customFormat="false" ht="12.8" hidden="false" customHeight="true" outlineLevel="0" collapsed="false">
      <c r="B43" s="13"/>
      <c r="C43" s="13"/>
      <c r="D43" s="13" t="s">
        <v>78</v>
      </c>
      <c r="E43" s="13"/>
      <c r="F43" s="13"/>
      <c r="G43" s="13"/>
      <c r="H43" s="13"/>
      <c r="I43" s="13"/>
      <c r="J43" s="13"/>
      <c r="K43" s="13" t="n">
        <v>45000</v>
      </c>
      <c r="L43" s="33" t="n">
        <f aca="false">ROUND(K43/$K$30,2)</f>
        <v>0.05</v>
      </c>
      <c r="M43" s="13"/>
      <c r="N43" s="13"/>
      <c r="O43" s="4"/>
    </row>
    <row r="44" customFormat="false" ht="12.8" hidden="false" customHeight="true" outlineLevel="0" collapsed="false">
      <c r="B44" s="13"/>
      <c r="C44" s="13"/>
      <c r="D44" s="16" t="s">
        <v>79</v>
      </c>
      <c r="E44" s="16"/>
      <c r="F44" s="16"/>
      <c r="G44" s="16"/>
      <c r="H44" s="16"/>
      <c r="I44" s="16"/>
      <c r="J44" s="16"/>
      <c r="K44" s="16" t="n">
        <v>30000</v>
      </c>
      <c r="L44" s="33" t="n">
        <f aca="false">ROUND(K44/$K$30,2)</f>
        <v>0.03</v>
      </c>
      <c r="M44" s="13"/>
      <c r="N44" s="32"/>
      <c r="O44" s="4"/>
    </row>
    <row r="45" customFormat="false" ht="12.8" hidden="false" customHeight="true" outlineLevel="0" collapsed="false">
      <c r="B45" s="13"/>
      <c r="C45" s="13"/>
      <c r="D45" s="16" t="s">
        <v>80</v>
      </c>
      <c r="E45" s="16"/>
      <c r="F45" s="16"/>
      <c r="G45" s="16"/>
      <c r="H45" s="16"/>
      <c r="I45" s="16"/>
      <c r="J45" s="88"/>
      <c r="K45" s="89" t="n">
        <f aca="false">SUM(K35:K44)</f>
        <v>448039.212</v>
      </c>
      <c r="L45" s="43" t="n">
        <f aca="false">ROUND(K45/$K$30,2)</f>
        <v>0.46</v>
      </c>
      <c r="M45" s="19" t="n">
        <f aca="false">K45/154</f>
        <v>2909.34553246753</v>
      </c>
      <c r="N45" s="13"/>
      <c r="O45" s="4"/>
    </row>
    <row r="46" customFormat="false" ht="12.8" hidden="false" customHeight="true" outlineLevel="0" collapsed="false">
      <c r="B46" s="13"/>
      <c r="C46" s="13"/>
      <c r="D46" s="13"/>
      <c r="E46" s="13"/>
      <c r="F46" s="13"/>
      <c r="G46" s="90"/>
      <c r="H46" s="90"/>
      <c r="I46" s="13"/>
      <c r="J46" s="13"/>
      <c r="K46" s="13"/>
      <c r="L46" s="33"/>
      <c r="M46" s="13"/>
      <c r="N46" s="13"/>
      <c r="O46" s="4"/>
    </row>
    <row r="47" customFormat="false" ht="12.8" hidden="false" customHeight="true" outlineLevel="0" collapsed="false">
      <c r="B47" s="13"/>
      <c r="C47" s="13"/>
      <c r="D47" s="13"/>
      <c r="E47" s="13"/>
      <c r="F47" s="13"/>
      <c r="G47" s="90"/>
      <c r="H47" s="90"/>
      <c r="I47" s="13"/>
      <c r="J47" s="13"/>
      <c r="K47" s="13"/>
      <c r="L47" s="33"/>
      <c r="M47" s="13"/>
      <c r="N47" s="32"/>
      <c r="O47" s="4"/>
    </row>
    <row r="48" customFormat="false" ht="12.8" hidden="false" customHeight="true" outlineLevel="0" collapsed="false">
      <c r="B48" s="13"/>
      <c r="C48" s="13"/>
      <c r="D48" s="21" t="s">
        <v>81</v>
      </c>
      <c r="E48" s="21"/>
      <c r="F48" s="21"/>
      <c r="G48" s="91"/>
      <c r="H48" s="91"/>
      <c r="I48" s="21"/>
      <c r="J48" s="16"/>
      <c r="K48" s="92" t="n">
        <f aca="false">K30-K45</f>
        <v>528332.988</v>
      </c>
      <c r="L48" s="93" t="n">
        <f aca="false">ROUND(K48/K30,2)</f>
        <v>0.54</v>
      </c>
      <c r="M48" s="16" t="n">
        <f aca="false">K48/154</f>
        <v>3430.73368831169</v>
      </c>
      <c r="N48" s="13" t="n">
        <f aca="false">K48/12</f>
        <v>44027.749</v>
      </c>
      <c r="O48" s="9" t="s">
        <v>82</v>
      </c>
    </row>
    <row r="49" customFormat="false" ht="12.8" hidden="false" customHeight="true" outlineLevel="0" collapsed="false">
      <c r="B49" s="13"/>
      <c r="C49" s="13"/>
      <c r="D49" s="94"/>
      <c r="E49" s="95"/>
      <c r="F49" s="95"/>
      <c r="G49" s="96"/>
      <c r="H49" s="96"/>
      <c r="I49" s="84"/>
      <c r="J49" s="84"/>
      <c r="K49" s="96"/>
      <c r="L49" s="33"/>
      <c r="M49" s="13"/>
      <c r="N49" s="13"/>
      <c r="O49" s="4"/>
    </row>
    <row r="50" customFormat="false" ht="12.8" hidden="false" customHeight="true" outlineLevel="0" collapsed="false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33"/>
      <c r="M50" s="13"/>
      <c r="N50" s="13"/>
      <c r="O50" s="4"/>
    </row>
    <row r="51" customFormat="false" ht="12.8" hidden="false" customHeight="true" outlineLevel="0" collapsed="false">
      <c r="B51" s="4"/>
      <c r="C51" s="4"/>
      <c r="D51" s="4" t="n">
        <v>6000000</v>
      </c>
      <c r="E51" s="4"/>
      <c r="F51" s="4"/>
      <c r="G51" s="4"/>
      <c r="H51" s="4"/>
      <c r="I51" s="4"/>
      <c r="J51" s="4"/>
      <c r="K51" s="4"/>
      <c r="L51" s="97"/>
      <c r="M51" s="4"/>
      <c r="N51" s="4"/>
      <c r="O51" s="4"/>
    </row>
    <row r="52" customFormat="false" ht="12.8" hidden="false" customHeight="true" outlineLevel="0" collapsed="false">
      <c r="B52" s="4"/>
      <c r="C52" s="4"/>
      <c r="D52" s="4"/>
      <c r="E52" s="98" t="s">
        <v>37</v>
      </c>
      <c r="F52" s="98"/>
      <c r="G52" s="98"/>
      <c r="H52" s="98"/>
      <c r="I52" s="98"/>
      <c r="J52" s="98"/>
      <c r="K52" s="98"/>
      <c r="L52" s="98"/>
      <c r="M52" s="4"/>
      <c r="O52" s="4"/>
      <c r="T52" s="99"/>
      <c r="U52" s="99"/>
      <c r="V52" s="99"/>
      <c r="W52" s="100" t="s">
        <v>37</v>
      </c>
      <c r="X52" s="100"/>
      <c r="Y52" s="100"/>
      <c r="Z52" s="100"/>
      <c r="AA52" s="100"/>
      <c r="AB52" s="100"/>
      <c r="AC52" s="100"/>
      <c r="AD52" s="100"/>
      <c r="AE52" s="99"/>
    </row>
    <row r="53" customFormat="false" ht="12.8" hidden="false" customHeight="true" outlineLevel="0" collapsed="false">
      <c r="B53" s="4"/>
      <c r="C53" s="101" t="s">
        <v>83</v>
      </c>
      <c r="D53" s="102"/>
      <c r="F53" s="103"/>
      <c r="G53" s="103"/>
      <c r="H53" s="103"/>
      <c r="I53" s="103"/>
      <c r="J53" s="103"/>
      <c r="K53" s="103"/>
      <c r="L53" s="104"/>
      <c r="M53" s="105"/>
      <c r="N53" s="106"/>
      <c r="O53" s="4"/>
      <c r="T53" s="99"/>
      <c r="U53" s="107" t="s">
        <v>83</v>
      </c>
      <c r="V53" s="108"/>
      <c r="W53" s="109"/>
      <c r="X53" s="110"/>
      <c r="Y53" s="110"/>
      <c r="Z53" s="110"/>
      <c r="AA53" s="110"/>
      <c r="AB53" s="110"/>
      <c r="AC53" s="110"/>
      <c r="AD53" s="111"/>
      <c r="AE53" s="99"/>
    </row>
    <row r="54" customFormat="false" ht="12.8" hidden="false" customHeight="true" outlineLevel="0" collapsed="false">
      <c r="B54" s="4"/>
      <c r="C54" s="5"/>
      <c r="D54" s="112"/>
      <c r="E54" s="113" t="str">
        <f aca="false">"Total "&amp;TEXT(F55+F62+F72,"###.#")&amp;" Sites in Final Build"</f>
        <v>Total 309 Sites in Final Build</v>
      </c>
      <c r="F54" s="113"/>
      <c r="G54" s="113"/>
      <c r="H54" s="113"/>
      <c r="I54" s="113"/>
      <c r="J54" s="113"/>
      <c r="K54" s="113"/>
      <c r="L54" s="113"/>
      <c r="M54" s="112"/>
      <c r="N54" s="4"/>
      <c r="O54" s="4"/>
      <c r="P54" s="12" t="s">
        <v>84</v>
      </c>
      <c r="T54" s="99"/>
      <c r="U54" s="114"/>
      <c r="V54" s="115"/>
      <c r="W54" s="116" t="str">
        <f aca="false">"Total "&amp;TEXT(X55+X62+X72,"###.#")&amp;" Sites in Final Build"</f>
        <v>Total 312 Sites in Final Build</v>
      </c>
      <c r="X54" s="116"/>
      <c r="Y54" s="116"/>
      <c r="Z54" s="116"/>
      <c r="AA54" s="116"/>
      <c r="AB54" s="116"/>
      <c r="AC54" s="116"/>
      <c r="AD54" s="116"/>
      <c r="AE54" s="115"/>
    </row>
    <row r="55" customFormat="false" ht="19.2" hidden="false" customHeight="true" outlineLevel="0" collapsed="false">
      <c r="B55" s="117" t="s">
        <v>85</v>
      </c>
      <c r="C55" s="118"/>
      <c r="D55" s="119" t="n">
        <f aca="false">K56+K57</f>
        <v>671581.75</v>
      </c>
      <c r="E55" s="120" t="s">
        <v>40</v>
      </c>
      <c r="F55" s="103" t="n">
        <f aca="false">SUM(F56:F60)</f>
        <v>122</v>
      </c>
      <c r="G55" s="121"/>
      <c r="H55" s="102"/>
      <c r="I55" s="122" t="s">
        <v>41</v>
      </c>
      <c r="J55" s="123" t="s">
        <v>86</v>
      </c>
      <c r="K55" s="121" t="s">
        <v>42</v>
      </c>
      <c r="L55" s="124" t="s">
        <v>43</v>
      </c>
      <c r="M55" s="125" t="s">
        <v>44</v>
      </c>
      <c r="N55" s="4"/>
      <c r="P55" s="12" t="s">
        <v>87</v>
      </c>
      <c r="T55" s="126" t="s">
        <v>85</v>
      </c>
      <c r="U55" s="127"/>
      <c r="V55" s="128" t="n">
        <f aca="false">AC56+AC57</f>
        <v>606301.5</v>
      </c>
      <c r="W55" s="129" t="s">
        <v>40</v>
      </c>
      <c r="X55" s="110" t="n">
        <f aca="false">SUM(X56:X60)</f>
        <v>122</v>
      </c>
      <c r="Y55" s="130"/>
      <c r="Z55" s="108"/>
      <c r="AA55" s="131" t="s">
        <v>41</v>
      </c>
      <c r="AB55" s="132" t="s">
        <v>86</v>
      </c>
      <c r="AC55" s="130" t="s">
        <v>42</v>
      </c>
      <c r="AD55" s="133" t="s">
        <v>43</v>
      </c>
      <c r="AE55" s="134" t="s">
        <v>44</v>
      </c>
    </row>
    <row r="56" customFormat="false" ht="12.8" hidden="false" customHeight="true" outlineLevel="0" collapsed="false">
      <c r="B56" s="135"/>
      <c r="C56" s="135"/>
      <c r="D56" s="136" t="s">
        <v>45</v>
      </c>
      <c r="E56" s="4"/>
      <c r="F56" s="137" t="n">
        <v>63</v>
      </c>
      <c r="G56" s="138" t="n">
        <v>46</v>
      </c>
      <c r="H56" s="139" t="s">
        <v>46</v>
      </c>
      <c r="I56" s="140" t="n">
        <v>0.7</v>
      </c>
      <c r="J56" s="137" t="n">
        <f aca="false">365-(365*I56)</f>
        <v>109.5</v>
      </c>
      <c r="K56" s="141" t="n">
        <f aca="false">(F56*G56)*365*(1-I56)</f>
        <v>317331</v>
      </c>
      <c r="L56" s="97" t="n">
        <f aca="false">ROUND(K56/$K$79,2)</f>
        <v>0.16</v>
      </c>
      <c r="M56" s="4" t="n">
        <f aca="false">K56/F56</f>
        <v>5037</v>
      </c>
      <c r="N56" s="137"/>
      <c r="T56" s="142"/>
      <c r="U56" s="142"/>
      <c r="V56" s="143" t="s">
        <v>45</v>
      </c>
      <c r="W56" s="99"/>
      <c r="X56" s="144" t="n">
        <v>63</v>
      </c>
      <c r="Y56" s="145" t="n">
        <v>42</v>
      </c>
      <c r="Z56" s="146" t="s">
        <v>46</v>
      </c>
      <c r="AA56" s="147" t="n">
        <v>0.7</v>
      </c>
      <c r="AB56" s="144" t="n">
        <f aca="false">365-(365*AA56)</f>
        <v>109.5</v>
      </c>
      <c r="AC56" s="148" t="n">
        <f aca="false">(X56*Y56)*365*(1-AA56)</f>
        <v>289737</v>
      </c>
      <c r="AD56" s="149" t="n">
        <f aca="false">ROUND(AC56/$K$79,2)</f>
        <v>0.15</v>
      </c>
      <c r="AE56" s="99" t="n">
        <f aca="false">AC56/X56</f>
        <v>4599</v>
      </c>
    </row>
    <row r="57" customFormat="false" ht="12.8" hidden="false" customHeight="true" outlineLevel="0" collapsed="false">
      <c r="B57" s="4"/>
      <c r="C57" s="4"/>
      <c r="D57" s="136" t="s">
        <v>47</v>
      </c>
      <c r="E57" s="4"/>
      <c r="F57" s="137" t="n">
        <v>59</v>
      </c>
      <c r="G57" s="138" t="n">
        <v>47</v>
      </c>
      <c r="H57" s="139" t="s">
        <v>46</v>
      </c>
      <c r="I57" s="140" t="n">
        <v>0.65</v>
      </c>
      <c r="J57" s="137" t="n">
        <f aca="false">365-(365*I57)</f>
        <v>127.75</v>
      </c>
      <c r="K57" s="141" t="n">
        <f aca="false">(F57*G57)*365*(1-I57)</f>
        <v>354250.75</v>
      </c>
      <c r="L57" s="97" t="n">
        <f aca="false">ROUND(K57/$K$79,2)</f>
        <v>0.18</v>
      </c>
      <c r="M57" s="4" t="n">
        <f aca="false">K57/F57</f>
        <v>6004.25</v>
      </c>
      <c r="N57" s="4"/>
      <c r="P57" s="12" t="n">
        <f aca="false">(K56/F56)/12</f>
        <v>419.75</v>
      </c>
      <c r="T57" s="99"/>
      <c r="U57" s="99"/>
      <c r="V57" s="143" t="s">
        <v>47</v>
      </c>
      <c r="W57" s="99"/>
      <c r="X57" s="144" t="n">
        <v>59</v>
      </c>
      <c r="Y57" s="145" t="n">
        <v>42</v>
      </c>
      <c r="Z57" s="146" t="s">
        <v>46</v>
      </c>
      <c r="AA57" s="147" t="n">
        <v>0.65</v>
      </c>
      <c r="AB57" s="144" t="n">
        <f aca="false">365-(365*AA57)</f>
        <v>127.75</v>
      </c>
      <c r="AC57" s="148" t="n">
        <f aca="false">(X57*Y57)*365*(1-AA57)</f>
        <v>316564.5</v>
      </c>
      <c r="AD57" s="149" t="n">
        <f aca="false">ROUND(AC57/$K$79,2)</f>
        <v>0.16</v>
      </c>
      <c r="AE57" s="99" t="n">
        <f aca="false">AC57/X57</f>
        <v>5365.5</v>
      </c>
    </row>
    <row r="58" customFormat="false" ht="12.8" hidden="false" customHeight="true" outlineLevel="0" collapsed="false">
      <c r="B58" s="135"/>
      <c r="C58" s="135"/>
      <c r="D58" s="4" t="s">
        <v>48</v>
      </c>
      <c r="E58" s="4"/>
      <c r="F58" s="137" t="n">
        <v>0</v>
      </c>
      <c r="G58" s="138" t="n">
        <v>120</v>
      </c>
      <c r="H58" s="139" t="s">
        <v>46</v>
      </c>
      <c r="I58" s="140" t="n">
        <v>0.85</v>
      </c>
      <c r="J58" s="137"/>
      <c r="K58" s="141" t="n">
        <f aca="false">(F58*G58)*365*(1-I58)</f>
        <v>0</v>
      </c>
      <c r="L58" s="97" t="n">
        <f aca="false">ROUND(K58/$K$30,2)</f>
        <v>0</v>
      </c>
      <c r="M58" s="4"/>
      <c r="N58" s="4"/>
      <c r="P58" s="12" t="n">
        <f aca="false">(K57/F57)/12</f>
        <v>500.354166666667</v>
      </c>
      <c r="T58" s="142"/>
      <c r="U58" s="142"/>
      <c r="V58" s="99" t="s">
        <v>48</v>
      </c>
      <c r="W58" s="99"/>
      <c r="X58" s="144" t="n">
        <v>0</v>
      </c>
      <c r="Y58" s="145" t="n">
        <v>120</v>
      </c>
      <c r="Z58" s="146" t="s">
        <v>46</v>
      </c>
      <c r="AA58" s="147" t="n">
        <v>0.85</v>
      </c>
      <c r="AB58" s="144"/>
      <c r="AC58" s="148" t="n">
        <f aca="false">(X58*Y58)*365*(1-AA58)</f>
        <v>0</v>
      </c>
      <c r="AD58" s="149" t="n">
        <f aca="false">ROUND(AC58/$K$30,2)</f>
        <v>0</v>
      </c>
      <c r="AE58" s="99"/>
    </row>
    <row r="59" customFormat="false" ht="12.8" hidden="false" customHeight="true" outlineLevel="0" collapsed="false">
      <c r="B59" s="135"/>
      <c r="C59" s="135"/>
      <c r="D59" s="4" t="s">
        <v>49</v>
      </c>
      <c r="E59" s="4"/>
      <c r="F59" s="137" t="n">
        <v>0</v>
      </c>
      <c r="G59" s="138" t="n">
        <v>69</v>
      </c>
      <c r="H59" s="139" t="s">
        <v>46</v>
      </c>
      <c r="I59" s="140" t="n">
        <v>0.8</v>
      </c>
      <c r="J59" s="137"/>
      <c r="K59" s="141" t="n">
        <f aca="false">(F59*G59)*365*(1-I59)</f>
        <v>0</v>
      </c>
      <c r="L59" s="97" t="n">
        <f aca="false">ROUND(K59/$K$30,2)</f>
        <v>0</v>
      </c>
      <c r="M59" s="4"/>
      <c r="N59" s="4"/>
      <c r="T59" s="142"/>
      <c r="U59" s="142"/>
      <c r="V59" s="99" t="s">
        <v>49</v>
      </c>
      <c r="W59" s="99"/>
      <c r="X59" s="144" t="n">
        <v>0</v>
      </c>
      <c r="Y59" s="145" t="n">
        <v>69</v>
      </c>
      <c r="Z59" s="146" t="s">
        <v>46</v>
      </c>
      <c r="AA59" s="147" t="n">
        <v>0.8</v>
      </c>
      <c r="AB59" s="144"/>
      <c r="AC59" s="148" t="n">
        <f aca="false">(X59*Y59)*365*(1-AA59)</f>
        <v>0</v>
      </c>
      <c r="AD59" s="149" t="n">
        <f aca="false">ROUND(AC59/$K$30,2)</f>
        <v>0</v>
      </c>
      <c r="AE59" s="99"/>
      <c r="AJ59" s="0" t="s">
        <v>88</v>
      </c>
      <c r="AK59" s="0" t="n">
        <v>37500</v>
      </c>
      <c r="AL59" s="0" t="n">
        <v>9375</v>
      </c>
      <c r="AM59" s="0" t="n">
        <v>9375</v>
      </c>
      <c r="AN59" s="0" t="n">
        <v>18750</v>
      </c>
      <c r="AO59" s="150" t="n">
        <f aca="false">SUM(AK59:AN59)</f>
        <v>75000</v>
      </c>
    </row>
    <row r="60" customFormat="false" ht="12.8" hidden="false" customHeight="true" outlineLevel="0" collapsed="false">
      <c r="B60" s="135"/>
      <c r="C60" s="135"/>
      <c r="D60" s="4" t="s">
        <v>50</v>
      </c>
      <c r="E60" s="4"/>
      <c r="F60" s="137" t="n">
        <v>0</v>
      </c>
      <c r="G60" s="138" t="n">
        <v>35</v>
      </c>
      <c r="H60" s="139" t="s">
        <v>46</v>
      </c>
      <c r="I60" s="140" t="n">
        <v>0.9</v>
      </c>
      <c r="J60" s="137"/>
      <c r="K60" s="141" t="n">
        <f aca="false">(F60*G60)*365*(1-I60)</f>
        <v>0</v>
      </c>
      <c r="L60" s="97" t="n">
        <f aca="false">ROUND(K60/$K$30,2)</f>
        <v>0</v>
      </c>
      <c r="M60" s="4"/>
      <c r="N60" s="4"/>
      <c r="T60" s="142"/>
      <c r="U60" s="142"/>
      <c r="V60" s="99" t="s">
        <v>50</v>
      </c>
      <c r="W60" s="99"/>
      <c r="X60" s="144" t="n">
        <v>0</v>
      </c>
      <c r="Y60" s="145" t="n">
        <v>35</v>
      </c>
      <c r="Z60" s="146" t="s">
        <v>46</v>
      </c>
      <c r="AA60" s="147" t="n">
        <v>0.9</v>
      </c>
      <c r="AB60" s="144"/>
      <c r="AC60" s="148" t="n">
        <f aca="false">(X60*Y60)*365*(1-AA60)</f>
        <v>0</v>
      </c>
      <c r="AD60" s="149" t="n">
        <f aca="false">ROUND(AC60/$K$30,2)</f>
        <v>0</v>
      </c>
      <c r="AE60" s="99"/>
      <c r="AK60" s="150" t="n">
        <f aca="false">AK59*$AN$91</f>
        <v>52542</v>
      </c>
      <c r="AL60" s="150" t="n">
        <f aca="false">AL59*$AN$91</f>
        <v>13135.5</v>
      </c>
      <c r="AM60" s="150" t="n">
        <f aca="false">AM59*$AN$91</f>
        <v>13135.5</v>
      </c>
      <c r="AN60" s="150" t="n">
        <f aca="false">AN59*$AN$91</f>
        <v>26271</v>
      </c>
      <c r="AO60" s="5" t="n">
        <f aca="false">SUM(AK60:AN60)</f>
        <v>105084</v>
      </c>
    </row>
    <row r="61" customFormat="false" ht="12.8" hidden="false" customHeight="true" outlineLevel="0" collapsed="false">
      <c r="B61" s="135"/>
      <c r="C61" s="135"/>
      <c r="D61" s="4"/>
      <c r="E61" s="4"/>
      <c r="F61" s="137"/>
      <c r="G61" s="138"/>
      <c r="H61" s="139"/>
      <c r="I61" s="140"/>
      <c r="J61" s="137"/>
      <c r="K61" s="151" t="n">
        <f aca="false">SUM(K56:K60)</f>
        <v>671581.75</v>
      </c>
      <c r="L61" s="97"/>
      <c r="M61" s="4"/>
      <c r="N61" s="4"/>
      <c r="T61" s="142"/>
      <c r="U61" s="142"/>
      <c r="V61" s="99"/>
      <c r="W61" s="99"/>
      <c r="X61" s="144"/>
      <c r="Y61" s="145"/>
      <c r="Z61" s="146"/>
      <c r="AA61" s="147"/>
      <c r="AB61" s="144"/>
      <c r="AC61" s="152" t="n">
        <f aca="false">SUM(AC56:AC60)</f>
        <v>606301.5</v>
      </c>
      <c r="AD61" s="149"/>
      <c r="AE61" s="99"/>
      <c r="AK61" s="71" t="n">
        <f aca="false">AK60/AK59</f>
        <v>1.40112</v>
      </c>
      <c r="AL61" s="71" t="n">
        <f aca="false">AL60/AL59</f>
        <v>1.40112</v>
      </c>
      <c r="AM61" s="71" t="n">
        <f aca="false">AM60/AM59</f>
        <v>1.40112</v>
      </c>
      <c r="AN61" s="71" t="n">
        <f aca="false">AN60/AN59</f>
        <v>1.40112</v>
      </c>
      <c r="AO61" s="71" t="n">
        <f aca="false">AO60/AO59</f>
        <v>1.40112</v>
      </c>
    </row>
    <row r="62" customFormat="false" ht="14.65" hidden="false" customHeight="true" outlineLevel="0" collapsed="false">
      <c r="B62" s="117" t="s">
        <v>89</v>
      </c>
      <c r="C62" s="4"/>
      <c r="D62" s="153" t="n">
        <f aca="false">K63+K64+K65+K66</f>
        <v>343684</v>
      </c>
      <c r="E62" s="154" t="s">
        <v>40</v>
      </c>
      <c r="F62" s="155" t="n">
        <f aca="false">SUM(F63:F66)</f>
        <v>51</v>
      </c>
      <c r="G62" s="156"/>
      <c r="H62" s="112"/>
      <c r="I62" s="157"/>
      <c r="J62" s="113"/>
      <c r="K62" s="158"/>
      <c r="L62" s="159"/>
      <c r="M62" s="112"/>
      <c r="N62" s="4"/>
      <c r="T62" s="126" t="s">
        <v>89</v>
      </c>
      <c r="U62" s="99"/>
      <c r="V62" s="160" t="n">
        <f aca="false">AC63+AC64+AC65+AC66</f>
        <v>336876.75</v>
      </c>
      <c r="W62" s="161" t="s">
        <v>40</v>
      </c>
      <c r="X62" s="162" t="n">
        <f aca="false">SUM(X63:X66)</f>
        <v>52</v>
      </c>
      <c r="Y62" s="163"/>
      <c r="Z62" s="115"/>
      <c r="AA62" s="164"/>
      <c r="AB62" s="116"/>
      <c r="AC62" s="165"/>
      <c r="AD62" s="166"/>
      <c r="AE62" s="115"/>
      <c r="AJ62" s="0" t="s">
        <v>90</v>
      </c>
      <c r="AK62" s="63" t="n">
        <v>500000</v>
      </c>
      <c r="AL62" s="63" t="n">
        <v>142000</v>
      </c>
      <c r="AM62" s="63" t="n">
        <v>142000</v>
      </c>
      <c r="AN62" s="63" t="n">
        <v>250000</v>
      </c>
      <c r="AO62" s="150" t="n">
        <f aca="false">SUM(AK62:AN62)</f>
        <v>1034000</v>
      </c>
    </row>
    <row r="63" customFormat="false" ht="12.8" hidden="false" customHeight="true" outlineLevel="0" collapsed="false">
      <c r="B63" s="4"/>
      <c r="C63" s="4"/>
      <c r="D63" s="4" t="s">
        <v>45</v>
      </c>
      <c r="E63" s="4"/>
      <c r="F63" s="137" t="n">
        <v>29</v>
      </c>
      <c r="G63" s="138" t="n">
        <v>48</v>
      </c>
      <c r="H63" s="139" t="s">
        <v>46</v>
      </c>
      <c r="I63" s="140" t="n">
        <v>0.65</v>
      </c>
      <c r="J63" s="137" t="n">
        <f aca="false">365-(365*I63)</f>
        <v>127.75</v>
      </c>
      <c r="K63" s="141" t="n">
        <f aca="false">(F63*G63)*365*(1-I63)</f>
        <v>177828</v>
      </c>
      <c r="L63" s="97" t="n">
        <f aca="false">ROUND(K63/$K$79,2)</f>
        <v>0.09</v>
      </c>
      <c r="M63" s="4" t="n">
        <f aca="false">K63/F63</f>
        <v>6132</v>
      </c>
      <c r="N63" s="4"/>
      <c r="P63" s="12" t="n">
        <f aca="false">(K63/F63)/12</f>
        <v>511</v>
      </c>
      <c r="T63" s="99"/>
      <c r="U63" s="99"/>
      <c r="V63" s="99" t="s">
        <v>45</v>
      </c>
      <c r="W63" s="99"/>
      <c r="X63" s="144" t="n">
        <v>29</v>
      </c>
      <c r="Y63" s="145" t="n">
        <v>46</v>
      </c>
      <c r="Z63" s="146" t="s">
        <v>46</v>
      </c>
      <c r="AA63" s="147" t="n">
        <v>0.65</v>
      </c>
      <c r="AB63" s="144" t="n">
        <f aca="false">365-(365*AA63)</f>
        <v>127.75</v>
      </c>
      <c r="AC63" s="148" t="n">
        <f aca="false">(X63*Y63)*365*(1-AA63)</f>
        <v>170418.5</v>
      </c>
      <c r="AD63" s="149" t="n">
        <f aca="false">ROUND(AC63/$K$79,2)</f>
        <v>0.09</v>
      </c>
      <c r="AE63" s="99" t="n">
        <f aca="false">AC63/X63</f>
        <v>5876.5</v>
      </c>
      <c r="AK63" s="150" t="n">
        <f aca="false">AK62*$AN$91</f>
        <v>700560</v>
      </c>
      <c r="AL63" s="150" t="n">
        <f aca="false">AL62*$AN$92</f>
        <v>81235.3874396135</v>
      </c>
      <c r="AM63" s="150" t="n">
        <f aca="false">AM62*$AN$92</f>
        <v>81235.3874396135</v>
      </c>
      <c r="AN63" s="150" t="n">
        <f aca="false">AN62*$AN$92</f>
        <v>143020.048309179</v>
      </c>
      <c r="AO63" s="5" t="n">
        <f aca="false">SUM(AK63:AN63)</f>
        <v>1006050.82318841</v>
      </c>
    </row>
    <row r="64" customFormat="false" ht="12.8" hidden="false" customHeight="true" outlineLevel="0" collapsed="false">
      <c r="B64" s="135"/>
      <c r="C64" s="135"/>
      <c r="D64" s="4" t="s">
        <v>50</v>
      </c>
      <c r="E64" s="4"/>
      <c r="F64" s="137" t="n">
        <v>6</v>
      </c>
      <c r="G64" s="138" t="n">
        <v>32</v>
      </c>
      <c r="H64" s="139" t="s">
        <v>46</v>
      </c>
      <c r="I64" s="140" t="n">
        <v>0.85</v>
      </c>
      <c r="J64" s="137" t="n">
        <f aca="false">365-(365*I64)</f>
        <v>54.75</v>
      </c>
      <c r="K64" s="141" t="n">
        <f aca="false">(F64*G64)*365*(1-I64)</f>
        <v>10512</v>
      </c>
      <c r="L64" s="97" t="n">
        <f aca="false">ROUND(K64/$K$79,2)</f>
        <v>0.01</v>
      </c>
      <c r="M64" s="4" t="n">
        <f aca="false">K64/F64</f>
        <v>1752</v>
      </c>
      <c r="N64" s="4"/>
      <c r="P64" s="12" t="n">
        <f aca="false">(K64/F64)/12</f>
        <v>146</v>
      </c>
      <c r="T64" s="142"/>
      <c r="U64" s="142"/>
      <c r="V64" s="99" t="s">
        <v>50</v>
      </c>
      <c r="W64" s="99"/>
      <c r="X64" s="144" t="n">
        <v>7</v>
      </c>
      <c r="Y64" s="145" t="n">
        <v>29</v>
      </c>
      <c r="Z64" s="146" t="s">
        <v>46</v>
      </c>
      <c r="AA64" s="147" t="n">
        <v>0.85</v>
      </c>
      <c r="AB64" s="144" t="n">
        <f aca="false">365-(365*AA64)</f>
        <v>54.75</v>
      </c>
      <c r="AC64" s="148" t="n">
        <f aca="false">(X64*Y64)*365*(1-AA64)</f>
        <v>11114.25</v>
      </c>
      <c r="AD64" s="149" t="n">
        <f aca="false">ROUND(AC64/$K$79,2)</f>
        <v>0.01</v>
      </c>
      <c r="AE64" s="99" t="n">
        <f aca="false">AC64/X64</f>
        <v>1587.75</v>
      </c>
      <c r="AK64" s="71" t="n">
        <f aca="false">AK63/AK62</f>
        <v>1.40112</v>
      </c>
    </row>
    <row r="65" customFormat="false" ht="12.8" hidden="false" customHeight="true" outlineLevel="0" collapsed="false">
      <c r="B65" s="135"/>
      <c r="C65" s="135"/>
      <c r="D65" s="4" t="s">
        <v>53</v>
      </c>
      <c r="E65" s="4"/>
      <c r="F65" s="137" t="n">
        <v>8</v>
      </c>
      <c r="G65" s="138" t="n">
        <v>94</v>
      </c>
      <c r="H65" s="139" t="s">
        <v>46</v>
      </c>
      <c r="I65" s="140" t="n">
        <v>0.75</v>
      </c>
      <c r="J65" s="137" t="n">
        <f aca="false">365-(365*I65)</f>
        <v>91.25</v>
      </c>
      <c r="K65" s="141" t="n">
        <f aca="false">(F65*G65)*365*(1-I65)</f>
        <v>68620</v>
      </c>
      <c r="L65" s="97" t="n">
        <f aca="false">ROUND(K65/$K$79,2)</f>
        <v>0.04</v>
      </c>
      <c r="M65" s="4" t="n">
        <f aca="false">K65/F65</f>
        <v>8577.5</v>
      </c>
      <c r="N65" s="4"/>
      <c r="P65" s="12" t="n">
        <f aca="false">(K65/F65)/12</f>
        <v>714.791666666667</v>
      </c>
      <c r="T65" s="142"/>
      <c r="U65" s="142"/>
      <c r="V65" s="99" t="s">
        <v>53</v>
      </c>
      <c r="W65" s="99"/>
      <c r="X65" s="144" t="n">
        <v>8</v>
      </c>
      <c r="Y65" s="145" t="n">
        <v>94</v>
      </c>
      <c r="Z65" s="146" t="s">
        <v>46</v>
      </c>
      <c r="AA65" s="147" t="n">
        <v>0.75</v>
      </c>
      <c r="AB65" s="144" t="n">
        <f aca="false">365-(365*AA65)</f>
        <v>91.25</v>
      </c>
      <c r="AC65" s="148" t="n">
        <f aca="false">(X65*Y65)*365*(1-AA65)</f>
        <v>68620</v>
      </c>
      <c r="AD65" s="149" t="n">
        <f aca="false">ROUND(AC65/$K$79,2)</f>
        <v>0.04</v>
      </c>
      <c r="AE65" s="99" t="n">
        <f aca="false">AC65/X65</f>
        <v>8577.5</v>
      </c>
      <c r="AJ65" s="0" t="s">
        <v>48</v>
      </c>
      <c r="AK65" s="0" t="n">
        <v>48000</v>
      </c>
      <c r="AL65" s="0" t="n">
        <v>12000</v>
      </c>
      <c r="AM65" s="0" t="n">
        <v>12000</v>
      </c>
      <c r="AN65" s="0" t="n">
        <v>24000</v>
      </c>
      <c r="AO65" s="150" t="n">
        <f aca="false">SUM(AK65:AN65)</f>
        <v>96000</v>
      </c>
    </row>
    <row r="66" customFormat="false" ht="12.8" hidden="false" customHeight="true" outlineLevel="0" collapsed="false">
      <c r="B66" s="135"/>
      <c r="C66" s="167"/>
      <c r="D66" s="4" t="s">
        <v>91</v>
      </c>
      <c r="E66" s="4"/>
      <c r="F66" s="137" t="n">
        <v>8</v>
      </c>
      <c r="G66" s="138" t="n">
        <v>99</v>
      </c>
      <c r="H66" s="139" t="s">
        <v>46</v>
      </c>
      <c r="I66" s="140" t="n">
        <v>0.7</v>
      </c>
      <c r="J66" s="137" t="n">
        <f aca="false">365-(365*I66)</f>
        <v>109.5</v>
      </c>
      <c r="K66" s="141" t="n">
        <f aca="false">(F66*G66)*365*(1-I66)</f>
        <v>86724</v>
      </c>
      <c r="L66" s="97" t="n">
        <f aca="false">ROUND(K66/$K$79,2)</f>
        <v>0.05</v>
      </c>
      <c r="M66" s="4" t="n">
        <f aca="false">K66/F66</f>
        <v>10840.5</v>
      </c>
      <c r="N66" s="4"/>
      <c r="P66" s="12" t="n">
        <f aca="false">(K66/F66)/12</f>
        <v>903.375</v>
      </c>
      <c r="T66" s="142"/>
      <c r="U66" s="142"/>
      <c r="V66" s="99" t="s">
        <v>91</v>
      </c>
      <c r="W66" s="99"/>
      <c r="X66" s="144" t="n">
        <v>8</v>
      </c>
      <c r="Y66" s="145" t="n">
        <v>99</v>
      </c>
      <c r="Z66" s="146" t="s">
        <v>46</v>
      </c>
      <c r="AA66" s="147" t="n">
        <v>0.7</v>
      </c>
      <c r="AB66" s="144" t="n">
        <f aca="false">365-(365*AA66)</f>
        <v>109.5</v>
      </c>
      <c r="AC66" s="148" t="n">
        <f aca="false">(X66*Y66)*365*(1-AA66)</f>
        <v>86724</v>
      </c>
      <c r="AD66" s="149" t="n">
        <f aca="false">ROUND(AC66/$K$79,2)</f>
        <v>0.05</v>
      </c>
      <c r="AE66" s="99" t="n">
        <f aca="false">AC66/X66</f>
        <v>10840.5</v>
      </c>
      <c r="AK66" s="150" t="n">
        <f aca="false">AK65*$AN$93</f>
        <v>32521.5</v>
      </c>
      <c r="AL66" s="150" t="n">
        <f aca="false">AL65*$AN$93</f>
        <v>8130.375</v>
      </c>
      <c r="AM66" s="150" t="n">
        <f aca="false">AM65*$AN$93</f>
        <v>8130.375</v>
      </c>
      <c r="AN66" s="150" t="n">
        <f aca="false">AN65*$AN$93</f>
        <v>16260.75</v>
      </c>
      <c r="AO66" s="5" t="n">
        <f aca="false">SUM(AK66:AN66)</f>
        <v>65043</v>
      </c>
    </row>
    <row r="67" customFormat="false" ht="12.8" hidden="false" customHeight="true" outlineLevel="0" collapsed="false">
      <c r="B67" s="135"/>
      <c r="C67" s="135"/>
      <c r="D67" s="4" t="s">
        <v>55</v>
      </c>
      <c r="E67" s="4"/>
      <c r="F67" s="137" t="n">
        <v>1</v>
      </c>
      <c r="G67" s="141"/>
      <c r="H67" s="137"/>
      <c r="I67" s="4"/>
      <c r="J67" s="137"/>
      <c r="K67" s="141" t="n">
        <v>7500</v>
      </c>
      <c r="L67" s="97" t="n">
        <f aca="false">ROUND(K67/$K$79,2)</f>
        <v>0</v>
      </c>
      <c r="M67" s="4"/>
      <c r="N67" s="4"/>
      <c r="P67" s="0"/>
      <c r="T67" s="142"/>
      <c r="U67" s="142"/>
      <c r="V67" s="99" t="s">
        <v>55</v>
      </c>
      <c r="W67" s="99"/>
      <c r="X67" s="144" t="n">
        <v>1</v>
      </c>
      <c r="Y67" s="148"/>
      <c r="Z67" s="144"/>
      <c r="AA67" s="99"/>
      <c r="AB67" s="144"/>
      <c r="AC67" s="148" t="n">
        <v>7500</v>
      </c>
      <c r="AD67" s="149" t="n">
        <f aca="false">ROUND(AC67/$K$79,2)</f>
        <v>0</v>
      </c>
      <c r="AE67" s="99"/>
      <c r="AK67" s="71" t="n">
        <f aca="false">AK66/AK65</f>
        <v>0.67753125</v>
      </c>
    </row>
    <row r="68" customFormat="false" ht="12.8" hidden="false" customHeight="true" outlineLevel="0" collapsed="false">
      <c r="B68" s="135"/>
      <c r="C68" s="135"/>
      <c r="D68" s="106" t="s">
        <v>92</v>
      </c>
      <c r="E68" s="4"/>
      <c r="F68" s="137"/>
      <c r="G68" s="137"/>
      <c r="H68" s="137"/>
      <c r="I68" s="4"/>
      <c r="J68" s="137"/>
      <c r="K68" s="141" t="n">
        <v>30000</v>
      </c>
      <c r="L68" s="97" t="n">
        <f aca="false">ROUND(K68/$K$79,2)</f>
        <v>0.02</v>
      </c>
      <c r="M68" s="4"/>
      <c r="N68" s="4"/>
      <c r="T68" s="142"/>
      <c r="U68" s="142"/>
      <c r="V68" s="99" t="s">
        <v>92</v>
      </c>
      <c r="W68" s="99"/>
      <c r="X68" s="144"/>
      <c r="Y68" s="144"/>
      <c r="Z68" s="144"/>
      <c r="AA68" s="99"/>
      <c r="AB68" s="144"/>
      <c r="AC68" s="148" t="n">
        <v>30000</v>
      </c>
      <c r="AD68" s="149" t="n">
        <f aca="false">ROUND(AC68/$K$79,2)</f>
        <v>0.02</v>
      </c>
      <c r="AE68" s="99"/>
      <c r="AJ68" s="0" t="s">
        <v>53</v>
      </c>
      <c r="AK68" s="0" t="n">
        <v>75000</v>
      </c>
      <c r="AL68" s="0" t="n">
        <v>18875</v>
      </c>
      <c r="AM68" s="0" t="n">
        <v>18875</v>
      </c>
      <c r="AN68" s="0" t="n">
        <v>37750</v>
      </c>
      <c r="AO68" s="150" t="n">
        <f aca="false">SUM(AK68:AN68)</f>
        <v>150500</v>
      </c>
    </row>
    <row r="69" customFormat="false" ht="12.8" hidden="false" customHeight="true" outlineLevel="0" collapsed="false">
      <c r="B69" s="135"/>
      <c r="C69" s="135"/>
      <c r="D69" s="106" t="s">
        <v>57</v>
      </c>
      <c r="E69" s="106"/>
      <c r="F69" s="168"/>
      <c r="G69" s="168"/>
      <c r="H69" s="168"/>
      <c r="I69" s="106"/>
      <c r="J69" s="168"/>
      <c r="K69" s="141" t="n">
        <v>110000</v>
      </c>
      <c r="L69" s="97" t="n">
        <f aca="false">ROUND(K69/$K$79,2)</f>
        <v>0.06</v>
      </c>
      <c r="M69" s="4"/>
      <c r="N69" s="4"/>
      <c r="T69" s="142"/>
      <c r="U69" s="142"/>
      <c r="V69" s="99" t="s">
        <v>57</v>
      </c>
      <c r="W69" s="99"/>
      <c r="X69" s="144"/>
      <c r="Y69" s="144"/>
      <c r="Z69" s="144"/>
      <c r="AA69" s="99"/>
      <c r="AB69" s="144"/>
      <c r="AC69" s="148" t="n">
        <v>110000</v>
      </c>
      <c r="AD69" s="149" t="n">
        <f aca="false">ROUND(AC69/$K$79,2)</f>
        <v>0.06</v>
      </c>
      <c r="AE69" s="99"/>
      <c r="AK69" s="150" t="n">
        <f aca="false">AK68*$AN$94</f>
        <v>49891.3907284769</v>
      </c>
      <c r="AL69" s="150" t="n">
        <f aca="false">AL68*$AN$94</f>
        <v>12556</v>
      </c>
      <c r="AM69" s="150" t="n">
        <f aca="false">AM68*$AN$94</f>
        <v>12556</v>
      </c>
      <c r="AN69" s="150" t="n">
        <f aca="false">AN68*$AN$94</f>
        <v>25112</v>
      </c>
      <c r="AO69" s="5" t="n">
        <f aca="false">SUM(AK69:AN69)</f>
        <v>100115.390728477</v>
      </c>
    </row>
    <row r="70" customFormat="false" ht="12.8" hidden="false" customHeight="true" outlineLevel="0" collapsed="false">
      <c r="B70" s="135"/>
      <c r="C70" s="135"/>
      <c r="D70" s="106"/>
      <c r="E70" s="87"/>
      <c r="F70" s="106"/>
      <c r="G70" s="106"/>
      <c r="H70" s="106"/>
      <c r="I70" s="106"/>
      <c r="J70" s="169" t="s">
        <v>59</v>
      </c>
      <c r="L70" s="97"/>
      <c r="M70" s="4"/>
      <c r="N70" s="4" t="n">
        <f aca="false">+K77</f>
        <v>79572</v>
      </c>
      <c r="T70" s="142"/>
      <c r="U70" s="142"/>
      <c r="V70" s="99"/>
      <c r="W70" s="109"/>
      <c r="X70" s="99"/>
      <c r="Y70" s="99"/>
      <c r="Z70" s="99"/>
      <c r="AA70" s="99"/>
      <c r="AB70" s="170" t="s">
        <v>59</v>
      </c>
      <c r="AC70" s="109"/>
      <c r="AD70" s="149"/>
      <c r="AE70" s="99"/>
      <c r="AK70" s="71" t="n">
        <f aca="false">AK69/AK68</f>
        <v>0.665218543046358</v>
      </c>
    </row>
    <row r="71" customFormat="false" ht="12.8" hidden="false" customHeight="true" outlineLevel="0" collapsed="false">
      <c r="B71" s="4"/>
      <c r="C71" s="4"/>
      <c r="D71" s="4"/>
      <c r="E71" s="4"/>
      <c r="F71" s="4"/>
      <c r="G71" s="4"/>
      <c r="H71" s="4"/>
      <c r="I71" s="4"/>
      <c r="J71" s="4"/>
      <c r="K71" s="171" t="n">
        <f aca="false">SUM(K63:K69)</f>
        <v>491184</v>
      </c>
      <c r="L71" s="97"/>
      <c r="M71" s="4"/>
      <c r="N71" s="4"/>
      <c r="T71" s="99"/>
      <c r="U71" s="99"/>
      <c r="V71" s="99"/>
      <c r="W71" s="99"/>
      <c r="X71" s="99"/>
      <c r="Y71" s="99"/>
      <c r="Z71" s="99"/>
      <c r="AA71" s="99"/>
      <c r="AB71" s="99"/>
      <c r="AC71" s="172" t="n">
        <f aca="false">SUM(AC63:AC69)</f>
        <v>484376.75</v>
      </c>
      <c r="AD71" s="149"/>
      <c r="AE71" s="99"/>
      <c r="AJ71" s="0" t="s">
        <v>93</v>
      </c>
      <c r="AK71" s="0" t="n">
        <v>4500</v>
      </c>
      <c r="AL71" s="0" t="n">
        <v>1300</v>
      </c>
      <c r="AM71" s="0" t="n">
        <v>1200</v>
      </c>
      <c r="AN71" s="0" t="n">
        <v>2000</v>
      </c>
      <c r="AO71" s="150" t="n">
        <f aca="false">SUM(AK71:AN71)</f>
        <v>9000</v>
      </c>
    </row>
    <row r="72" customFormat="false" ht="12.8" hidden="false" customHeight="true" outlineLevel="0" collapsed="false">
      <c r="B72" s="173" t="s">
        <v>94</v>
      </c>
      <c r="C72" s="4"/>
      <c r="D72" s="153" t="n">
        <f aca="false">SUM(K73:K76)</f>
        <v>684124.4</v>
      </c>
      <c r="E72" s="154" t="s">
        <v>40</v>
      </c>
      <c r="F72" s="155" t="n">
        <f aca="false">SUM(F73:F77)</f>
        <v>136</v>
      </c>
      <c r="G72" s="174"/>
      <c r="H72" s="175"/>
      <c r="I72" s="157"/>
      <c r="J72" s="113"/>
      <c r="K72" s="156"/>
      <c r="L72" s="159"/>
      <c r="M72" s="176"/>
      <c r="N72" s="4"/>
      <c r="O72" s="4"/>
      <c r="T72" s="177" t="s">
        <v>94</v>
      </c>
      <c r="U72" s="99"/>
      <c r="V72" s="160" t="n">
        <f aca="false">SUM(AC73:AC76)</f>
        <v>555795.85</v>
      </c>
      <c r="W72" s="161" t="s">
        <v>40</v>
      </c>
      <c r="X72" s="162" t="n">
        <f aca="false">SUM(X73:X77)</f>
        <v>138</v>
      </c>
      <c r="Y72" s="178"/>
      <c r="Z72" s="179"/>
      <c r="AA72" s="164"/>
      <c r="AB72" s="116"/>
      <c r="AC72" s="163"/>
      <c r="AD72" s="166"/>
      <c r="AE72" s="180"/>
      <c r="AK72" s="150" t="n">
        <f aca="false">AK71*$AN$95</f>
        <v>3066</v>
      </c>
      <c r="AL72" s="150" t="n">
        <f aca="false">AL71*$AN$95</f>
        <v>885.733333333333</v>
      </c>
      <c r="AM72" s="150" t="n">
        <f aca="false">AM71*$AN$95</f>
        <v>817.6</v>
      </c>
      <c r="AN72" s="150" t="n">
        <f aca="false">AN71*$AN$95</f>
        <v>1362.66666666667</v>
      </c>
      <c r="AO72" s="5" t="n">
        <f aca="false">SUM(AK72:AN72)</f>
        <v>6132</v>
      </c>
    </row>
    <row r="73" customFormat="false" ht="12.8" hidden="false" customHeight="true" outlineLevel="0" collapsed="false">
      <c r="B73" s="135"/>
      <c r="C73" s="135"/>
      <c r="D73" s="4" t="s">
        <v>45</v>
      </c>
      <c r="E73" s="4"/>
      <c r="F73" s="137" t="n">
        <v>39</v>
      </c>
      <c r="G73" s="138" t="n">
        <v>46</v>
      </c>
      <c r="H73" s="139" t="s">
        <v>46</v>
      </c>
      <c r="I73" s="140" t="n">
        <v>0.65</v>
      </c>
      <c r="J73" s="137" t="n">
        <f aca="false">365-(365*I73)</f>
        <v>127.75</v>
      </c>
      <c r="K73" s="141" t="n">
        <f aca="false">(F73*G73)*365*(1-I73)</f>
        <v>229183.5</v>
      </c>
      <c r="L73" s="181" t="n">
        <f aca="false">ROUND(K73/$K$79,2)</f>
        <v>0.12</v>
      </c>
      <c r="M73" s="4" t="n">
        <f aca="false">K73/F73</f>
        <v>5876.5</v>
      </c>
      <c r="N73" s="137"/>
      <c r="O73" s="4"/>
      <c r="T73" s="142"/>
      <c r="U73" s="142"/>
      <c r="V73" s="99" t="s">
        <v>45</v>
      </c>
      <c r="W73" s="99"/>
      <c r="X73" s="144" t="n">
        <v>29</v>
      </c>
      <c r="Y73" s="145" t="n">
        <v>39</v>
      </c>
      <c r="Z73" s="146" t="s">
        <v>46</v>
      </c>
      <c r="AA73" s="147" t="n">
        <v>0.65</v>
      </c>
      <c r="AB73" s="144" t="n">
        <f aca="false">365-(365*AA73)</f>
        <v>127.75</v>
      </c>
      <c r="AC73" s="148" t="n">
        <f aca="false">(X73*Y73)*365*(1-AA73)</f>
        <v>144485.25</v>
      </c>
      <c r="AD73" s="182" t="n">
        <f aca="false">ROUND(AC73/$K$79,2)</f>
        <v>0.08</v>
      </c>
      <c r="AE73" s="99" t="n">
        <f aca="false">AC73/X73</f>
        <v>4982.25</v>
      </c>
      <c r="AK73" s="71" t="n">
        <f aca="false">AK72/AK71</f>
        <v>0.681333333333333</v>
      </c>
    </row>
    <row r="74" customFormat="false" ht="14.65" hidden="false" customHeight="true" outlineLevel="0" collapsed="false">
      <c r="B74" s="135"/>
      <c r="C74" s="135"/>
      <c r="D74" s="4" t="s">
        <v>62</v>
      </c>
      <c r="E74" s="4"/>
      <c r="F74" s="137" t="n">
        <v>45</v>
      </c>
      <c r="G74" s="138" t="n">
        <v>46</v>
      </c>
      <c r="H74" s="139" t="s">
        <v>46</v>
      </c>
      <c r="I74" s="140" t="n">
        <v>0.65</v>
      </c>
      <c r="J74" s="137" t="n">
        <f aca="false">365-(365*I74)</f>
        <v>127.75</v>
      </c>
      <c r="K74" s="141" t="n">
        <f aca="false">(F74*G74)*365*(1-I74)</f>
        <v>264442.5</v>
      </c>
      <c r="L74" s="181" t="n">
        <f aca="false">ROUND(K74/$K$79,2)</f>
        <v>0.14</v>
      </c>
      <c r="M74" s="4" t="n">
        <f aca="false">K74/F74</f>
        <v>5876.5</v>
      </c>
      <c r="N74" s="137"/>
      <c r="O74" s="4"/>
      <c r="P74" s="12" t="n">
        <f aca="false">(K73/F73)/12</f>
        <v>489.708333333333</v>
      </c>
      <c r="T74" s="142"/>
      <c r="U74" s="142"/>
      <c r="V74" s="99" t="s">
        <v>62</v>
      </c>
      <c r="W74" s="99"/>
      <c r="X74" s="144" t="n">
        <v>38</v>
      </c>
      <c r="Y74" s="145" t="n">
        <v>42</v>
      </c>
      <c r="Z74" s="146" t="s">
        <v>46</v>
      </c>
      <c r="AA74" s="147" t="n">
        <v>0.65</v>
      </c>
      <c r="AB74" s="144" t="n">
        <f aca="false">365-(365*AA74)</f>
        <v>127.75</v>
      </c>
      <c r="AC74" s="148" t="n">
        <f aca="false">(X74*Y74)*365*(1-AA74)</f>
        <v>203889</v>
      </c>
      <c r="AD74" s="182" t="n">
        <f aca="false">ROUND(AC74/$K$79,2)</f>
        <v>0.11</v>
      </c>
      <c r="AE74" s="99" t="n">
        <f aca="false">AC74/X74</f>
        <v>5365.5</v>
      </c>
      <c r="AJ74" s="0" t="s">
        <v>95</v>
      </c>
      <c r="AK74" s="86" t="n">
        <v>10000</v>
      </c>
      <c r="AL74" s="86" t="n">
        <v>2500</v>
      </c>
      <c r="AM74" s="86" t="n">
        <v>2500</v>
      </c>
      <c r="AN74" s="86" t="n">
        <v>5000</v>
      </c>
      <c r="AO74" s="150" t="n">
        <f aca="false">SUM(AK74:AN74)</f>
        <v>20000</v>
      </c>
    </row>
    <row r="75" customFormat="false" ht="12.8" hidden="false" customHeight="true" outlineLevel="0" collapsed="false">
      <c r="B75" s="135"/>
      <c r="C75" s="167"/>
      <c r="D75" s="4" t="s">
        <v>96</v>
      </c>
      <c r="E75" s="4"/>
      <c r="F75" s="137" t="n">
        <v>18</v>
      </c>
      <c r="G75" s="138" t="n">
        <v>675</v>
      </c>
      <c r="H75" s="139" t="s">
        <v>51</v>
      </c>
      <c r="I75" s="140" t="n">
        <v>0.55</v>
      </c>
      <c r="J75" s="137" t="n">
        <f aca="false">365-(365*I75)</f>
        <v>164.25</v>
      </c>
      <c r="K75" s="141" t="n">
        <f aca="false">(F75*G75)*12*(1-I75)</f>
        <v>65610</v>
      </c>
      <c r="L75" s="181" t="n">
        <f aca="false">ROUND(K75/$K$79,2)</f>
        <v>0.03</v>
      </c>
      <c r="M75" s="4" t="n">
        <f aca="false">K75/F75</f>
        <v>3645</v>
      </c>
      <c r="N75" s="137"/>
      <c r="O75" s="4"/>
      <c r="P75" s="12" t="n">
        <f aca="false">(K74/F74)/12</f>
        <v>489.708333333333</v>
      </c>
      <c r="T75" s="142"/>
      <c r="U75" s="142"/>
      <c r="V75" s="99" t="s">
        <v>96</v>
      </c>
      <c r="W75" s="99"/>
      <c r="X75" s="144" t="n">
        <v>20</v>
      </c>
      <c r="Y75" s="145" t="n">
        <v>599</v>
      </c>
      <c r="Z75" s="146" t="s">
        <v>51</v>
      </c>
      <c r="AA75" s="147" t="n">
        <v>0.55</v>
      </c>
      <c r="AB75" s="144" t="n">
        <f aca="false">365-(365*AA75)</f>
        <v>164.25</v>
      </c>
      <c r="AC75" s="148" t="n">
        <f aca="false">(X75*Y75)*12*(1-AA75)</f>
        <v>64692</v>
      </c>
      <c r="AD75" s="182" t="n">
        <f aca="false">ROUND(AC75/$K$79,2)</f>
        <v>0.03</v>
      </c>
      <c r="AE75" s="99" t="n">
        <f aca="false">AC75/X75</f>
        <v>3234.6</v>
      </c>
      <c r="AK75" s="150" t="n">
        <f aca="false">AK74*$AN$97</f>
        <v>10000</v>
      </c>
      <c r="AL75" s="150" t="n">
        <f aca="false">AL74*$AN$97</f>
        <v>2500</v>
      </c>
      <c r="AM75" s="150" t="n">
        <f aca="false">AM74*$AN$97</f>
        <v>2500</v>
      </c>
      <c r="AN75" s="150" t="n">
        <f aca="false">AN74*$AN$97</f>
        <v>5000</v>
      </c>
      <c r="AO75" s="5" t="n">
        <f aca="false">SUM(AK75:AN75)</f>
        <v>20000</v>
      </c>
    </row>
    <row r="76" customFormat="false" ht="12.8" hidden="false" customHeight="true" outlineLevel="0" collapsed="false">
      <c r="B76" s="135"/>
      <c r="C76" s="135"/>
      <c r="D76" s="4" t="s">
        <v>53</v>
      </c>
      <c r="E76" s="4"/>
      <c r="F76" s="137" t="n">
        <v>14</v>
      </c>
      <c r="G76" s="4" t="n">
        <v>94</v>
      </c>
      <c r="H76" s="4" t="s">
        <v>46</v>
      </c>
      <c r="I76" s="140" t="n">
        <v>0.74</v>
      </c>
      <c r="J76" s="137" t="n">
        <f aca="false">365-(365*I76)</f>
        <v>94.9</v>
      </c>
      <c r="K76" s="183" t="n">
        <f aca="false">(F76*G76)*365*(1-I76)</f>
        <v>124888.4</v>
      </c>
      <c r="L76" s="181" t="n">
        <f aca="false">ROUND(K76/$K$79,2)</f>
        <v>0.06</v>
      </c>
      <c r="M76" s="4" t="n">
        <f aca="false">K76/F76</f>
        <v>8920.6</v>
      </c>
      <c r="N76" s="137"/>
      <c r="O76" s="4"/>
      <c r="P76" s="12" t="n">
        <f aca="false">(K75/F75)/12</f>
        <v>303.75</v>
      </c>
      <c r="T76" s="142"/>
      <c r="U76" s="142"/>
      <c r="V76" s="99" t="s">
        <v>53</v>
      </c>
      <c r="W76" s="99"/>
      <c r="X76" s="144" t="n">
        <v>16</v>
      </c>
      <c r="Y76" s="99" t="n">
        <v>94</v>
      </c>
      <c r="Z76" s="99" t="s">
        <v>46</v>
      </c>
      <c r="AA76" s="147" t="n">
        <v>0.74</v>
      </c>
      <c r="AB76" s="144" t="n">
        <f aca="false">365-(365*AA76)</f>
        <v>94.9</v>
      </c>
      <c r="AC76" s="184" t="n">
        <f aca="false">(X76*Y76)*365*(1-AA76)</f>
        <v>142729.6</v>
      </c>
      <c r="AD76" s="182" t="n">
        <f aca="false">ROUND(AC76/$K$79,2)</f>
        <v>0.07</v>
      </c>
      <c r="AE76" s="99" t="n">
        <f aca="false">AC76/X76</f>
        <v>8920.6</v>
      </c>
      <c r="AK76" s="71" t="n">
        <f aca="false">AK75/AK74</f>
        <v>1</v>
      </c>
    </row>
    <row r="77" customFormat="false" ht="12.8" hidden="false" customHeight="true" outlineLevel="0" collapsed="false">
      <c r="B77" s="135"/>
      <c r="C77" s="167"/>
      <c r="D77" s="4" t="s">
        <v>97</v>
      </c>
      <c r="E77" s="4"/>
      <c r="F77" s="137" t="n">
        <v>20</v>
      </c>
      <c r="G77" s="138" t="n">
        <v>349</v>
      </c>
      <c r="H77" s="139" t="s">
        <v>51</v>
      </c>
      <c r="I77" s="140" t="n">
        <v>0.05</v>
      </c>
      <c r="J77" s="137" t="n">
        <f aca="false">365-(365*I77)</f>
        <v>346.75</v>
      </c>
      <c r="K77" s="121" t="n">
        <f aca="false">(F77*G77)*12*(1-I77)</f>
        <v>79572</v>
      </c>
      <c r="L77" s="181" t="n">
        <f aca="false">ROUND(K77/$K$79,2)</f>
        <v>0.04</v>
      </c>
      <c r="M77" s="4" t="n">
        <f aca="false">K77/F77</f>
        <v>3978.6</v>
      </c>
      <c r="N77" s="137"/>
      <c r="O77" s="4"/>
      <c r="P77" s="12" t="n">
        <f aca="false">(K76/F76)/12</f>
        <v>743.383333333333</v>
      </c>
      <c r="T77" s="142"/>
      <c r="U77" s="142"/>
      <c r="V77" s="99" t="s">
        <v>97</v>
      </c>
      <c r="W77" s="99"/>
      <c r="X77" s="144" t="n">
        <v>35</v>
      </c>
      <c r="Y77" s="145" t="n">
        <v>230</v>
      </c>
      <c r="Z77" s="146" t="s">
        <v>51</v>
      </c>
      <c r="AA77" s="147" t="n">
        <v>0.05</v>
      </c>
      <c r="AB77" s="144" t="n">
        <f aca="false">365-(365*AA77)</f>
        <v>346.75</v>
      </c>
      <c r="AC77" s="130" t="n">
        <f aca="false">(X77*Y77)*12*(1-AA77)</f>
        <v>91770</v>
      </c>
      <c r="AD77" s="182" t="n">
        <f aca="false">ROUND(AC77/$K$79,2)</f>
        <v>0.05</v>
      </c>
      <c r="AE77" s="99" t="n">
        <f aca="false">AC77/X77</f>
        <v>2622</v>
      </c>
      <c r="AJ77" s="0" t="s">
        <v>98</v>
      </c>
      <c r="AK77" s="0" t="n">
        <v>15000</v>
      </c>
      <c r="AL77" s="0" t="n">
        <v>3750</v>
      </c>
      <c r="AM77" s="0" t="n">
        <v>3750</v>
      </c>
      <c r="AN77" s="0" t="n">
        <v>7500</v>
      </c>
      <c r="AO77" s="150" t="n">
        <f aca="false">SUM(AK77:AN77)</f>
        <v>30000</v>
      </c>
    </row>
    <row r="78" customFormat="false" ht="12.8" hidden="false" customHeight="true" outlineLevel="0" collapsed="false">
      <c r="B78" s="48"/>
      <c r="C78" s="48"/>
      <c r="D78" s="185" t="n">
        <f aca="false">D55+D62+D72</f>
        <v>1699390.15</v>
      </c>
      <c r="E78" s="48"/>
      <c r="F78" s="186"/>
      <c r="G78" s="187"/>
      <c r="H78" s="187"/>
      <c r="I78" s="188"/>
      <c r="J78" s="186"/>
      <c r="K78" s="189" t="n">
        <f aca="false">SUM(K73:K77)</f>
        <v>763696.4</v>
      </c>
      <c r="L78" s="190" t="s">
        <v>65</v>
      </c>
      <c r="M78" s="48"/>
      <c r="N78" s="141"/>
      <c r="O78" s="4"/>
      <c r="P78" s="12" t="n">
        <f aca="false">(K77/F77)/12</f>
        <v>331.55</v>
      </c>
      <c r="T78" s="191"/>
      <c r="U78" s="191"/>
      <c r="V78" s="192" t="n">
        <f aca="false">V55+V62+V72</f>
        <v>1498974.1</v>
      </c>
      <c r="W78" s="191"/>
      <c r="X78" s="193"/>
      <c r="Y78" s="194"/>
      <c r="Z78" s="194"/>
      <c r="AA78" s="195"/>
      <c r="AB78" s="193"/>
      <c r="AC78" s="196" t="n">
        <f aca="false">SUM(AC73:AC77)</f>
        <v>647565.85</v>
      </c>
      <c r="AD78" s="197" t="s">
        <v>65</v>
      </c>
      <c r="AE78" s="191"/>
      <c r="AK78" s="150" t="n">
        <f aca="false">AK77*$AN$96</f>
        <v>9000</v>
      </c>
      <c r="AL78" s="150" t="n">
        <f aca="false">AL77*$AN$96</f>
        <v>2250</v>
      </c>
      <c r="AM78" s="150" t="n">
        <f aca="false">AM77*$AN$96</f>
        <v>2250</v>
      </c>
      <c r="AN78" s="150" t="n">
        <f aca="false">AN77*$AN$96</f>
        <v>4500</v>
      </c>
      <c r="AO78" s="5" t="n">
        <f aca="false">SUM(AK78:AN78)</f>
        <v>18000</v>
      </c>
    </row>
    <row r="79" customFormat="false" ht="14.65" hidden="false" customHeight="true" outlineLevel="0" collapsed="false">
      <c r="B79" s="4"/>
      <c r="C79" s="4"/>
      <c r="D79" s="198" t="s">
        <v>99</v>
      </c>
      <c r="E79" s="112"/>
      <c r="F79" s="102"/>
      <c r="G79" s="113"/>
      <c r="H79" s="113"/>
      <c r="I79" s="154"/>
      <c r="J79" s="112"/>
      <c r="K79" s="199" t="n">
        <f aca="false">K61+K71+K78</f>
        <v>1926462.15</v>
      </c>
      <c r="L79" s="200" t="n">
        <f aca="false">ROUND(K79/$K$79,2)</f>
        <v>1</v>
      </c>
      <c r="M79" s="112" t="n">
        <f aca="false">SUM(M56:M77)</f>
        <v>66640.45</v>
      </c>
      <c r="N79" s="4"/>
      <c r="O79" s="4"/>
      <c r="T79" s="99"/>
      <c r="U79" s="99"/>
      <c r="V79" s="201" t="s">
        <v>99</v>
      </c>
      <c r="W79" s="115"/>
      <c r="X79" s="108"/>
      <c r="Y79" s="116"/>
      <c r="Z79" s="116"/>
      <c r="AA79" s="161"/>
      <c r="AB79" s="115"/>
      <c r="AC79" s="202" t="n">
        <f aca="false">AC61+AC71+AC78</f>
        <v>1738244.1</v>
      </c>
      <c r="AD79" s="197" t="n">
        <f aca="false">ROUND(AC79/$K$79,2)</f>
        <v>0.9</v>
      </c>
      <c r="AE79" s="115" t="n">
        <f aca="false">SUM(AE56:AE77)</f>
        <v>61971.7</v>
      </c>
      <c r="AK79" s="71" t="n">
        <f aca="false">AK78/AK77</f>
        <v>0.6</v>
      </c>
    </row>
    <row r="80" customFormat="false" ht="14.65" hidden="false" customHeight="true" outlineLevel="0" collapsed="false">
      <c r="B80" s="4"/>
      <c r="C80" s="4"/>
      <c r="D80" s="203"/>
      <c r="E80" s="204"/>
      <c r="F80" s="204"/>
      <c r="G80" s="205"/>
      <c r="H80" s="205"/>
      <c r="I80" s="206"/>
      <c r="J80" s="204"/>
      <c r="K80" s="205"/>
      <c r="L80" s="207"/>
      <c r="M80" s="204"/>
      <c r="N80" s="4"/>
      <c r="O80" s="4"/>
      <c r="T80" s="99"/>
      <c r="U80" s="99"/>
      <c r="V80" s="208"/>
      <c r="W80" s="209"/>
      <c r="X80" s="209"/>
      <c r="Y80" s="100"/>
      <c r="Z80" s="100"/>
      <c r="AA80" s="210"/>
      <c r="AB80" s="209"/>
      <c r="AC80" s="100"/>
      <c r="AD80" s="182"/>
      <c r="AE80" s="209"/>
      <c r="AJ80" s="0" t="s">
        <v>100</v>
      </c>
      <c r="AK80" s="86" t="n">
        <v>3750</v>
      </c>
      <c r="AL80" s="86" t="n">
        <v>937</v>
      </c>
      <c r="AM80" s="86" t="n">
        <v>937</v>
      </c>
      <c r="AN80" s="86" t="n">
        <v>1875</v>
      </c>
      <c r="AO80" s="5" t="n">
        <f aca="false">SUM(AK80:AN80)</f>
        <v>7499</v>
      </c>
    </row>
    <row r="81" customFormat="false" ht="12.8" hidden="false" customHeight="true" outlineLevel="0" collapsed="false">
      <c r="B81" s="4"/>
      <c r="C81" s="4"/>
      <c r="D81" s="211"/>
      <c r="E81" s="212"/>
      <c r="F81" s="212"/>
      <c r="G81" s="98"/>
      <c r="H81" s="98"/>
      <c r="I81" s="212"/>
      <c r="J81" s="212"/>
      <c r="K81" s="213"/>
      <c r="L81" s="97"/>
      <c r="M81" s="4"/>
      <c r="N81" s="4"/>
      <c r="O81" s="4"/>
      <c r="T81" s="99"/>
      <c r="U81" s="99"/>
      <c r="V81" s="214"/>
      <c r="W81" s="209"/>
      <c r="X81" s="209"/>
      <c r="Y81" s="100"/>
      <c r="Z81" s="100"/>
      <c r="AA81" s="209"/>
      <c r="AB81" s="209"/>
      <c r="AC81" s="210"/>
      <c r="AD81" s="149"/>
      <c r="AE81" s="99"/>
      <c r="AK81" s="150" t="n">
        <f aca="false">AK80*$AN$98</f>
        <v>2000</v>
      </c>
      <c r="AL81" s="150" t="n">
        <f aca="false">AL80*$AN$98</f>
        <v>499.733333333333</v>
      </c>
      <c r="AM81" s="150" t="n">
        <f aca="false">AM80*$AN$98</f>
        <v>499.733333333333</v>
      </c>
      <c r="AN81" s="150" t="n">
        <f aca="false">AN80*$AN$98</f>
        <v>1000</v>
      </c>
      <c r="AO81" s="5" t="n">
        <f aca="false">SUM(AK81:AN81)</f>
        <v>3999.46666666667</v>
      </c>
    </row>
    <row r="82" customFormat="false" ht="12.8" hidden="false" customHeight="true" outlineLevel="0" collapsed="false">
      <c r="B82" s="4"/>
      <c r="C82" s="4"/>
      <c r="D82" s="102"/>
      <c r="E82" s="103" t="s">
        <v>101</v>
      </c>
      <c r="F82" s="103"/>
      <c r="G82" s="103"/>
      <c r="H82" s="103"/>
      <c r="I82" s="103"/>
      <c r="J82" s="103"/>
      <c r="K82" s="103"/>
      <c r="L82" s="103"/>
      <c r="M82" s="102"/>
      <c r="N82" s="4"/>
      <c r="O82" s="4"/>
      <c r="T82" s="99"/>
      <c r="U82" s="99"/>
      <c r="V82" s="108"/>
      <c r="W82" s="110" t="s">
        <v>101</v>
      </c>
      <c r="X82" s="110"/>
      <c r="Y82" s="110"/>
      <c r="Z82" s="110"/>
      <c r="AA82" s="110"/>
      <c r="AB82" s="110"/>
      <c r="AC82" s="110"/>
      <c r="AD82" s="110"/>
      <c r="AE82" s="108"/>
      <c r="AK82" s="71" t="n">
        <f aca="false">AK81/AK80</f>
        <v>0.533333333333333</v>
      </c>
    </row>
    <row r="83" customFormat="false" ht="14.65" hidden="false" customHeight="true" outlineLevel="0" collapsed="false">
      <c r="B83" s="4"/>
      <c r="C83" s="4"/>
      <c r="D83" s="4" t="s">
        <v>70</v>
      </c>
      <c r="E83" s="4"/>
      <c r="F83" s="4"/>
      <c r="G83" s="4"/>
      <c r="H83" s="4"/>
      <c r="I83" s="4"/>
      <c r="J83" s="4"/>
      <c r="K83" s="4" t="n">
        <f aca="false">$D$78*0.1</f>
        <v>169939.015</v>
      </c>
      <c r="L83" s="97" t="n">
        <f aca="false">ROUND(K83/$K$79,2)</f>
        <v>0.09</v>
      </c>
      <c r="M83" s="212" t="n">
        <f aca="false">K83/($F$55+$F$62+$F$72)</f>
        <v>549.964449838188</v>
      </c>
      <c r="N83" s="4"/>
      <c r="O83" s="4"/>
      <c r="T83" s="99"/>
      <c r="U83" s="99"/>
      <c r="V83" s="99" t="s">
        <v>70</v>
      </c>
      <c r="W83" s="99"/>
      <c r="X83" s="99"/>
      <c r="Y83" s="99"/>
      <c r="Z83" s="99"/>
      <c r="AA83" s="99"/>
      <c r="AB83" s="99"/>
      <c r="AC83" s="99" t="n">
        <f aca="false">$D$78*0.1</f>
        <v>169939.015</v>
      </c>
      <c r="AD83" s="149" t="n">
        <f aca="false">ROUND(AC83/$K$79,2)</f>
        <v>0.09</v>
      </c>
      <c r="AE83" s="209" t="n">
        <f aca="false">AC83/($F$55+$F$62+$F$72)</f>
        <v>549.964449838188</v>
      </c>
      <c r="AJ83" s="0" t="s">
        <v>102</v>
      </c>
      <c r="AK83" s="86" t="n">
        <v>40000</v>
      </c>
      <c r="AL83" s="86" t="n">
        <v>10000</v>
      </c>
      <c r="AM83" s="86" t="n">
        <v>10000</v>
      </c>
      <c r="AN83" s="86" t="n">
        <v>20000</v>
      </c>
      <c r="AO83" s="5" t="n">
        <f aca="false">SUM(AK83:AN83)</f>
        <v>80000</v>
      </c>
    </row>
    <row r="84" customFormat="false" ht="12.95" hidden="false" customHeight="true" outlineLevel="0" collapsed="false">
      <c r="B84" s="4"/>
      <c r="C84" s="4"/>
      <c r="D84" s="4" t="s">
        <v>103</v>
      </c>
      <c r="E84" s="4"/>
      <c r="F84" s="4"/>
      <c r="G84" s="4"/>
      <c r="H84" s="4"/>
      <c r="I84" s="4"/>
      <c r="J84" s="4"/>
      <c r="K84" s="4" t="n">
        <v>120366</v>
      </c>
      <c r="L84" s="97" t="n">
        <f aca="false">ROUND(K84/$K$79,2)</f>
        <v>0.06</v>
      </c>
      <c r="M84" s="212" t="n">
        <f aca="false">K84/($F$55+$F$62+$F$72)</f>
        <v>389.533980582524</v>
      </c>
      <c r="N84" s="4"/>
      <c r="O84" s="4"/>
      <c r="T84" s="99"/>
      <c r="U84" s="99"/>
      <c r="V84" s="99" t="s">
        <v>103</v>
      </c>
      <c r="W84" s="99"/>
      <c r="X84" s="99"/>
      <c r="Y84" s="99"/>
      <c r="Z84" s="99"/>
      <c r="AA84" s="99"/>
      <c r="AB84" s="99"/>
      <c r="AC84" s="99" t="n">
        <v>120366</v>
      </c>
      <c r="AD84" s="149" t="n">
        <f aca="false">ROUND(AC84/$K$79,2)</f>
        <v>0.06</v>
      </c>
      <c r="AE84" s="209" t="n">
        <f aca="false">AC84/($F$55+$F$62+$F$72)</f>
        <v>389.533980582524</v>
      </c>
      <c r="AK84" s="150" t="n">
        <f aca="false">AK83*$AN$99</f>
        <v>13500</v>
      </c>
      <c r="AL84" s="150" t="n">
        <f aca="false">AL83*$AN$99</f>
        <v>3375</v>
      </c>
      <c r="AM84" s="150" t="n">
        <f aca="false">AM83*$AN$99</f>
        <v>3375</v>
      </c>
      <c r="AN84" s="150" t="n">
        <f aca="false">AN83*$AN$99</f>
        <v>6750</v>
      </c>
      <c r="AO84" s="5" t="n">
        <f aca="false">SUM(AK84:AN84)</f>
        <v>27000</v>
      </c>
    </row>
    <row r="85" customFormat="false" ht="12.95" hidden="false" customHeight="true" outlineLevel="0" collapsed="false">
      <c r="B85" s="4"/>
      <c r="C85" s="4"/>
      <c r="D85" s="4" t="s">
        <v>104</v>
      </c>
      <c r="E85" s="4"/>
      <c r="F85" s="4"/>
      <c r="G85" s="4"/>
      <c r="H85" s="4"/>
      <c r="I85" s="4"/>
      <c r="J85" s="4"/>
      <c r="K85" s="4" t="n">
        <f aca="false">K79*0.18</f>
        <v>346763.187</v>
      </c>
      <c r="L85" s="97" t="n">
        <f aca="false">ROUND(K85/$K$79,2)</f>
        <v>0.18</v>
      </c>
      <c r="M85" s="212" t="n">
        <f aca="false">K85/($F$55+$F$62+$F$72)</f>
        <v>1122.21096116505</v>
      </c>
      <c r="N85" s="4"/>
      <c r="O85" s="4"/>
      <c r="T85" s="99"/>
      <c r="U85" s="99"/>
      <c r="V85" s="99" t="s">
        <v>105</v>
      </c>
      <c r="W85" s="99"/>
      <c r="X85" s="99"/>
      <c r="Y85" s="99"/>
      <c r="Z85" s="99"/>
      <c r="AA85" s="99"/>
      <c r="AB85" s="99"/>
      <c r="AC85" s="99" t="n">
        <v>320000</v>
      </c>
      <c r="AD85" s="149" t="n">
        <f aca="false">ROUND(AC85/$AC$79,2)</f>
        <v>0.18</v>
      </c>
      <c r="AE85" s="209" t="n">
        <f aca="false">AC85/($F$55+$F$62+$F$72)</f>
        <v>1035.59870550162</v>
      </c>
      <c r="AO85" s="5"/>
    </row>
    <row r="86" customFormat="false" ht="12.8" hidden="false" customHeight="true" outlineLevel="0" collapsed="false">
      <c r="B86" s="4"/>
      <c r="C86" s="4"/>
      <c r="D86" s="4" t="s">
        <v>72</v>
      </c>
      <c r="E86" s="4"/>
      <c r="F86" s="4"/>
      <c r="G86" s="4"/>
      <c r="H86" s="4"/>
      <c r="I86" s="4"/>
      <c r="J86" s="4"/>
      <c r="K86" s="4" t="n">
        <v>25000</v>
      </c>
      <c r="L86" s="97" t="n">
        <f aca="false">ROUND(K86/$K$79,2)</f>
        <v>0.01</v>
      </c>
      <c r="M86" s="212" t="n">
        <f aca="false">K86/($F$55+$F$62+$F$72)</f>
        <v>80.9061488673139</v>
      </c>
      <c r="N86" s="4"/>
      <c r="O86" s="4"/>
      <c r="T86" s="99"/>
      <c r="U86" s="99"/>
      <c r="V86" s="99" t="s">
        <v>72</v>
      </c>
      <c r="W86" s="99"/>
      <c r="X86" s="99"/>
      <c r="Y86" s="99"/>
      <c r="Z86" s="99"/>
      <c r="AA86" s="99"/>
      <c r="AB86" s="99"/>
      <c r="AC86" s="99" t="n">
        <v>22000</v>
      </c>
      <c r="AD86" s="149" t="n">
        <f aca="false">ROUND(AC86/$K$79,2)</f>
        <v>0.01</v>
      </c>
      <c r="AE86" s="209" t="n">
        <f aca="false">AC86/($F$55+$F$62+$F$72)</f>
        <v>71.1974110032362</v>
      </c>
      <c r="AK86" s="71" t="n">
        <f aca="false">AK84/AK83</f>
        <v>0.3375</v>
      </c>
    </row>
    <row r="87" customFormat="false" ht="12.8" hidden="false" customHeight="true" outlineLevel="0" collapsed="false">
      <c r="B87" s="4"/>
      <c r="C87" s="4"/>
      <c r="D87" s="4" t="s">
        <v>73</v>
      </c>
      <c r="E87" s="4"/>
      <c r="F87" s="4"/>
      <c r="G87" s="4"/>
      <c r="H87" s="4"/>
      <c r="I87" s="0" t="n">
        <f aca="false">SUM(K56:K57,K63:K66,K73:K76)*0.056</f>
        <v>95165.8484</v>
      </c>
      <c r="J87" s="4"/>
      <c r="K87" s="0" t="n">
        <v>0</v>
      </c>
      <c r="L87" s="97" t="n">
        <f aca="false">ROUND(K87/$K$79,2)</f>
        <v>0</v>
      </c>
      <c r="M87" s="212" t="n">
        <f aca="false">K87/($F$55+$F$62+$F$72)</f>
        <v>0</v>
      </c>
      <c r="N87" s="4"/>
      <c r="O87" s="4"/>
      <c r="T87" s="99"/>
      <c r="U87" s="99"/>
      <c r="V87" s="99" t="s">
        <v>73</v>
      </c>
      <c r="W87" s="99"/>
      <c r="X87" s="99"/>
      <c r="Y87" s="99"/>
      <c r="Z87" s="99"/>
      <c r="AA87" s="109" t="n">
        <f aca="false">SUM(AC56:AC57,AC63:AC66,AC73:AC76)*0.056</f>
        <v>83942.5496</v>
      </c>
      <c r="AB87" s="99"/>
      <c r="AC87" s="109" t="n">
        <v>0</v>
      </c>
      <c r="AD87" s="149" t="n">
        <f aca="false">ROUND(AC87/$K$79,2)</f>
        <v>0</v>
      </c>
      <c r="AE87" s="209" t="n">
        <f aca="false">AC87/($F$55+$F$62+$F$72)</f>
        <v>0</v>
      </c>
    </row>
    <row r="88" customFormat="false" ht="14.65" hidden="false" customHeight="true" outlineLevel="0" collapsed="false">
      <c r="B88" s="4"/>
      <c r="C88" s="4"/>
      <c r="D88" s="4" t="s">
        <v>106</v>
      </c>
      <c r="E88" s="4"/>
      <c r="F88" s="4"/>
      <c r="G88" s="4"/>
      <c r="H88" s="4"/>
      <c r="J88" s="4"/>
      <c r="K88" s="0" t="n">
        <v>35000</v>
      </c>
      <c r="L88" s="97" t="n">
        <f aca="false">ROUND(K88/$K$79,2)</f>
        <v>0.02</v>
      </c>
      <c r="M88" s="212" t="n">
        <f aca="false">K88/($F$55+$F$62+$F$72)</f>
        <v>113.26860841424</v>
      </c>
      <c r="N88" s="4"/>
      <c r="O88" s="4"/>
      <c r="T88" s="99"/>
      <c r="U88" s="99"/>
      <c r="V88" s="99" t="s">
        <v>106</v>
      </c>
      <c r="W88" s="99"/>
      <c r="X88" s="99"/>
      <c r="Y88" s="99"/>
      <c r="Z88" s="99"/>
      <c r="AA88" s="109"/>
      <c r="AB88" s="99"/>
      <c r="AC88" s="109" t="n">
        <v>35000</v>
      </c>
      <c r="AD88" s="149" t="n">
        <f aca="false">ROUND(AC88/$K$79,2)</f>
        <v>0.02</v>
      </c>
      <c r="AE88" s="209" t="n">
        <f aca="false">AC88/($F$55+$F$62+$F$72)</f>
        <v>113.26860841424</v>
      </c>
      <c r="AJ88" s="0" t="s">
        <v>107</v>
      </c>
      <c r="AK88" s="215" t="n">
        <v>2268.75</v>
      </c>
      <c r="AL88" s="215" t="n">
        <v>848.5125</v>
      </c>
      <c r="AM88" s="215" t="n">
        <v>317.343675</v>
      </c>
      <c r="AN88" s="215" t="n">
        <v>3750</v>
      </c>
      <c r="AO88" s="5" t="n">
        <f aca="false">SUM(AK88:AN88)</f>
        <v>7184.606175</v>
      </c>
    </row>
    <row r="89" customFormat="false" ht="12.8" hidden="false" customHeight="true" outlineLevel="0" collapsed="false">
      <c r="B89" s="4"/>
      <c r="C89" s="4"/>
      <c r="D89" s="4" t="s">
        <v>74</v>
      </c>
      <c r="E89" s="4"/>
      <c r="F89" s="4"/>
      <c r="G89" s="4"/>
      <c r="H89" s="4"/>
      <c r="I89" s="4"/>
      <c r="J89" s="4"/>
      <c r="K89" s="4" t="n">
        <v>14000</v>
      </c>
      <c r="L89" s="97" t="n">
        <f aca="false">ROUND(K89/$K$79,2)</f>
        <v>0.01</v>
      </c>
      <c r="M89" s="212" t="n">
        <f aca="false">K89/($F$55+$F$62+$F$72)</f>
        <v>45.3074433656958</v>
      </c>
      <c r="N89" s="216"/>
      <c r="O89" s="4"/>
      <c r="T89" s="99"/>
      <c r="U89" s="99"/>
      <c r="V89" s="99" t="s">
        <v>74</v>
      </c>
      <c r="W89" s="99"/>
      <c r="X89" s="99"/>
      <c r="Y89" s="99"/>
      <c r="Z89" s="99"/>
      <c r="AA89" s="99"/>
      <c r="AB89" s="99"/>
      <c r="AC89" s="99" t="n">
        <v>14000</v>
      </c>
      <c r="AD89" s="149" t="n">
        <f aca="false">ROUND(AC89/$K$79,2)</f>
        <v>0.01</v>
      </c>
      <c r="AE89" s="209" t="n">
        <f aca="false">AC89/($F$55+$F$62+$F$72)</f>
        <v>45.3074433656958</v>
      </c>
      <c r="AK89" s="150" t="n">
        <f aca="false">AK88*$AN$100</f>
        <v>1620.53571428571</v>
      </c>
      <c r="AL89" s="150" t="n">
        <f aca="false">AL88*$AN$100</f>
        <v>606.080357142857</v>
      </c>
      <c r="AM89" s="150" t="n">
        <f aca="false">AM88*$AN$100</f>
        <v>226.674053571429</v>
      </c>
      <c r="AN89" s="150" t="n">
        <f aca="false">AN88*$AN$100</f>
        <v>2678.57142857143</v>
      </c>
      <c r="AO89" s="5" t="n">
        <f aca="false">SUM(AK89:AN89)</f>
        <v>5131.86155357143</v>
      </c>
    </row>
    <row r="90" customFormat="false" ht="12.8" hidden="false" customHeight="true" outlineLevel="0" collapsed="false">
      <c r="B90" s="4"/>
      <c r="C90" s="4"/>
      <c r="D90" s="4" t="s">
        <v>75</v>
      </c>
      <c r="E90" s="4"/>
      <c r="F90" s="4"/>
      <c r="G90" s="4"/>
      <c r="H90" s="4"/>
      <c r="I90" s="4"/>
      <c r="J90" s="4"/>
      <c r="K90" s="4" t="n">
        <f aca="false">$K$79*0.03</f>
        <v>57793.8645</v>
      </c>
      <c r="L90" s="97" t="n">
        <f aca="false">ROUND(K90/$K$79,2)</f>
        <v>0.03</v>
      </c>
      <c r="M90" s="212" t="n">
        <f aca="false">K90/($F$55+$F$62+$F$72)</f>
        <v>187.035160194175</v>
      </c>
      <c r="N90" s="4"/>
      <c r="O90" s="4"/>
      <c r="T90" s="99"/>
      <c r="U90" s="99"/>
      <c r="V90" s="99" t="s">
        <v>75</v>
      </c>
      <c r="W90" s="99"/>
      <c r="X90" s="99"/>
      <c r="Y90" s="99"/>
      <c r="Z90" s="99"/>
      <c r="AA90" s="99"/>
      <c r="AB90" s="99"/>
      <c r="AC90" s="99" t="n">
        <v>65000</v>
      </c>
      <c r="AD90" s="149" t="n">
        <f aca="false">ROUND(AC90/$K$79,2)</f>
        <v>0.03</v>
      </c>
      <c r="AE90" s="209" t="n">
        <f aca="false">AC90/($F$55+$F$62+$F$72)</f>
        <v>210.355987055016</v>
      </c>
      <c r="AK90" s="0" t="s">
        <v>108</v>
      </c>
      <c r="AL90" s="0" t="s">
        <v>109</v>
      </c>
    </row>
    <row r="91" customFormat="false" ht="12.8" hidden="false" customHeight="true" outlineLevel="0" collapsed="false">
      <c r="B91" s="4"/>
      <c r="C91" s="4"/>
      <c r="D91" s="4" t="s">
        <v>76</v>
      </c>
      <c r="E91" s="4"/>
      <c r="F91" s="4"/>
      <c r="G91" s="4"/>
      <c r="H91" s="4"/>
      <c r="I91" s="4"/>
      <c r="J91" s="4"/>
      <c r="K91" s="4" t="n">
        <v>7600</v>
      </c>
      <c r="L91" s="97" t="n">
        <f aca="false">ROUND(K91/$K$79,2)</f>
        <v>0</v>
      </c>
      <c r="M91" s="212" t="n">
        <f aca="false">K91/($F$55+$F$62+$F$72)</f>
        <v>24.5954692556634</v>
      </c>
      <c r="N91" s="4"/>
      <c r="O91" s="4"/>
      <c r="T91" s="99"/>
      <c r="U91" s="99"/>
      <c r="V91" s="99" t="s">
        <v>76</v>
      </c>
      <c r="W91" s="99"/>
      <c r="X91" s="99"/>
      <c r="Y91" s="99"/>
      <c r="Z91" s="99"/>
      <c r="AA91" s="99"/>
      <c r="AB91" s="99"/>
      <c r="AC91" s="99" t="n">
        <v>7600</v>
      </c>
      <c r="AD91" s="149" t="n">
        <f aca="false">ROUND(AC91/$K$79,2)</f>
        <v>0</v>
      </c>
      <c r="AE91" s="209" t="n">
        <f aca="false">AC91/($F$55+$F$62+$F$72)</f>
        <v>24.5954692556634</v>
      </c>
      <c r="AJ91" s="0" t="s">
        <v>88</v>
      </c>
      <c r="AK91" s="0" t="n">
        <v>75000</v>
      </c>
      <c r="AL91" s="150" t="n">
        <f aca="false">K126+K128</f>
        <v>105084</v>
      </c>
      <c r="AM91" s="150" t="n">
        <f aca="false">K77+K75</f>
        <v>145182</v>
      </c>
      <c r="AN91" s="71" t="n">
        <f aca="false">AL91/AK91</f>
        <v>1.40112</v>
      </c>
    </row>
    <row r="92" customFormat="false" ht="12.8" hidden="false" customHeight="true" outlineLevel="0" collapsed="false">
      <c r="B92" s="4"/>
      <c r="C92" s="4"/>
      <c r="D92" s="4" t="s">
        <v>110</v>
      </c>
      <c r="E92" s="4"/>
      <c r="F92" s="4"/>
      <c r="G92" s="4"/>
      <c r="H92" s="4"/>
      <c r="I92" s="4"/>
      <c r="J92" s="4"/>
      <c r="K92" s="4" t="n">
        <f aca="false">$K$79*0.03</f>
        <v>57793.8645</v>
      </c>
      <c r="L92" s="97" t="n">
        <f aca="false">ROUND(K92/$K$79,2)</f>
        <v>0.03</v>
      </c>
      <c r="M92" s="212" t="n">
        <f aca="false">K92/($F$55+$F$62+$F$72)</f>
        <v>187.035160194175</v>
      </c>
      <c r="N92" s="4"/>
      <c r="O92" s="4"/>
      <c r="T92" s="99"/>
      <c r="U92" s="99"/>
      <c r="V92" s="99" t="s">
        <v>110</v>
      </c>
      <c r="W92" s="99"/>
      <c r="X92" s="99"/>
      <c r="Y92" s="99"/>
      <c r="Z92" s="99"/>
      <c r="AA92" s="99"/>
      <c r="AB92" s="99"/>
      <c r="AC92" s="99" t="n">
        <v>50000</v>
      </c>
      <c r="AD92" s="149" t="n">
        <f aca="false">ROUND(AC92/$K$79,2)</f>
        <v>0.03</v>
      </c>
      <c r="AE92" s="209" t="n">
        <f aca="false">AC92/($F$55+$F$62+$F$72)</f>
        <v>161.812297734628</v>
      </c>
      <c r="AJ92" s="0" t="s">
        <v>90</v>
      </c>
      <c r="AK92" s="0" t="n">
        <v>1035000</v>
      </c>
      <c r="AL92" s="150" t="n">
        <f aca="false">K107+K108+K114+K124+K125</f>
        <v>592103</v>
      </c>
      <c r="AM92" s="150" t="n">
        <f aca="false">K56+K57+K63+K73+K74</f>
        <v>1343035.75</v>
      </c>
      <c r="AN92" s="71" t="n">
        <f aca="false">AL92/AK92</f>
        <v>0.572080193236715</v>
      </c>
    </row>
    <row r="93" customFormat="false" ht="12.8" hidden="false" customHeight="true" outlineLevel="0" collapsed="false">
      <c r="B93" s="4"/>
      <c r="C93" s="4"/>
      <c r="D93" s="4" t="s">
        <v>78</v>
      </c>
      <c r="E93" s="4"/>
      <c r="F93" s="4"/>
      <c r="G93" s="4"/>
      <c r="H93" s="4"/>
      <c r="I93" s="4"/>
      <c r="J93" s="4"/>
      <c r="K93" s="106" t="n">
        <v>40000</v>
      </c>
      <c r="L93" s="97" t="n">
        <f aca="false">ROUND(K93/$K$79,2)</f>
        <v>0.02</v>
      </c>
      <c r="M93" s="212" t="n">
        <f aca="false">K93/($F$55+$F$62+$F$72)</f>
        <v>129.449838187702</v>
      </c>
      <c r="N93" s="4"/>
      <c r="O93" s="4"/>
      <c r="T93" s="99"/>
      <c r="U93" s="99"/>
      <c r="V93" s="99" t="s">
        <v>78</v>
      </c>
      <c r="W93" s="99"/>
      <c r="X93" s="99"/>
      <c r="Y93" s="99"/>
      <c r="Z93" s="99"/>
      <c r="AA93" s="99"/>
      <c r="AB93" s="99"/>
      <c r="AC93" s="99" t="n">
        <v>40000</v>
      </c>
      <c r="AD93" s="149" t="n">
        <f aca="false">ROUND(AC93/$K$79,2)</f>
        <v>0.02</v>
      </c>
      <c r="AE93" s="209" t="n">
        <f aca="false">AC93/($F$55+$F$62+$F$72)</f>
        <v>129.449838187702</v>
      </c>
      <c r="AJ93" s="0" t="s">
        <v>48</v>
      </c>
      <c r="AK93" s="0" t="n">
        <v>96000</v>
      </c>
      <c r="AL93" s="150" t="n">
        <f aca="false">K117</f>
        <v>65043</v>
      </c>
      <c r="AM93" s="150" t="n">
        <f aca="false">K66</f>
        <v>86724</v>
      </c>
      <c r="AN93" s="71" t="n">
        <f aca="false">AL93/AK93</f>
        <v>0.67753125</v>
      </c>
    </row>
    <row r="94" customFormat="false" ht="12.8" hidden="false" customHeight="true" outlineLevel="0" collapsed="false">
      <c r="B94" s="4"/>
      <c r="C94" s="4"/>
      <c r="D94" s="102" t="s">
        <v>111</v>
      </c>
      <c r="E94" s="102"/>
      <c r="F94" s="102"/>
      <c r="G94" s="102"/>
      <c r="H94" s="102"/>
      <c r="I94" s="102"/>
      <c r="J94" s="102"/>
      <c r="K94" s="217" t="n">
        <v>30000</v>
      </c>
      <c r="L94" s="190" t="n">
        <f aca="false">ROUND(K94/$K$79,2)</f>
        <v>0.02</v>
      </c>
      <c r="M94" s="212" t="n">
        <f aca="false">K94/($F$55+$F$62+$F$72)</f>
        <v>97.0873786407767</v>
      </c>
      <c r="N94" s="141"/>
      <c r="O94" s="4"/>
      <c r="T94" s="99"/>
      <c r="U94" s="99"/>
      <c r="V94" s="108" t="s">
        <v>111</v>
      </c>
      <c r="W94" s="108"/>
      <c r="X94" s="108"/>
      <c r="Y94" s="108"/>
      <c r="Z94" s="108"/>
      <c r="AA94" s="108"/>
      <c r="AB94" s="108"/>
      <c r="AC94" s="108" t="n">
        <v>30000</v>
      </c>
      <c r="AD94" s="197" t="n">
        <f aca="false">ROUND(AC94/$K$79,2)</f>
        <v>0.02</v>
      </c>
      <c r="AE94" s="209" t="n">
        <f aca="false">AC94/($F$55+$F$62+$F$72)</f>
        <v>97.0873786407767</v>
      </c>
      <c r="AJ94" s="0" t="s">
        <v>53</v>
      </c>
      <c r="AK94" s="0" t="n">
        <v>151000</v>
      </c>
      <c r="AL94" s="150" t="n">
        <f aca="false">K116+K127</f>
        <v>100448</v>
      </c>
      <c r="AM94" s="150" t="n">
        <f aca="false">K65+K76</f>
        <v>193508.4</v>
      </c>
      <c r="AN94" s="71" t="n">
        <f aca="false">AL94/AK94</f>
        <v>0.665218543046358</v>
      </c>
    </row>
    <row r="95" customFormat="false" ht="12.8" hidden="false" customHeight="true" outlineLevel="0" collapsed="false">
      <c r="B95" s="4"/>
      <c r="C95" s="4"/>
      <c r="D95" s="102" t="s">
        <v>80</v>
      </c>
      <c r="E95" s="102"/>
      <c r="F95" s="102"/>
      <c r="G95" s="102"/>
      <c r="H95" s="102"/>
      <c r="I95" s="102"/>
      <c r="J95" s="218"/>
      <c r="K95" s="219" t="n">
        <f aca="false">SUM(K83:K94)</f>
        <v>904255.931</v>
      </c>
      <c r="L95" s="190" t="n">
        <f aca="false">ROUND(K95/$K$79,2)</f>
        <v>0.47</v>
      </c>
      <c r="M95" s="112" t="n">
        <f aca="false">K95/($F$55+$F$62+$F$72)</f>
        <v>2926.3945987055</v>
      </c>
      <c r="N95" s="4"/>
      <c r="O95" s="4"/>
      <c r="T95" s="99"/>
      <c r="U95" s="99"/>
      <c r="V95" s="108" t="s">
        <v>80</v>
      </c>
      <c r="W95" s="108"/>
      <c r="X95" s="108"/>
      <c r="Y95" s="108"/>
      <c r="Z95" s="108"/>
      <c r="AA95" s="108"/>
      <c r="AB95" s="220"/>
      <c r="AC95" s="221" t="n">
        <f aca="false">SUM(AC83:AC94)</f>
        <v>873905.015</v>
      </c>
      <c r="AD95" s="197" t="n">
        <f aca="false">ROUND(AC95/$K$79,2)</f>
        <v>0.45</v>
      </c>
      <c r="AE95" s="115" t="n">
        <f aca="false">AC95/($F$55+$F$62+$F$72)</f>
        <v>2828.17156957929</v>
      </c>
      <c r="AJ95" s="0" t="s">
        <v>93</v>
      </c>
      <c r="AK95" s="0" t="n">
        <v>9000</v>
      </c>
      <c r="AL95" s="150" t="n">
        <f aca="false">K115</f>
        <v>6132</v>
      </c>
      <c r="AM95" s="150" t="n">
        <f aca="false">K64</f>
        <v>10512</v>
      </c>
      <c r="AN95" s="71" t="n">
        <f aca="false">AL95/AK95</f>
        <v>0.681333333333333</v>
      </c>
    </row>
    <row r="96" customFormat="false" ht="12.8" hidden="false" customHeight="true" outlineLevel="0" collapsed="false">
      <c r="B96" s="4"/>
      <c r="C96" s="4"/>
      <c r="D96" s="222"/>
      <c r="E96" s="222"/>
      <c r="F96" s="222"/>
      <c r="G96" s="223"/>
      <c r="H96" s="223"/>
      <c r="I96" s="222"/>
      <c r="J96" s="222"/>
      <c r="K96" s="222"/>
      <c r="L96" s="224"/>
      <c r="M96" s="222"/>
      <c r="N96" s="4"/>
      <c r="O96" s="4"/>
      <c r="T96" s="99"/>
      <c r="U96" s="99"/>
      <c r="V96" s="99"/>
      <c r="W96" s="99"/>
      <c r="X96" s="99"/>
      <c r="Y96" s="225"/>
      <c r="Z96" s="225"/>
      <c r="AA96" s="99"/>
      <c r="AB96" s="99"/>
      <c r="AC96" s="99"/>
      <c r="AD96" s="149"/>
      <c r="AE96" s="99"/>
      <c r="AJ96" s="0" t="s">
        <v>98</v>
      </c>
      <c r="AK96" s="0" t="n">
        <v>30000</v>
      </c>
      <c r="AL96" s="0" t="n">
        <v>18000</v>
      </c>
      <c r="AM96" s="0" t="n">
        <v>30000</v>
      </c>
      <c r="AN96" s="71" t="n">
        <f aca="false">AL96/AK96</f>
        <v>0.6</v>
      </c>
    </row>
    <row r="97" customFormat="false" ht="12.8" hidden="false" customHeight="true" outlineLevel="0" collapsed="false">
      <c r="B97" s="4"/>
      <c r="C97" s="4"/>
      <c r="D97" s="226" t="s">
        <v>112</v>
      </c>
      <c r="E97" s="4"/>
      <c r="F97" s="4"/>
      <c r="G97" s="227"/>
      <c r="H97" s="227"/>
      <c r="I97" s="4"/>
      <c r="J97" s="4"/>
      <c r="K97" s="4"/>
      <c r="L97" s="97"/>
      <c r="M97" s="4"/>
      <c r="N97" s="141"/>
      <c r="O97" s="4"/>
      <c r="T97" s="99"/>
      <c r="U97" s="99"/>
      <c r="V97" s="228" t="s">
        <v>112</v>
      </c>
      <c r="W97" s="99"/>
      <c r="X97" s="99"/>
      <c r="Y97" s="225"/>
      <c r="Z97" s="225"/>
      <c r="AA97" s="99"/>
      <c r="AB97" s="99"/>
      <c r="AC97" s="99"/>
      <c r="AD97" s="149"/>
      <c r="AE97" s="99"/>
      <c r="AJ97" s="0" t="s">
        <v>95</v>
      </c>
      <c r="AK97" s="0" t="n">
        <v>20000</v>
      </c>
      <c r="AL97" s="150" t="n">
        <f aca="false">K119</f>
        <v>20000</v>
      </c>
      <c r="AM97" s="150" t="n">
        <f aca="false">K68</f>
        <v>30000</v>
      </c>
      <c r="AN97" s="71" t="n">
        <f aca="false">AL97/AK97</f>
        <v>1</v>
      </c>
    </row>
    <row r="98" customFormat="false" ht="12.8" hidden="false" customHeight="true" outlineLevel="0" collapsed="false">
      <c r="B98" s="4"/>
      <c r="C98" s="4"/>
      <c r="D98" s="118" t="s">
        <v>113</v>
      </c>
      <c r="E98" s="118"/>
      <c r="F98" s="118"/>
      <c r="G98" s="229"/>
      <c r="H98" s="229"/>
      <c r="I98" s="118"/>
      <c r="J98" s="102"/>
      <c r="K98" s="230" t="n">
        <f aca="false">K79-K95</f>
        <v>1022206.219</v>
      </c>
      <c r="L98" s="190" t="n">
        <f aca="false">ROUND(K98/K79,2)</f>
        <v>0.53</v>
      </c>
      <c r="M98" s="102" t="n">
        <f aca="false">K98/($F$55+$F$62+$F$72)</f>
        <v>3308.11074110032</v>
      </c>
      <c r="N98" s="4" t="n">
        <f aca="false">K98/12</f>
        <v>85183.8515833333</v>
      </c>
      <c r="O98" s="9" t="s">
        <v>82</v>
      </c>
      <c r="T98" s="99"/>
      <c r="U98" s="99"/>
      <c r="V98" s="127" t="s">
        <v>113</v>
      </c>
      <c r="W98" s="127"/>
      <c r="X98" s="127"/>
      <c r="Y98" s="231"/>
      <c r="Z98" s="231"/>
      <c r="AA98" s="127"/>
      <c r="AB98" s="108"/>
      <c r="AC98" s="232" t="n">
        <f aca="false">AC79-AC95</f>
        <v>864339.085</v>
      </c>
      <c r="AD98" s="197" t="n">
        <f aca="false">ROUND(AC98/AC79,2)</f>
        <v>0.5</v>
      </c>
      <c r="AE98" s="108" t="n">
        <f aca="false">AC98/($F$55+$F$62+$F$72)</f>
        <v>2797.21386731392</v>
      </c>
      <c r="AJ98" s="0" t="s">
        <v>100</v>
      </c>
      <c r="AK98" s="0" t="n">
        <v>7500</v>
      </c>
      <c r="AL98" s="150" t="n">
        <f aca="false">K118</f>
        <v>4000</v>
      </c>
      <c r="AM98" s="150" t="n">
        <f aca="false">K67</f>
        <v>7500</v>
      </c>
      <c r="AN98" s="71" t="n">
        <f aca="false">AL98/AK98</f>
        <v>0.533333333333333</v>
      </c>
    </row>
    <row r="99" customFormat="false" ht="12.8" hidden="false" customHeight="true" outlineLevel="0" collapsed="false">
      <c r="B99" s="4"/>
      <c r="C99" s="4"/>
      <c r="D99" s="118"/>
      <c r="E99" s="118"/>
      <c r="F99" s="118"/>
      <c r="G99" s="229"/>
      <c r="H99" s="229"/>
      <c r="I99" s="118"/>
      <c r="J99" s="102"/>
      <c r="K99" s="230"/>
      <c r="L99" s="190"/>
      <c r="M99" s="102"/>
      <c r="N99" s="4"/>
      <c r="O99" s="4"/>
      <c r="T99" s="99"/>
      <c r="U99" s="99"/>
      <c r="V99" s="127"/>
      <c r="W99" s="127"/>
      <c r="X99" s="127"/>
      <c r="Y99" s="231"/>
      <c r="Z99" s="231"/>
      <c r="AA99" s="127"/>
      <c r="AB99" s="108"/>
      <c r="AC99" s="232"/>
      <c r="AD99" s="197"/>
      <c r="AE99" s="108"/>
      <c r="AJ99" s="0" t="s">
        <v>102</v>
      </c>
      <c r="AK99" s="0" t="n">
        <v>80000</v>
      </c>
      <c r="AL99" s="0" t="n">
        <v>27000</v>
      </c>
      <c r="AM99" s="0" t="n">
        <v>80000</v>
      </c>
      <c r="AN99" s="71" t="n">
        <f aca="false">AL99/AK99</f>
        <v>0.3375</v>
      </c>
    </row>
    <row r="100" customFormat="false" ht="12.8" hidden="false" customHeight="true" outlineLevel="0" collapsed="false">
      <c r="B100" s="4"/>
      <c r="C100" s="4"/>
      <c r="D100" s="233" t="s">
        <v>114</v>
      </c>
      <c r="E100" s="118"/>
      <c r="F100" s="118"/>
      <c r="G100" s="229"/>
      <c r="H100" s="229"/>
      <c r="I100" s="118"/>
      <c r="J100" s="102"/>
      <c r="K100" s="234" t="n">
        <f aca="false">K98/0.08</f>
        <v>12777577.7375</v>
      </c>
      <c r="L100" s="190"/>
      <c r="M100" s="235" t="n">
        <f aca="false">D51/K100</f>
        <v>0.469572568702989</v>
      </c>
      <c r="N100" s="4"/>
      <c r="O100" s="4"/>
      <c r="T100" s="99"/>
      <c r="U100" s="99"/>
      <c r="V100" s="236" t="s">
        <v>114</v>
      </c>
      <c r="W100" s="127"/>
      <c r="X100" s="127"/>
      <c r="Y100" s="231"/>
      <c r="Z100" s="231"/>
      <c r="AA100" s="127"/>
      <c r="AB100" s="108"/>
      <c r="AC100" s="237" t="n">
        <f aca="false">AC98/0.08</f>
        <v>10804238.5625</v>
      </c>
      <c r="AD100" s="197"/>
      <c r="AE100" s="238" t="n">
        <f aca="false">V51/AC100</f>
        <v>0</v>
      </c>
      <c r="AJ100" s="0" t="s">
        <v>107</v>
      </c>
      <c r="AK100" s="0" t="n">
        <v>7000</v>
      </c>
      <c r="AL100" s="0" t="n">
        <v>5000</v>
      </c>
      <c r="AM100" s="0" t="n">
        <v>7000</v>
      </c>
      <c r="AN100" s="71" t="n">
        <f aca="false">AL100/AK100</f>
        <v>0.714285714285714</v>
      </c>
    </row>
    <row r="101" customFormat="false" ht="12.8" hidden="false" customHeight="true" outlineLevel="0" collapsed="false"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149"/>
      <c r="M101" s="99"/>
      <c r="N101" s="99"/>
      <c r="O101" s="9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K101" s="150" t="n">
        <f aca="false">SUM(AK91:AK100)</f>
        <v>1510500</v>
      </c>
      <c r="AL101" s="150" t="n">
        <f aca="false">SUM(AL91:AL100)</f>
        <v>942810</v>
      </c>
      <c r="AM101" s="150" t="n">
        <f aca="false">SUM(AM91:AM100)</f>
        <v>1933462.15</v>
      </c>
      <c r="AN101" s="71" t="n">
        <f aca="false">AL101/AK101</f>
        <v>0.624170804369414</v>
      </c>
    </row>
    <row r="102" customFormat="false" ht="12.8" hidden="false" customHeight="true" outlineLevel="0" collapsed="false">
      <c r="B102" s="109"/>
      <c r="F102" s="109"/>
      <c r="G102" s="99"/>
      <c r="H102" s="99"/>
      <c r="I102" s="99"/>
      <c r="J102" s="99"/>
      <c r="K102" s="99"/>
      <c r="L102" s="149"/>
      <c r="N102" s="99"/>
      <c r="O102" s="99"/>
    </row>
    <row r="103" customFormat="false" ht="12.8" hidden="false" customHeight="true" outlineLevel="0" collapsed="false">
      <c r="B103" s="4"/>
      <c r="C103" s="4"/>
      <c r="D103" s="4"/>
      <c r="E103" s="98" t="s">
        <v>37</v>
      </c>
      <c r="F103" s="98"/>
      <c r="G103" s="98"/>
      <c r="H103" s="98"/>
      <c r="I103" s="98"/>
      <c r="J103" s="98"/>
      <c r="K103" s="98"/>
      <c r="L103" s="98"/>
      <c r="M103" s="239"/>
      <c r="O103" s="4"/>
    </row>
    <row r="104" customFormat="false" ht="12.8" hidden="false" customHeight="true" outlineLevel="0" collapsed="false">
      <c r="B104" s="4"/>
      <c r="C104" s="214" t="s">
        <v>115</v>
      </c>
      <c r="D104" s="102"/>
      <c r="E104" s="103"/>
      <c r="F104" s="103"/>
      <c r="G104" s="103"/>
      <c r="H104" s="103"/>
      <c r="I104" s="103"/>
      <c r="J104" s="103"/>
      <c r="K104" s="103"/>
      <c r="L104" s="104"/>
      <c r="M104" s="106"/>
      <c r="N104" s="106"/>
      <c r="O104" s="4"/>
    </row>
    <row r="105" customFormat="false" ht="12.8" hidden="false" customHeight="true" outlineLevel="0" collapsed="false">
      <c r="B105" s="106"/>
      <c r="C105" s="240"/>
      <c r="D105" s="241"/>
      <c r="E105" s="242" t="str">
        <f aca="false">"Total "&amp;TEXT(F106+F113+F123,"###.#")&amp;" Sites in FINAL BUILD"</f>
        <v>Total 275 Sites in FINAL BUILD</v>
      </c>
      <c r="F105" s="242"/>
      <c r="G105" s="242"/>
      <c r="H105" s="242"/>
      <c r="I105" s="242"/>
      <c r="J105" s="242"/>
      <c r="K105" s="242"/>
      <c r="L105" s="242"/>
      <c r="M105" s="241"/>
      <c r="N105" s="106"/>
      <c r="O105" s="106"/>
    </row>
    <row r="106" customFormat="false" ht="19.4" hidden="false" customHeight="true" outlineLevel="0" collapsed="false">
      <c r="B106" s="243" t="s">
        <v>85</v>
      </c>
      <c r="C106" s="244"/>
      <c r="D106" s="245" t="n">
        <f aca="false">K107+K108</f>
        <v>266048.5</v>
      </c>
      <c r="E106" s="246" t="s">
        <v>40</v>
      </c>
      <c r="F106" s="247" t="n">
        <f aca="false">SUM(F107:F111)</f>
        <v>113</v>
      </c>
      <c r="G106" s="248"/>
      <c r="H106" s="217"/>
      <c r="I106" s="249" t="s">
        <v>41</v>
      </c>
      <c r="J106" s="250" t="s">
        <v>86</v>
      </c>
      <c r="K106" s="248" t="s">
        <v>42</v>
      </c>
      <c r="L106" s="251" t="s">
        <v>43</v>
      </c>
      <c r="M106" s="248" t="s">
        <v>44</v>
      </c>
      <c r="N106" s="106"/>
      <c r="O106" s="106"/>
    </row>
    <row r="107" customFormat="false" ht="12.8" hidden="false" customHeight="true" outlineLevel="0" collapsed="false">
      <c r="B107" s="252"/>
      <c r="C107" s="106"/>
      <c r="D107" s="106" t="s">
        <v>45</v>
      </c>
      <c r="E107" s="106"/>
      <c r="F107" s="253" t="n">
        <v>58</v>
      </c>
      <c r="G107" s="254" t="n">
        <v>37</v>
      </c>
      <c r="H107" s="255" t="s">
        <v>46</v>
      </c>
      <c r="I107" s="256" t="n">
        <v>0.85</v>
      </c>
      <c r="J107" s="137" t="n">
        <f aca="false">360-(360*I107)</f>
        <v>54</v>
      </c>
      <c r="K107" s="257" t="n">
        <f aca="false">(F107*G107)*365*(1-I107)</f>
        <v>117493.5</v>
      </c>
      <c r="L107" s="258" t="n">
        <f aca="false">ROUND(K107/$K$130,2)</f>
        <v>0.12</v>
      </c>
      <c r="M107" s="106" t="n">
        <f aca="false">K107/F107</f>
        <v>2025.75</v>
      </c>
      <c r="N107" s="168"/>
      <c r="O107" s="106"/>
    </row>
    <row r="108" customFormat="false" ht="12.8" hidden="false" customHeight="true" outlineLevel="0" collapsed="false">
      <c r="B108" s="252"/>
      <c r="C108" s="106"/>
      <c r="D108" s="106" t="s">
        <v>47</v>
      </c>
      <c r="E108" s="106"/>
      <c r="F108" s="253" t="n">
        <v>55</v>
      </c>
      <c r="G108" s="254" t="n">
        <v>37</v>
      </c>
      <c r="H108" s="255" t="s">
        <v>46</v>
      </c>
      <c r="I108" s="259" t="n">
        <v>0.8</v>
      </c>
      <c r="J108" s="137" t="n">
        <f aca="false">360-(360*I108)</f>
        <v>72</v>
      </c>
      <c r="K108" s="257" t="n">
        <f aca="false">(F108*G108)*365*(1-I108)</f>
        <v>148555</v>
      </c>
      <c r="L108" s="258" t="n">
        <f aca="false">ROUND(K108/$K$130,2)</f>
        <v>0.16</v>
      </c>
      <c r="M108" s="106" t="n">
        <f aca="false">K108/F108</f>
        <v>2701</v>
      </c>
      <c r="N108" s="106"/>
      <c r="O108" s="106"/>
      <c r="P108" s="137" t="s">
        <v>116</v>
      </c>
      <c r="Q108" s="0" t="s">
        <v>117</v>
      </c>
      <c r="R108" s="150" t="n">
        <f aca="false">F55+F62</f>
        <v>173</v>
      </c>
    </row>
    <row r="109" customFormat="false" ht="12.8" hidden="false" customHeight="true" outlineLevel="0" collapsed="false">
      <c r="B109" s="260"/>
      <c r="C109" s="260"/>
      <c r="D109" s="106" t="s">
        <v>48</v>
      </c>
      <c r="E109" s="106"/>
      <c r="F109" s="168" t="n">
        <v>0</v>
      </c>
      <c r="G109" s="261" t="n">
        <v>120</v>
      </c>
      <c r="H109" s="255" t="s">
        <v>46</v>
      </c>
      <c r="I109" s="259" t="n">
        <v>0.85</v>
      </c>
      <c r="J109" s="168"/>
      <c r="K109" s="257" t="n">
        <f aca="false">(F109*G109)*365*(1-I109)</f>
        <v>0</v>
      </c>
      <c r="L109" s="258" t="n">
        <f aca="false">ROUND(K109/$K$130,2)</f>
        <v>0</v>
      </c>
      <c r="M109" s="106"/>
      <c r="N109" s="106"/>
      <c r="O109" s="106"/>
      <c r="P109" s="137"/>
      <c r="Q109" s="0" t="s">
        <v>118</v>
      </c>
      <c r="R109" s="150" t="e">
        <f aca="false">#REF!</f>
        <v>#REF!</v>
      </c>
    </row>
    <row r="110" customFormat="false" ht="12.8" hidden="false" customHeight="true" outlineLevel="0" collapsed="false">
      <c r="B110" s="260"/>
      <c r="C110" s="260"/>
      <c r="D110" s="106" t="s">
        <v>49</v>
      </c>
      <c r="E110" s="106"/>
      <c r="F110" s="168" t="n">
        <v>0</v>
      </c>
      <c r="G110" s="261" t="n">
        <v>70</v>
      </c>
      <c r="H110" s="255" t="s">
        <v>46</v>
      </c>
      <c r="I110" s="259" t="n">
        <v>0.85</v>
      </c>
      <c r="J110" s="168"/>
      <c r="K110" s="257" t="n">
        <f aca="false">(F110*G110)*365*(1-I110)</f>
        <v>0</v>
      </c>
      <c r="L110" s="258" t="n">
        <f aca="false">ROUND(K110/$K$130,2)</f>
        <v>0</v>
      </c>
      <c r="M110" s="106"/>
      <c r="N110" s="106"/>
      <c r="O110" s="106"/>
      <c r="P110" s="137"/>
      <c r="Q110" s="0" t="s">
        <v>119</v>
      </c>
      <c r="R110" s="150" t="n">
        <f aca="false">K30</f>
        <v>976372.2</v>
      </c>
    </row>
    <row r="111" customFormat="false" ht="12.8" hidden="false" customHeight="true" outlineLevel="0" collapsed="false">
      <c r="B111" s="260"/>
      <c r="C111" s="260"/>
      <c r="D111" s="106" t="s">
        <v>50</v>
      </c>
      <c r="E111" s="106"/>
      <c r="F111" s="168" t="n">
        <v>0</v>
      </c>
      <c r="G111" s="261" t="n">
        <v>35</v>
      </c>
      <c r="H111" s="255" t="s">
        <v>46</v>
      </c>
      <c r="I111" s="259" t="n">
        <v>0.9</v>
      </c>
      <c r="J111" s="168"/>
      <c r="K111" s="257" t="n">
        <f aca="false">(F111*G111)*365*(1-I111)</f>
        <v>0</v>
      </c>
      <c r="L111" s="258" t="n">
        <f aca="false">ROUND(K111/$K$130,2)</f>
        <v>0</v>
      </c>
      <c r="M111" s="106"/>
      <c r="N111" s="106"/>
      <c r="O111" s="106"/>
      <c r="P111" s="137"/>
      <c r="Q111" s="0" t="s">
        <v>120</v>
      </c>
      <c r="R111" s="150" t="n">
        <f aca="false">K45</f>
        <v>448039.212</v>
      </c>
    </row>
    <row r="112" customFormat="false" ht="12.8" hidden="false" customHeight="true" outlineLevel="0" collapsed="false">
      <c r="B112" s="260"/>
      <c r="C112" s="260"/>
      <c r="D112" s="106"/>
      <c r="E112" s="106"/>
      <c r="F112" s="168"/>
      <c r="G112" s="261"/>
      <c r="H112" s="255"/>
      <c r="I112" s="259"/>
      <c r="J112" s="168"/>
      <c r="K112" s="262" t="n">
        <f aca="false">SUM(K107:K111)</f>
        <v>266048.5</v>
      </c>
      <c r="L112" s="258"/>
      <c r="M112" s="106"/>
      <c r="N112" s="106"/>
      <c r="O112" s="106"/>
      <c r="P112" s="137"/>
      <c r="Q112" s="5" t="s">
        <v>121</v>
      </c>
      <c r="R112" s="5" t="n">
        <f aca="false">K48</f>
        <v>528332.988</v>
      </c>
    </row>
    <row r="113" customFormat="false" ht="12.8" hidden="false" customHeight="true" outlineLevel="0" collapsed="false">
      <c r="B113" s="263" t="s">
        <v>89</v>
      </c>
      <c r="C113" s="106"/>
      <c r="D113" s="264" t="n">
        <f aca="false">K114+K115+K116+K117</f>
        <v>223927.5</v>
      </c>
      <c r="E113" s="265" t="s">
        <v>40</v>
      </c>
      <c r="F113" s="266" t="n">
        <f aca="false">SUM(F114:F117)</f>
        <v>48</v>
      </c>
      <c r="G113" s="262"/>
      <c r="H113" s="241"/>
      <c r="I113" s="267"/>
      <c r="J113" s="242"/>
      <c r="K113" s="241"/>
      <c r="L113" s="268"/>
      <c r="M113" s="241"/>
      <c r="N113" s="106"/>
      <c r="O113" s="106"/>
      <c r="P113" s="137"/>
    </row>
    <row r="114" customFormat="false" ht="12.8" hidden="false" customHeight="true" outlineLevel="0" collapsed="false">
      <c r="B114" s="106"/>
      <c r="C114" s="106"/>
      <c r="D114" s="106" t="s">
        <v>45</v>
      </c>
      <c r="E114" s="106"/>
      <c r="F114" s="168" t="n">
        <v>29</v>
      </c>
      <c r="G114" s="254" t="n">
        <v>39</v>
      </c>
      <c r="H114" s="255" t="s">
        <v>46</v>
      </c>
      <c r="I114" s="259" t="n">
        <v>0.7</v>
      </c>
      <c r="J114" s="137" t="n">
        <f aca="false">360-(360*I114)</f>
        <v>108</v>
      </c>
      <c r="K114" s="257" t="n">
        <f aca="false">(F114*G114)*365*(1-I114)</f>
        <v>123844.5</v>
      </c>
      <c r="L114" s="258" t="n">
        <f aca="false">ROUND(K114/$K$130,2)</f>
        <v>0.13</v>
      </c>
      <c r="M114" s="106" t="n">
        <f aca="false">K114/F114</f>
        <v>4270.5</v>
      </c>
      <c r="N114" s="106"/>
      <c r="O114" s="106"/>
      <c r="P114" s="137" t="s">
        <v>122</v>
      </c>
      <c r="Q114" s="0" t="s">
        <v>123</v>
      </c>
      <c r="R114" s="150" t="n">
        <f aca="false">F72</f>
        <v>136</v>
      </c>
    </row>
    <row r="115" customFormat="false" ht="15.35" hidden="false" customHeight="true" outlineLevel="0" collapsed="false">
      <c r="B115" s="260"/>
      <c r="C115" s="260"/>
      <c r="D115" s="106" t="s">
        <v>50</v>
      </c>
      <c r="E115" s="106"/>
      <c r="F115" s="168" t="n">
        <v>7</v>
      </c>
      <c r="G115" s="254" t="n">
        <v>24</v>
      </c>
      <c r="H115" s="255" t="s">
        <v>46</v>
      </c>
      <c r="I115" s="259" t="n">
        <v>0.9</v>
      </c>
      <c r="J115" s="137" t="n">
        <f aca="false">360-(360*I115)</f>
        <v>36</v>
      </c>
      <c r="K115" s="257" t="n">
        <f aca="false">(F115*G115)*365*(1-I115)</f>
        <v>6132</v>
      </c>
      <c r="L115" s="258" t="n">
        <f aca="false">ROUND(K115/$K$130,2)</f>
        <v>0.01</v>
      </c>
      <c r="M115" s="106" t="n">
        <f aca="false">K115/F115</f>
        <v>876</v>
      </c>
      <c r="N115" s="106"/>
      <c r="O115" s="106"/>
      <c r="P115" s="137"/>
      <c r="Q115" s="0" t="s">
        <v>118</v>
      </c>
      <c r="R115" s="150" t="e">
        <f aca="false">#REF!</f>
        <v>#REF!</v>
      </c>
    </row>
    <row r="116" customFormat="false" ht="12.8" hidden="false" customHeight="true" outlineLevel="0" collapsed="false">
      <c r="B116" s="260"/>
      <c r="C116" s="260"/>
      <c r="D116" s="106" t="s">
        <v>53</v>
      </c>
      <c r="E116" s="106"/>
      <c r="F116" s="253" t="n">
        <v>6</v>
      </c>
      <c r="G116" s="254" t="n">
        <v>88</v>
      </c>
      <c r="H116" s="255" t="s">
        <v>46</v>
      </c>
      <c r="I116" s="259" t="n">
        <v>0.85</v>
      </c>
      <c r="J116" s="137" t="n">
        <f aca="false">360-(360*I116)</f>
        <v>54</v>
      </c>
      <c r="K116" s="257" t="n">
        <f aca="false">(F116*G116)*365*(1-I116)</f>
        <v>28908</v>
      </c>
      <c r="L116" s="258" t="n">
        <f aca="false">ROUND(K116/$K$130,2)</f>
        <v>0.03</v>
      </c>
      <c r="M116" s="106" t="n">
        <f aca="false">K116/F116</f>
        <v>4818</v>
      </c>
      <c r="N116" s="106"/>
      <c r="O116" s="106"/>
      <c r="P116" s="137"/>
      <c r="Q116" s="0" t="s">
        <v>119</v>
      </c>
      <c r="R116" s="150" t="n">
        <f aca="false">K78</f>
        <v>763696.4</v>
      </c>
    </row>
    <row r="117" customFormat="false" ht="12.8" hidden="false" customHeight="true" outlineLevel="0" collapsed="false">
      <c r="B117" s="260"/>
      <c r="C117" s="260"/>
      <c r="D117" s="106" t="s">
        <v>124</v>
      </c>
      <c r="E117" s="106"/>
      <c r="F117" s="253" t="n">
        <v>6</v>
      </c>
      <c r="G117" s="254" t="n">
        <v>99</v>
      </c>
      <c r="H117" s="255" t="s">
        <v>46</v>
      </c>
      <c r="I117" s="259" t="n">
        <v>0.7</v>
      </c>
      <c r="J117" s="137" t="n">
        <f aca="false">360-(360*I117)</f>
        <v>108</v>
      </c>
      <c r="K117" s="257" t="n">
        <f aca="false">(F117*G117)*365*(1-I117)</f>
        <v>65043</v>
      </c>
      <c r="L117" s="258" t="n">
        <f aca="false">ROUND(K117/$K$130,2)</f>
        <v>0.07</v>
      </c>
      <c r="M117" s="106" t="n">
        <f aca="false">K117/F117</f>
        <v>10840.5</v>
      </c>
      <c r="N117" s="106"/>
      <c r="O117" s="106"/>
      <c r="P117" s="137"/>
      <c r="Q117" s="0" t="s">
        <v>120</v>
      </c>
    </row>
    <row r="118" customFormat="false" ht="12.8" hidden="false" customHeight="true" outlineLevel="0" collapsed="false">
      <c r="B118" s="260"/>
      <c r="C118" s="260"/>
      <c r="D118" s="106" t="s">
        <v>55</v>
      </c>
      <c r="E118" s="106"/>
      <c r="F118" s="168" t="n">
        <v>1</v>
      </c>
      <c r="G118" s="257"/>
      <c r="H118" s="168"/>
      <c r="I118" s="106"/>
      <c r="J118" s="168"/>
      <c r="K118" s="257" t="n">
        <v>4000</v>
      </c>
      <c r="L118" s="258" t="n">
        <f aca="false">ROUND(K118/$K$130,2)</f>
        <v>0</v>
      </c>
      <c r="M118" s="106"/>
      <c r="N118" s="106"/>
      <c r="O118" s="106"/>
      <c r="P118" s="137"/>
      <c r="Q118" s="0" t="s">
        <v>121</v>
      </c>
    </row>
    <row r="119" customFormat="false" ht="12.8" hidden="false" customHeight="true" outlineLevel="0" collapsed="false">
      <c r="B119" s="260"/>
      <c r="C119" s="260"/>
      <c r="D119" s="106" t="s">
        <v>56</v>
      </c>
      <c r="E119" s="106"/>
      <c r="F119" s="168"/>
      <c r="G119" s="168"/>
      <c r="H119" s="168"/>
      <c r="I119" s="106"/>
      <c r="J119" s="168"/>
      <c r="K119" s="257" t="n">
        <v>20000</v>
      </c>
      <c r="L119" s="258" t="n">
        <f aca="false">ROUND(K119/$K$130,2)</f>
        <v>0.02</v>
      </c>
      <c r="M119" s="106"/>
      <c r="N119" s="106"/>
      <c r="O119" s="106"/>
      <c r="P119" s="137"/>
    </row>
    <row r="120" customFormat="false" ht="12.8" hidden="false" customHeight="true" outlineLevel="0" collapsed="false">
      <c r="B120" s="260"/>
      <c r="C120" s="260"/>
      <c r="D120" s="106" t="s">
        <v>57</v>
      </c>
      <c r="E120" s="106"/>
      <c r="F120" s="168"/>
      <c r="G120" s="168"/>
      <c r="H120" s="168"/>
      <c r="I120" s="106"/>
      <c r="J120" s="168"/>
      <c r="K120" s="257" t="n">
        <v>55000</v>
      </c>
      <c r="L120" s="258" t="n">
        <f aca="false">ROUND(K120/$K$130,2)</f>
        <v>0.06</v>
      </c>
      <c r="M120" s="106"/>
      <c r="N120" s="106"/>
      <c r="O120" s="106"/>
      <c r="P120" s="137" t="s">
        <v>125</v>
      </c>
      <c r="Q120" s="0" t="s">
        <v>117</v>
      </c>
      <c r="R120" s="150" t="n">
        <f aca="false">R108+R114</f>
        <v>309</v>
      </c>
    </row>
    <row r="121" customFormat="false" ht="12.8" hidden="false" customHeight="true" outlineLevel="0" collapsed="false">
      <c r="B121" s="260"/>
      <c r="C121" s="260"/>
      <c r="D121" s="106"/>
      <c r="E121" s="106"/>
      <c r="F121" s="106"/>
      <c r="G121" s="106"/>
      <c r="H121" s="106"/>
      <c r="I121" s="106"/>
      <c r="J121" s="169" t="s">
        <v>59</v>
      </c>
      <c r="K121" s="106"/>
      <c r="L121" s="258"/>
      <c r="M121" s="106"/>
      <c r="N121" s="106"/>
      <c r="O121" s="106"/>
      <c r="P121" s="137"/>
      <c r="Q121" s="0" t="s">
        <v>118</v>
      </c>
      <c r="R121" s="150" t="e">
        <f aca="false">R109+R115</f>
        <v>#REF!</v>
      </c>
    </row>
    <row r="122" customFormat="false" ht="12.8" hidden="false" customHeight="true" outlineLevel="0" collapsed="false">
      <c r="B122" s="106"/>
      <c r="C122" s="106"/>
      <c r="D122" s="106" t="s">
        <v>126</v>
      </c>
      <c r="E122" s="106"/>
      <c r="F122" s="106"/>
      <c r="G122" s="106"/>
      <c r="H122" s="106"/>
      <c r="I122" s="106"/>
      <c r="J122" s="106"/>
      <c r="K122" s="269" t="n">
        <f aca="false">SUM(K114:K120)</f>
        <v>302927.5</v>
      </c>
      <c r="L122" s="258"/>
      <c r="M122" s="106"/>
      <c r="N122" s="106"/>
      <c r="O122" s="106"/>
      <c r="P122" s="137"/>
      <c r="Q122" s="0" t="s">
        <v>119</v>
      </c>
      <c r="R122" s="150" t="n">
        <f aca="false">R110+R116</f>
        <v>1740068.6</v>
      </c>
    </row>
    <row r="123" customFormat="false" ht="25.6" hidden="false" customHeight="true" outlineLevel="0" collapsed="false">
      <c r="B123" s="270" t="s">
        <v>94</v>
      </c>
      <c r="C123" s="106"/>
      <c r="D123" s="264" t="n">
        <f aca="false">SUM(K124:K127)</f>
        <v>314250</v>
      </c>
      <c r="E123" s="265" t="s">
        <v>40</v>
      </c>
      <c r="F123" s="266" t="n">
        <f aca="false">SUM(F124:F128)</f>
        <v>114</v>
      </c>
      <c r="G123" s="271"/>
      <c r="H123" s="272"/>
      <c r="I123" s="267"/>
      <c r="J123" s="242"/>
      <c r="K123" s="262"/>
      <c r="L123" s="268"/>
      <c r="M123" s="241"/>
      <c r="N123" s="106"/>
      <c r="O123" s="106"/>
      <c r="P123" s="137"/>
      <c r="Q123" s="0" t="s">
        <v>120</v>
      </c>
      <c r="R123" s="150" t="n">
        <f aca="false">K95</f>
        <v>904255.931</v>
      </c>
    </row>
    <row r="124" customFormat="false" ht="12.8" hidden="false" customHeight="true" outlineLevel="0" collapsed="false">
      <c r="B124" s="260"/>
      <c r="C124" s="260"/>
      <c r="D124" s="106" t="s">
        <v>45</v>
      </c>
      <c r="E124" s="106"/>
      <c r="F124" s="253" t="n">
        <v>25</v>
      </c>
      <c r="G124" s="261" t="n">
        <v>37</v>
      </c>
      <c r="H124" s="255" t="s">
        <v>46</v>
      </c>
      <c r="I124" s="259" t="n">
        <v>0.77</v>
      </c>
      <c r="J124" s="137" t="n">
        <f aca="false">360-(360*I124)</f>
        <v>82.8</v>
      </c>
      <c r="K124" s="257" t="n">
        <f aca="false">(F124*G124)*365*(1-I124)</f>
        <v>77653.75</v>
      </c>
      <c r="L124" s="258" t="n">
        <f aca="false">ROUND(K124/$K$30,2)</f>
        <v>0.08</v>
      </c>
      <c r="M124" s="106" t="n">
        <f aca="false">K124/F124</f>
        <v>3106.15</v>
      </c>
      <c r="N124" s="168"/>
      <c r="O124" s="106"/>
      <c r="P124" s="137"/>
      <c r="Q124" s="5" t="s">
        <v>121</v>
      </c>
      <c r="R124" s="5" t="n">
        <f aca="false">R122-R123</f>
        <v>835812.669</v>
      </c>
    </row>
    <row r="125" customFormat="false" ht="12.8" hidden="false" customHeight="true" outlineLevel="0" collapsed="false">
      <c r="B125" s="260"/>
      <c r="C125" s="260"/>
      <c r="D125" s="106" t="s">
        <v>62</v>
      </c>
      <c r="E125" s="106"/>
      <c r="F125" s="253" t="n">
        <v>35</v>
      </c>
      <c r="G125" s="261" t="n">
        <v>39</v>
      </c>
      <c r="H125" s="255" t="s">
        <v>46</v>
      </c>
      <c r="I125" s="259" t="n">
        <v>0.75</v>
      </c>
      <c r="J125" s="137" t="n">
        <f aca="false">360-(360*I125)</f>
        <v>90</v>
      </c>
      <c r="K125" s="257" t="n">
        <f aca="false">(F125*G125)*365*(1-I125)</f>
        <v>124556.25</v>
      </c>
      <c r="L125" s="258"/>
      <c r="M125" s="106" t="n">
        <f aca="false">K125/F125</f>
        <v>3558.75</v>
      </c>
      <c r="N125" s="168"/>
      <c r="O125" s="106"/>
    </row>
    <row r="126" customFormat="false" ht="12.8" hidden="false" customHeight="true" outlineLevel="0" collapsed="false">
      <c r="B126" s="260"/>
      <c r="C126" s="260"/>
      <c r="D126" s="106" t="s">
        <v>96</v>
      </c>
      <c r="E126" s="106"/>
      <c r="F126" s="253" t="n">
        <v>20</v>
      </c>
      <c r="G126" s="261" t="n">
        <v>675</v>
      </c>
      <c r="H126" s="255" t="s">
        <v>51</v>
      </c>
      <c r="I126" s="259" t="n">
        <v>0.75</v>
      </c>
      <c r="J126" s="137" t="n">
        <f aca="false">360-(360*I126)</f>
        <v>90</v>
      </c>
      <c r="K126" s="257" t="n">
        <f aca="false">(F126*G126)*12*(1-I126)</f>
        <v>40500</v>
      </c>
      <c r="L126" s="258" t="n">
        <f aca="false">ROUND(K126/$K$30,2)</f>
        <v>0.04</v>
      </c>
      <c r="M126" s="106" t="n">
        <f aca="false">K126/F126</f>
        <v>2025</v>
      </c>
      <c r="N126" s="106"/>
      <c r="O126" s="106"/>
    </row>
    <row r="127" customFormat="false" ht="12.8" hidden="false" customHeight="true" outlineLevel="0" collapsed="false">
      <c r="B127" s="260"/>
      <c r="C127" s="260"/>
      <c r="D127" s="106" t="s">
        <v>53</v>
      </c>
      <c r="E127" s="106"/>
      <c r="F127" s="168" t="n">
        <v>14</v>
      </c>
      <c r="G127" s="261" t="n">
        <v>70</v>
      </c>
      <c r="H127" s="255" t="s">
        <v>46</v>
      </c>
      <c r="I127" s="259" t="n">
        <v>0.8</v>
      </c>
      <c r="J127" s="137" t="n">
        <f aca="false">360-(360*I127)</f>
        <v>72</v>
      </c>
      <c r="K127" s="257" t="n">
        <f aca="false">(F127*G127)*365*(1-I127)</f>
        <v>71540</v>
      </c>
      <c r="L127" s="258"/>
      <c r="M127" s="106" t="n">
        <f aca="false">K127/F127</f>
        <v>5110</v>
      </c>
      <c r="N127" s="106"/>
      <c r="O127" s="106"/>
    </row>
    <row r="128" customFormat="false" ht="12.8" hidden="false" customHeight="true" outlineLevel="0" collapsed="false">
      <c r="B128" s="260"/>
      <c r="C128" s="260"/>
      <c r="D128" s="106" t="s">
        <v>97</v>
      </c>
      <c r="E128" s="106"/>
      <c r="F128" s="253" t="n">
        <v>20</v>
      </c>
      <c r="G128" s="261" t="n">
        <v>299</v>
      </c>
      <c r="H128" s="255" t="s">
        <v>51</v>
      </c>
      <c r="I128" s="259" t="n">
        <v>0.1</v>
      </c>
      <c r="J128" s="137" t="n">
        <f aca="false">360-(360*I128)</f>
        <v>324</v>
      </c>
      <c r="K128" s="248" t="n">
        <f aca="false">(F128*G128)*12*(1-I128)</f>
        <v>64584</v>
      </c>
      <c r="L128" s="258" t="n">
        <f aca="false">ROUND(K128/$K$30,2)</f>
        <v>0.07</v>
      </c>
      <c r="M128" s="106" t="n">
        <f aca="false">K128/F128</f>
        <v>3229.2</v>
      </c>
      <c r="N128" s="106"/>
      <c r="O128" s="106"/>
    </row>
    <row r="129" customFormat="false" ht="12.8" hidden="false" customHeight="true" outlineLevel="0" collapsed="false">
      <c r="B129" s="106"/>
      <c r="C129" s="106"/>
      <c r="D129" s="260" t="n">
        <f aca="false">D106+D113+D123</f>
        <v>804226</v>
      </c>
      <c r="E129" s="106"/>
      <c r="F129" s="249"/>
      <c r="G129" s="168"/>
      <c r="H129" s="168"/>
      <c r="I129" s="257"/>
      <c r="J129" s="249"/>
      <c r="K129" s="217" t="n">
        <f aca="false">SUM(K124:K128)</f>
        <v>378834</v>
      </c>
      <c r="L129" s="273"/>
      <c r="M129" s="106"/>
      <c r="N129" s="257"/>
      <c r="O129" s="106"/>
      <c r="R129" s="150" t="n">
        <f aca="false">(4500*12)*10</f>
        <v>540000</v>
      </c>
    </row>
    <row r="130" customFormat="false" ht="12.8" hidden="false" customHeight="true" outlineLevel="0" collapsed="false">
      <c r="B130" s="106"/>
      <c r="C130" s="106"/>
      <c r="D130" s="274" t="s">
        <v>127</v>
      </c>
      <c r="E130" s="241"/>
      <c r="F130" s="217"/>
      <c r="G130" s="242"/>
      <c r="H130" s="242"/>
      <c r="I130" s="265"/>
      <c r="J130" s="241"/>
      <c r="K130" s="106" t="n">
        <f aca="false">K112+K122+K129</f>
        <v>947810</v>
      </c>
      <c r="L130" s="258" t="n">
        <f aca="false">ROUND(K130/$K$130,2)</f>
        <v>1</v>
      </c>
      <c r="M130" s="241"/>
      <c r="N130" s="106"/>
      <c r="O130" s="106"/>
      <c r="T130" s="150" t="n">
        <f aca="false">12*4500*120</f>
        <v>6480000</v>
      </c>
    </row>
    <row r="131" customFormat="false" ht="12.8" hidden="false" customHeight="true" outlineLevel="0" collapsed="false">
      <c r="B131" s="106"/>
      <c r="C131" s="106"/>
      <c r="D131" s="274"/>
      <c r="E131" s="241"/>
      <c r="F131" s="217"/>
      <c r="G131" s="242"/>
      <c r="H131" s="242"/>
      <c r="I131" s="265"/>
      <c r="J131" s="241"/>
      <c r="K131" s="242"/>
      <c r="L131" s="268"/>
      <c r="M131" s="241"/>
      <c r="N131" s="106"/>
      <c r="O131" s="106"/>
    </row>
    <row r="132" customFormat="false" ht="13.75" hidden="false" customHeight="true" outlineLevel="0" collapsed="false">
      <c r="B132" s="106"/>
      <c r="C132" s="106"/>
      <c r="D132" s="275"/>
      <c r="E132" s="276"/>
      <c r="F132" s="276"/>
      <c r="G132" s="277"/>
      <c r="H132" s="277"/>
      <c r="I132" s="276"/>
      <c r="J132" s="276"/>
      <c r="K132" s="243"/>
      <c r="L132" s="258"/>
      <c r="M132" s="106"/>
      <c r="N132" s="106"/>
      <c r="O132" s="106"/>
    </row>
    <row r="133" customFormat="false" ht="13.75" hidden="false" customHeight="true" outlineLevel="0" collapsed="false">
      <c r="B133" s="106"/>
      <c r="C133" s="106"/>
      <c r="D133" s="217"/>
      <c r="E133" s="103" t="s">
        <v>101</v>
      </c>
      <c r="F133" s="103"/>
      <c r="G133" s="103"/>
      <c r="H133" s="103"/>
      <c r="I133" s="103"/>
      <c r="J133" s="103"/>
      <c r="K133" s="103"/>
      <c r="L133" s="103"/>
      <c r="M133" s="217"/>
      <c r="N133" s="106"/>
      <c r="O133" s="106"/>
    </row>
    <row r="134" customFormat="false" ht="12.8" hidden="false" customHeight="true" outlineLevel="0" collapsed="false">
      <c r="B134" s="106"/>
      <c r="C134" s="106"/>
      <c r="D134" s="106" t="s">
        <v>70</v>
      </c>
      <c r="E134" s="106"/>
      <c r="F134" s="106"/>
      <c r="G134" s="106"/>
      <c r="H134" s="106"/>
      <c r="I134" s="106"/>
      <c r="J134" s="106"/>
      <c r="K134" s="106" t="n">
        <f aca="false">$D$129*0.1</f>
        <v>80422.6</v>
      </c>
      <c r="L134" s="258" t="n">
        <f aca="false">ROUND(K134/$K$130,2)</f>
        <v>0.08</v>
      </c>
      <c r="M134" s="276" t="n">
        <f aca="false">K134/($F$106+$F$113+$F$123)</f>
        <v>292.445818181818</v>
      </c>
      <c r="N134" s="106"/>
      <c r="O134" s="106"/>
    </row>
    <row r="135" customFormat="false" ht="13.65" hidden="false" customHeight="true" outlineLevel="0" collapsed="false">
      <c r="B135" s="106"/>
      <c r="C135" s="106"/>
      <c r="D135" s="106" t="s">
        <v>103</v>
      </c>
      <c r="E135" s="106"/>
      <c r="F135" s="106"/>
      <c r="G135" s="106"/>
      <c r="H135" s="106"/>
      <c r="I135" s="106"/>
      <c r="J135" s="106"/>
      <c r="K135" s="106" t="n">
        <f aca="false">$D$129*0.08</f>
        <v>64338.08</v>
      </c>
      <c r="L135" s="258" t="n">
        <f aca="false">ROUND(K135/$K$79,2)</f>
        <v>0.03</v>
      </c>
      <c r="M135" s="276" t="n">
        <f aca="false">K135/($F$106+$F$113+$F$123)</f>
        <v>233.956654545455</v>
      </c>
      <c r="N135" s="106"/>
      <c r="O135" s="106"/>
    </row>
    <row r="136" customFormat="false" ht="12.8" hidden="false" customHeight="true" outlineLevel="0" collapsed="false">
      <c r="B136" s="106"/>
      <c r="C136" s="106"/>
      <c r="D136" s="106" t="s">
        <v>71</v>
      </c>
      <c r="E136" s="106"/>
      <c r="F136" s="106"/>
      <c r="G136" s="106"/>
      <c r="H136" s="106"/>
      <c r="I136" s="106"/>
      <c r="J136" s="106"/>
      <c r="K136" s="106" t="n">
        <v>140000</v>
      </c>
      <c r="L136" s="258" t="n">
        <f aca="false">ROUND(K136/$K$130,2)</f>
        <v>0.15</v>
      </c>
      <c r="M136" s="276" t="n">
        <f aca="false">K136/($F$106+$F$113+$F$123)</f>
        <v>509.090909090909</v>
      </c>
      <c r="N136" s="106"/>
      <c r="O136" s="106"/>
    </row>
    <row r="137" customFormat="false" ht="12.8" hidden="false" customHeight="true" outlineLevel="0" collapsed="false">
      <c r="B137" s="106"/>
      <c r="C137" s="106"/>
      <c r="D137" s="106" t="s">
        <v>72</v>
      </c>
      <c r="E137" s="106"/>
      <c r="F137" s="106"/>
      <c r="G137" s="106"/>
      <c r="H137" s="106"/>
      <c r="I137" s="106"/>
      <c r="J137" s="106"/>
      <c r="K137" s="106" t="n">
        <v>15000</v>
      </c>
      <c r="L137" s="258" t="n">
        <f aca="false">ROUND(K137/$K$130,2)</f>
        <v>0.02</v>
      </c>
      <c r="M137" s="276" t="n">
        <f aca="false">K137/($F$106+$F$113+$F$123)</f>
        <v>54.5454545454546</v>
      </c>
      <c r="N137" s="106"/>
      <c r="O137" s="106"/>
      <c r="P137" s="137"/>
    </row>
    <row r="138" customFormat="false" ht="12.8" hidden="false" customHeight="true" outlineLevel="0" collapsed="false">
      <c r="B138" s="106"/>
      <c r="C138" s="106"/>
      <c r="D138" s="106" t="s">
        <v>73</v>
      </c>
      <c r="E138" s="106"/>
      <c r="F138" s="106"/>
      <c r="G138" s="106"/>
      <c r="H138" s="106"/>
      <c r="I138" s="106"/>
      <c r="J138" s="106"/>
      <c r="K138" s="106" t="n">
        <v>0</v>
      </c>
      <c r="L138" s="258" t="n">
        <f aca="false">ROUND(K138/$K$130,2)</f>
        <v>0</v>
      </c>
      <c r="M138" s="276" t="n">
        <f aca="false">K138/($F$106+$F$113+$F$123)</f>
        <v>0</v>
      </c>
      <c r="N138" s="106"/>
      <c r="O138" s="106"/>
      <c r="P138" s="137"/>
    </row>
    <row r="139" customFormat="false" ht="12.8" hidden="false" customHeight="true" outlineLevel="0" collapsed="false">
      <c r="B139" s="106"/>
      <c r="C139" s="106"/>
      <c r="D139" s="4" t="s">
        <v>106</v>
      </c>
      <c r="E139" s="4"/>
      <c r="F139" s="4"/>
      <c r="G139" s="4"/>
      <c r="H139" s="4"/>
      <c r="I139" s="4"/>
      <c r="J139" s="4"/>
      <c r="K139" s="0" t="n">
        <v>35000</v>
      </c>
      <c r="L139" s="97" t="n">
        <f aca="false">ROUND(K139/$K$79,2)</f>
        <v>0.02</v>
      </c>
      <c r="M139" s="212" t="n">
        <f aca="false">K139/($F$55+$F$62+$F$72)</f>
        <v>113.26860841424</v>
      </c>
      <c r="P139" s="12" t="s">
        <v>128</v>
      </c>
    </row>
    <row r="140" customFormat="false" ht="12.8" hidden="false" customHeight="true" outlineLevel="0" collapsed="false">
      <c r="B140" s="106"/>
      <c r="C140" s="106"/>
      <c r="D140" s="106" t="s">
        <v>74</v>
      </c>
      <c r="E140" s="106"/>
      <c r="F140" s="106"/>
      <c r="G140" s="106"/>
      <c r="H140" s="106"/>
      <c r="I140" s="106"/>
      <c r="J140" s="106"/>
      <c r="K140" s="106" t="n">
        <v>12000</v>
      </c>
      <c r="L140" s="258" t="n">
        <f aca="false">ROUND(K140/$K$130,2)</f>
        <v>0.01</v>
      </c>
      <c r="M140" s="276" t="n">
        <f aca="false">K140/($F$106+$F$113+$F$123)</f>
        <v>43.6363636363636</v>
      </c>
      <c r="N140" s="278"/>
      <c r="O140" s="106"/>
      <c r="P140" s="12" t="n">
        <f aca="false">D78*0.02</f>
        <v>33987.803</v>
      </c>
    </row>
    <row r="141" customFormat="false" ht="12.8" hidden="false" customHeight="true" outlineLevel="0" collapsed="false">
      <c r="B141" s="106"/>
      <c r="C141" s="106"/>
      <c r="D141" s="106" t="s">
        <v>75</v>
      </c>
      <c r="E141" s="106"/>
      <c r="F141" s="106"/>
      <c r="G141" s="106"/>
      <c r="H141" s="106"/>
      <c r="I141" s="106"/>
      <c r="J141" s="106"/>
      <c r="K141" s="106" t="n">
        <v>45000</v>
      </c>
      <c r="L141" s="258" t="n">
        <f aca="false">ROUND(K141/$K$130,2)</f>
        <v>0.05</v>
      </c>
      <c r="M141" s="276" t="n">
        <f aca="false">K141/($F$106+$F$113+$F$123)</f>
        <v>163.636363636364</v>
      </c>
      <c r="N141" s="106"/>
      <c r="O141" s="106"/>
    </row>
    <row r="142" customFormat="false" ht="12.8" hidden="false" customHeight="true" outlineLevel="0" collapsed="false">
      <c r="B142" s="106"/>
      <c r="C142" s="106"/>
      <c r="D142" s="106" t="s">
        <v>76</v>
      </c>
      <c r="E142" s="106"/>
      <c r="F142" s="106"/>
      <c r="G142" s="106"/>
      <c r="H142" s="106"/>
      <c r="I142" s="106"/>
      <c r="J142" s="106"/>
      <c r="K142" s="106" t="n">
        <v>5000</v>
      </c>
      <c r="L142" s="258" t="n">
        <f aca="false">ROUND(K142/$K$130,2)</f>
        <v>0.01</v>
      </c>
      <c r="M142" s="276" t="n">
        <f aca="false">K142/($F$106+$F$113+$F$123)</f>
        <v>18.1818181818182</v>
      </c>
      <c r="N142" s="106"/>
      <c r="O142" s="106"/>
    </row>
    <row r="143" customFormat="false" ht="12.8" hidden="false" customHeight="true" outlineLevel="0" collapsed="false">
      <c r="B143" s="106"/>
      <c r="C143" s="106"/>
      <c r="D143" s="106" t="s">
        <v>77</v>
      </c>
      <c r="E143" s="106"/>
      <c r="F143" s="106"/>
      <c r="G143" s="106"/>
      <c r="H143" s="106"/>
      <c r="I143" s="106"/>
      <c r="J143" s="106"/>
      <c r="K143" s="106" t="n">
        <v>50000</v>
      </c>
      <c r="L143" s="258" t="n">
        <f aca="false">ROUND(K143/$K$130,2)</f>
        <v>0.05</v>
      </c>
      <c r="M143" s="276" t="n">
        <f aca="false">K143/($F$106+$F$113+$F$123)</f>
        <v>181.818181818182</v>
      </c>
      <c r="N143" s="106"/>
      <c r="O143" s="106"/>
    </row>
    <row r="144" customFormat="false" ht="12.8" hidden="false" customHeight="true" outlineLevel="0" collapsed="false">
      <c r="B144" s="106"/>
      <c r="C144" s="106"/>
      <c r="D144" s="106" t="s">
        <v>78</v>
      </c>
      <c r="E144" s="106"/>
      <c r="F144" s="106"/>
      <c r="G144" s="106"/>
      <c r="H144" s="106"/>
      <c r="I144" s="106"/>
      <c r="J144" s="106"/>
      <c r="K144" s="106" t="n">
        <v>30000</v>
      </c>
      <c r="L144" s="258" t="n">
        <f aca="false">ROUND(K144/$K$130,2)</f>
        <v>0.03</v>
      </c>
      <c r="M144" s="276" t="n">
        <f aca="false">K144/($F$106+$F$113+$F$123)</f>
        <v>109.090909090909</v>
      </c>
      <c r="N144" s="106"/>
      <c r="O144" s="106"/>
    </row>
    <row r="145" customFormat="false" ht="12.8" hidden="false" customHeight="true" outlineLevel="0" collapsed="false">
      <c r="B145" s="106"/>
      <c r="C145" s="106"/>
      <c r="D145" s="217" t="s">
        <v>111</v>
      </c>
      <c r="E145" s="217"/>
      <c r="F145" s="217"/>
      <c r="G145" s="217"/>
      <c r="H145" s="217"/>
      <c r="I145" s="217"/>
      <c r="J145" s="217"/>
      <c r="K145" s="217" t="n">
        <v>30000</v>
      </c>
      <c r="L145" s="258" t="n">
        <f aca="false">ROUND(K145/$K$130,2)</f>
        <v>0.03</v>
      </c>
      <c r="M145" s="276" t="n">
        <f aca="false">K145/($F$106+$F$113+$F$123)</f>
        <v>109.090909090909</v>
      </c>
      <c r="N145" s="257"/>
      <c r="O145" s="106"/>
    </row>
    <row r="146" customFormat="false" ht="12.8" hidden="false" customHeight="true" outlineLevel="0" collapsed="false">
      <c r="B146" s="106"/>
      <c r="C146" s="106"/>
      <c r="D146" s="217" t="s">
        <v>80</v>
      </c>
      <c r="E146" s="217"/>
      <c r="F146" s="217"/>
      <c r="G146" s="217"/>
      <c r="H146" s="217"/>
      <c r="I146" s="217"/>
      <c r="J146" s="279"/>
      <c r="K146" s="280" t="n">
        <f aca="false">SUM(K134:K145)</f>
        <v>506760.68</v>
      </c>
      <c r="L146" s="268" t="n">
        <f aca="false">ROUND(K146/$K$130,2)</f>
        <v>0.53</v>
      </c>
      <c r="M146" s="241" t="n">
        <f aca="false">K146/(F113+F106+F123)</f>
        <v>1842.76610909091</v>
      </c>
      <c r="N146" s="106"/>
      <c r="O146" s="106"/>
    </row>
    <row r="147" customFormat="false" ht="12.8" hidden="false" customHeight="true" outlineLevel="0" collapsed="false">
      <c r="B147" s="106"/>
      <c r="C147" s="106"/>
      <c r="D147" s="106"/>
      <c r="E147" s="106"/>
      <c r="F147" s="106"/>
      <c r="G147" s="281"/>
      <c r="H147" s="281"/>
      <c r="I147" s="106"/>
      <c r="J147" s="106"/>
      <c r="K147" s="106"/>
      <c r="L147" s="258"/>
      <c r="M147" s="106"/>
      <c r="N147" s="106"/>
      <c r="O147" s="106"/>
    </row>
    <row r="148" customFormat="false" ht="12.8" hidden="false" customHeight="true" outlineLevel="0" collapsed="false">
      <c r="B148" s="106"/>
      <c r="C148" s="244" t="s">
        <v>65</v>
      </c>
      <c r="D148" s="118" t="s">
        <v>113</v>
      </c>
      <c r="E148" s="217"/>
      <c r="F148" s="217"/>
      <c r="G148" s="279"/>
      <c r="H148" s="279"/>
      <c r="I148" s="217"/>
      <c r="J148" s="217"/>
      <c r="K148" s="244" t="n">
        <f aca="false">K130-K146</f>
        <v>441049.32</v>
      </c>
      <c r="L148" s="273" t="n">
        <f aca="false">ROUND(K148/K130,2)</f>
        <v>0.47</v>
      </c>
      <c r="M148" s="217" t="n">
        <f aca="false">K148/(F113+F106+F123)</f>
        <v>1603.81570909091</v>
      </c>
      <c r="N148" s="106" t="n">
        <f aca="false">K148/12</f>
        <v>36754.11</v>
      </c>
      <c r="O148" s="282" t="s">
        <v>82</v>
      </c>
    </row>
    <row r="149" customFormat="false" ht="13.05" hidden="false" customHeight="true" outlineLevel="0" collapsed="false">
      <c r="D149" s="283"/>
      <c r="E149" s="284"/>
      <c r="F149" s="284"/>
      <c r="G149" s="285"/>
      <c r="H149" s="285"/>
      <c r="I149" s="284"/>
      <c r="J149" s="276"/>
      <c r="L149" s="0"/>
    </row>
    <row r="150" customFormat="false" ht="12.8" hidden="false" customHeight="true" outlineLevel="0" collapsed="false">
      <c r="D150" s="233" t="s">
        <v>114</v>
      </c>
      <c r="K150" s="234" t="n">
        <f aca="false">K148/0.08</f>
        <v>5513116.5</v>
      </c>
      <c r="L150" s="0"/>
    </row>
    <row r="151" customFormat="false" ht="12.8" hidden="false" customHeight="true" outlineLevel="0" collapsed="false">
      <c r="L151" s="0"/>
    </row>
    <row r="152" customFormat="false" ht="12.8" hidden="false" customHeight="true" outlineLevel="0" collapsed="false">
      <c r="L152" s="0"/>
    </row>
    <row r="153" customFormat="false" ht="12.8" hidden="false" customHeight="true" outlineLevel="0" collapsed="false">
      <c r="L153" s="0"/>
    </row>
    <row r="154" customFormat="false" ht="12.8" hidden="false" customHeight="true" outlineLevel="0" collapsed="false">
      <c r="C154" s="0" t="s">
        <v>129</v>
      </c>
    </row>
    <row r="155" customFormat="false" ht="12.8" hidden="false" customHeight="true" outlineLevel="0" collapsed="false">
      <c r="C155" s="0" t="s">
        <v>130</v>
      </c>
      <c r="R155" s="150" t="n">
        <f aca="false">1700000/0.6</f>
        <v>2833333.33333333</v>
      </c>
    </row>
    <row r="156" customFormat="false" ht="12.8" hidden="false" customHeight="true" outlineLevel="0" collapsed="false">
      <c r="C156" s="0" t="s">
        <v>131</v>
      </c>
      <c r="R156" s="150" t="n">
        <f aca="false">1700000/0.55</f>
        <v>3090909.09090909</v>
      </c>
    </row>
    <row r="157" customFormat="false" ht="12.8" hidden="false" customHeight="true" outlineLevel="0" collapsed="false">
      <c r="C157" s="0" t="s">
        <v>132</v>
      </c>
      <c r="P157" s="286" t="n">
        <f aca="false">K98/0.09</f>
        <v>11357846.8777778</v>
      </c>
    </row>
    <row r="158" customFormat="false" ht="12.8" hidden="false" customHeight="true" outlineLevel="0" collapsed="false">
      <c r="C158" s="0" t="s">
        <v>133</v>
      </c>
    </row>
    <row r="160" customFormat="false" ht="12.8" hidden="false" customHeight="true" outlineLevel="0" collapsed="false">
      <c r="C160" s="0" t="s">
        <v>134</v>
      </c>
    </row>
    <row r="161" customFormat="false" ht="12.8" hidden="false" customHeight="true" outlineLevel="0" collapsed="false">
      <c r="C161" s="0" t="s">
        <v>135</v>
      </c>
    </row>
    <row r="162" customFormat="false" ht="12.8" hidden="false" customHeight="true" outlineLevel="0" collapsed="false">
      <c r="C162" s="0" t="s">
        <v>136</v>
      </c>
    </row>
    <row r="163" customFormat="false" ht="12.8" hidden="false" customHeight="true" outlineLevel="0" collapsed="false">
      <c r="C163" s="0" t="s">
        <v>137</v>
      </c>
    </row>
    <row r="164" customFormat="false" ht="12.8" hidden="false" customHeight="true" outlineLevel="0" collapsed="false">
      <c r="C164" s="0" t="s">
        <v>138</v>
      </c>
    </row>
    <row r="165" customFormat="false" ht="12.8" hidden="false" customHeight="true" outlineLevel="0" collapsed="false">
      <c r="C165" s="0" t="s">
        <v>139</v>
      </c>
    </row>
    <row r="167" customFormat="false" ht="12.8" hidden="false" customHeight="true" outlineLevel="0" collapsed="false">
      <c r="P167" s="12" t="s">
        <v>140</v>
      </c>
    </row>
    <row r="177" customFormat="false" ht="12.8" hidden="false" customHeight="true" outlineLevel="0" collapsed="false">
      <c r="D177" s="0" t="s">
        <v>141</v>
      </c>
    </row>
    <row r="178" customFormat="false" ht="12.8" hidden="false" customHeight="true" outlineLevel="0" collapsed="false">
      <c r="C178" s="0" t="s">
        <v>142</v>
      </c>
      <c r="D178" s="0" t="s">
        <v>143</v>
      </c>
      <c r="F178" s="287" t="n">
        <v>0.09</v>
      </c>
    </row>
    <row r="179" customFormat="false" ht="12.8" hidden="false" customHeight="true" outlineLevel="0" collapsed="false">
      <c r="C179" s="0" t="s">
        <v>144</v>
      </c>
      <c r="D179" s="0" t="s">
        <v>145</v>
      </c>
      <c r="F179" s="9" t="n">
        <v>900000</v>
      </c>
    </row>
    <row r="180" customFormat="false" ht="12.8" hidden="false" customHeight="true" outlineLevel="0" collapsed="false">
      <c r="C180" s="0" t="s">
        <v>146</v>
      </c>
      <c r="D180" s="0" t="s">
        <v>147</v>
      </c>
      <c r="F180" s="288" t="n">
        <v>10000000</v>
      </c>
    </row>
    <row r="182" customFormat="false" ht="12.8" hidden="false" customHeight="true" outlineLevel="0" collapsed="false">
      <c r="F182" s="0" t="s">
        <v>148</v>
      </c>
    </row>
    <row r="183" customFormat="false" ht="12.8" hidden="false" customHeight="true" outlineLevel="0" collapsed="false">
      <c r="D183" s="0" t="s">
        <v>149</v>
      </c>
    </row>
    <row r="184" customFormat="false" ht="12.8" hidden="false" customHeight="true" outlineLevel="0" collapsed="false">
      <c r="D184" s="0" t="s">
        <v>150</v>
      </c>
    </row>
    <row r="185" customFormat="false" ht="12.8" hidden="false" customHeight="true" outlineLevel="0" collapsed="false">
      <c r="D185" s="0" t="s">
        <v>151</v>
      </c>
    </row>
  </sheetData>
  <mergeCells count="13">
    <mergeCell ref="E2:L2"/>
    <mergeCell ref="E3:L3"/>
    <mergeCell ref="E4:L4"/>
    <mergeCell ref="E34:L34"/>
    <mergeCell ref="E52:L52"/>
    <mergeCell ref="W52:AD52"/>
    <mergeCell ref="E54:L54"/>
    <mergeCell ref="W54:AD54"/>
    <mergeCell ref="E82:L82"/>
    <mergeCell ref="W82:AD82"/>
    <mergeCell ref="E103:L103"/>
    <mergeCell ref="E105:L105"/>
    <mergeCell ref="E133:L133"/>
  </mergeCells>
  <hyperlinks>
    <hyperlink ref="D97" r:id="rId2" display="* See list of contingency expenses included"/>
    <hyperlink ref="V97" r:id="rId3" display="* See list of contingency expenses included"/>
  </hyperlinks>
  <printOptions headings="false" gridLines="false" gridLinesSet="true" horizontalCentered="false" verticalCentered="false"/>
  <pageMargins left="0.575" right="0.0430555555555556" top="0.748611111111111" bottom="0.395138888888889" header="0.483333333333333" footer="0.129861111111111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Roman,Regular"&amp;12The ArroyosPreserve Luxury RV Park Campground and Recreation Village</oddHeader>
    <oddFooter>&amp;C&amp;"Times New Roman,Regular"&amp;12&amp;D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V98"/>
  <sheetViews>
    <sheetView windowProtection="false" showFormulas="false" showGridLines="true" showRowColHeaders="true" showZeros="true" rightToLeft="false" tabSelected="true" showOutlineSymbols="true" defaultGridColor="true" view="normal" topLeftCell="A6" colorId="64" zoomScale="90" zoomScaleNormal="90" zoomScalePageLayoutView="100" workbookViewId="0">
      <selection pane="topLeft" activeCell="D49" activeCellId="0" sqref="D49"/>
    </sheetView>
  </sheetViews>
  <sheetFormatPr defaultRowHeight="12.8"/>
  <cols>
    <col collapsed="false" hidden="false" max="1" min="1" style="0" width="4.51020408163265"/>
    <col collapsed="false" hidden="false" max="2" min="2" style="0" width="3.00510204081633"/>
    <col collapsed="false" hidden="false" max="3" min="3" style="0" width="2.47448979591837"/>
    <col collapsed="false" hidden="false" max="6" min="4" style="0" width="11.5204081632653"/>
    <col collapsed="false" hidden="false" max="7" min="7" style="0" width="12.9132653061225"/>
    <col collapsed="false" hidden="false" max="10" min="8" style="0" width="1.25"/>
    <col collapsed="false" hidden="false" max="11" min="11" style="0" width="10.1530612244898"/>
    <col collapsed="false" hidden="false" max="12" min="12" style="0" width="5.38265306122449"/>
    <col collapsed="false" hidden="false" max="13" min="13" style="0" width="7.12755102040816"/>
    <col collapsed="false" hidden="false" max="14" min="14" style="0" width="7.01020408163265"/>
    <col collapsed="false" hidden="false" max="15" min="15" style="0" width="2.75510204081633"/>
    <col collapsed="false" hidden="false" max="16" min="16" style="0" width="5.37244897959184"/>
    <col collapsed="false" hidden="false" max="1025" min="17" style="0" width="11.5204081632653"/>
  </cols>
  <sheetData>
    <row r="1" customFormat="false" ht="14.65" hidden="false" customHeight="true" outlineLevel="0" collapsed="false"/>
    <row r="9" customFormat="false" ht="12.8" hidden="false" customHeight="true" outlineLevel="0" collapsed="false">
      <c r="V9" s="0" t="s">
        <v>152</v>
      </c>
    </row>
    <row r="10" customFormat="false" ht="12.8" hidden="false" customHeight="true" outlineLevel="0" collapsed="false">
      <c r="V10" s="0" t="s">
        <v>153</v>
      </c>
    </row>
    <row r="11" customFormat="false" ht="12.8" hidden="false" customHeight="true" outlineLevel="0" collapsed="false">
      <c r="A11" s="137"/>
      <c r="B11" s="289"/>
      <c r="L11" s="1"/>
      <c r="M11" s="290"/>
    </row>
    <row r="12" customFormat="false" ht="14.65" hidden="false" customHeight="true" outlineLevel="0" collapsed="false">
      <c r="A12" s="137"/>
      <c r="B12" s="291"/>
      <c r="C12" s="292"/>
      <c r="D12" s="292"/>
      <c r="E12" s="292"/>
      <c r="F12" s="292"/>
      <c r="G12" s="292"/>
      <c r="H12" s="292"/>
      <c r="I12" s="292"/>
      <c r="J12" s="292"/>
      <c r="K12" s="293" t="s">
        <v>125</v>
      </c>
      <c r="L12" s="292"/>
      <c r="M12" s="294" t="s">
        <v>154</v>
      </c>
      <c r="N12" s="295" t="s">
        <v>155</v>
      </c>
      <c r="O12" s="296"/>
    </row>
    <row r="13" customFormat="false" ht="14.65" hidden="false" customHeight="true" outlineLevel="0" collapsed="false">
      <c r="A13" s="137"/>
      <c r="B13" s="297"/>
      <c r="C13" s="298"/>
      <c r="D13" s="298"/>
      <c r="E13" s="298"/>
      <c r="F13" s="298"/>
      <c r="G13" s="183" t="s">
        <v>156</v>
      </c>
      <c r="K13" s="299" t="n">
        <v>166</v>
      </c>
      <c r="L13" s="298"/>
      <c r="M13" s="300"/>
      <c r="N13" s="301"/>
      <c r="O13" s="302"/>
    </row>
    <row r="14" customFormat="false" ht="14.65" hidden="false" customHeight="true" outlineLevel="0" collapsed="false">
      <c r="A14" s="137"/>
      <c r="B14" s="297"/>
      <c r="C14" s="303" t="s">
        <v>157</v>
      </c>
      <c r="D14" s="298"/>
      <c r="E14" s="298"/>
      <c r="F14" s="298"/>
      <c r="G14" s="183" t="s">
        <v>158</v>
      </c>
      <c r="K14" s="304" t="n">
        <v>310</v>
      </c>
      <c r="L14" s="298"/>
      <c r="M14" s="305" t="n">
        <v>310</v>
      </c>
      <c r="N14" s="301" t="n">
        <v>166</v>
      </c>
      <c r="O14" s="302"/>
    </row>
    <row r="15" customFormat="false" ht="14.65" hidden="false" customHeight="true" outlineLevel="0" collapsed="false">
      <c r="A15" s="289"/>
      <c r="B15" s="297"/>
      <c r="D15" s="212" t="s">
        <v>159</v>
      </c>
      <c r="K15" s="284" t="n">
        <v>160000</v>
      </c>
      <c r="L15" s="306" t="n">
        <f aca="false">ROUND(K15/$K$35,2)</f>
        <v>0.03</v>
      </c>
      <c r="M15" s="307" t="n">
        <f aca="false">K15/$K$14</f>
        <v>516.129032258065</v>
      </c>
      <c r="N15" s="308" t="n">
        <f aca="false">K15/$K$13</f>
        <v>963.855421686747</v>
      </c>
      <c r="O15" s="302"/>
      <c r="Q15" s="0" t="n">
        <f aca="false">SUM(K15:K26)</f>
        <v>2930400</v>
      </c>
    </row>
    <row r="16" customFormat="false" ht="14.65" hidden="false" customHeight="true" outlineLevel="0" collapsed="false">
      <c r="A16" s="289"/>
      <c r="B16" s="297"/>
      <c r="C16" s="309"/>
      <c r="D16" s="212" t="s">
        <v>160</v>
      </c>
      <c r="K16" s="284" t="n">
        <v>570000</v>
      </c>
      <c r="L16" s="306" t="n">
        <f aca="false">ROUND(K16/$K$35,2)</f>
        <v>0.11</v>
      </c>
      <c r="M16" s="307" t="n">
        <f aca="false">K16/$K$14</f>
        <v>1838.70967741936</v>
      </c>
      <c r="N16" s="308" t="n">
        <f aca="false">K16/$K$13</f>
        <v>3433.73493975904</v>
      </c>
      <c r="O16" s="302"/>
    </row>
    <row r="17" customFormat="false" ht="14.65" hidden="false" customHeight="true" outlineLevel="0" collapsed="false">
      <c r="A17" s="289"/>
      <c r="B17" s="310"/>
      <c r="C17" s="309"/>
      <c r="D17" s="212" t="s">
        <v>161</v>
      </c>
      <c r="J17" s="109"/>
      <c r="K17" s="284" t="n">
        <v>660000</v>
      </c>
      <c r="L17" s="306" t="n">
        <f aca="false">ROUND(K17/$K$35,2)</f>
        <v>0.12</v>
      </c>
      <c r="M17" s="307" t="n">
        <f aca="false">K17/$K$14</f>
        <v>2129.03225806452</v>
      </c>
      <c r="N17" s="308" t="n">
        <f aca="false">K17/$K$13</f>
        <v>3975.90361445783</v>
      </c>
      <c r="O17" s="302"/>
    </row>
    <row r="18" customFormat="false" ht="14.65" hidden="false" customHeight="true" outlineLevel="0" collapsed="false">
      <c r="A18" s="289"/>
      <c r="B18" s="310"/>
      <c r="C18" s="309"/>
      <c r="D18" s="212" t="s">
        <v>162</v>
      </c>
      <c r="J18" s="109"/>
      <c r="K18" s="284" t="n">
        <v>100000</v>
      </c>
      <c r="L18" s="306" t="n">
        <f aca="false">ROUND(K18/$K$35,2)</f>
        <v>0.02</v>
      </c>
      <c r="M18" s="307" t="n">
        <f aca="false">K18/$K$14</f>
        <v>322.58064516129</v>
      </c>
      <c r="N18" s="308" t="n">
        <f aca="false">K18/$K$13</f>
        <v>602.409638554217</v>
      </c>
      <c r="O18" s="302"/>
    </row>
    <row r="19" customFormat="false" ht="14.65" hidden="false" customHeight="true" outlineLevel="0" collapsed="false">
      <c r="A19" s="289"/>
      <c r="B19" s="310"/>
      <c r="C19" s="309"/>
      <c r="D19" s="212" t="s">
        <v>163</v>
      </c>
      <c r="J19" s="109"/>
      <c r="K19" s="284" t="n">
        <v>115000</v>
      </c>
      <c r="L19" s="306" t="n">
        <f aca="false">ROUND(K19/$K$35,2)</f>
        <v>0.02</v>
      </c>
      <c r="M19" s="307" t="n">
        <f aca="false">K19/$K$14</f>
        <v>370.967741935484</v>
      </c>
      <c r="N19" s="308" t="n">
        <f aca="false">K19/$K$13</f>
        <v>692.771084337349</v>
      </c>
      <c r="O19" s="302"/>
    </row>
    <row r="20" customFormat="false" ht="14.65" hidden="false" customHeight="true" outlineLevel="0" collapsed="false">
      <c r="A20" s="289"/>
      <c r="B20" s="310"/>
      <c r="C20" s="309"/>
      <c r="D20" s="109" t="s">
        <v>164</v>
      </c>
      <c r="F20" s="0" t="s">
        <v>165</v>
      </c>
      <c r="J20" s="109"/>
      <c r="K20" s="284" t="n">
        <v>165000</v>
      </c>
      <c r="L20" s="306" t="n">
        <f aca="false">ROUND(K20/$K$35,2)</f>
        <v>0.03</v>
      </c>
      <c r="M20" s="307" t="n">
        <f aca="false">K20/$K$14</f>
        <v>532.258064516129</v>
      </c>
      <c r="N20" s="308" t="n">
        <f aca="false">K20/$K$13</f>
        <v>993.975903614458</v>
      </c>
      <c r="O20" s="302"/>
    </row>
    <row r="21" customFormat="false" ht="14.65" hidden="false" customHeight="true" outlineLevel="0" collapsed="false">
      <c r="A21" s="289"/>
      <c r="B21" s="310"/>
      <c r="C21" s="309"/>
      <c r="D21" s="311" t="s">
        <v>166</v>
      </c>
      <c r="J21" s="109"/>
      <c r="K21" s="284" t="n">
        <v>320000</v>
      </c>
      <c r="L21" s="306" t="n">
        <f aca="false">ROUND(K21/$K$35,2)</f>
        <v>0.06</v>
      </c>
      <c r="M21" s="307" t="n">
        <f aca="false">K21/$K$14</f>
        <v>1032.25806451613</v>
      </c>
      <c r="N21" s="308" t="n">
        <f aca="false">K21/$K$13</f>
        <v>1927.71084337349</v>
      </c>
      <c r="O21" s="302"/>
    </row>
    <row r="22" customFormat="false" ht="14.65" hidden="false" customHeight="true" outlineLevel="0" collapsed="false">
      <c r="A22" s="289"/>
      <c r="B22" s="310"/>
      <c r="C22" s="109"/>
      <c r="D22" s="0" t="s">
        <v>167</v>
      </c>
      <c r="J22" s="109"/>
      <c r="K22" s="276" t="s">
        <v>65</v>
      </c>
      <c r="L22" s="306" t="s">
        <v>65</v>
      </c>
      <c r="M22" s="307"/>
      <c r="N22" s="308" t="n">
        <f aca="false">0*0</f>
        <v>0</v>
      </c>
      <c r="O22" s="302"/>
    </row>
    <row r="23" customFormat="false" ht="14.65" hidden="false" customHeight="true" outlineLevel="0" collapsed="false">
      <c r="A23" s="289"/>
      <c r="B23" s="310"/>
      <c r="C23" s="309"/>
      <c r="D23" s="212" t="s">
        <v>168</v>
      </c>
      <c r="F23" s="0" t="s">
        <v>65</v>
      </c>
      <c r="G23" s="0" t="s">
        <v>65</v>
      </c>
      <c r="J23" s="109"/>
      <c r="K23" s="284" t="n">
        <v>95400</v>
      </c>
      <c r="L23" s="312" t="n">
        <f aca="false">ROUND(SUM(K22:K24)/$K$35,2)</f>
        <v>0.08</v>
      </c>
      <c r="M23" s="307" t="n">
        <f aca="false">K23/$K$14</f>
        <v>307.741935483871</v>
      </c>
      <c r="N23" s="308" t="n">
        <f aca="false">K23/$K$13</f>
        <v>574.698795180723</v>
      </c>
      <c r="O23" s="302"/>
    </row>
    <row r="24" customFormat="false" ht="14.65" hidden="false" customHeight="true" outlineLevel="0" collapsed="false">
      <c r="A24" s="289"/>
      <c r="B24" s="310"/>
      <c r="C24" s="309"/>
      <c r="D24" s="4" t="s">
        <v>169</v>
      </c>
      <c r="J24" s="109"/>
      <c r="K24" s="284" t="n">
        <v>330000</v>
      </c>
      <c r="L24" s="306" t="s">
        <v>65</v>
      </c>
      <c r="M24" s="313"/>
      <c r="N24" s="308" t="n">
        <f aca="false">K24/$K$13</f>
        <v>1987.95180722892</v>
      </c>
      <c r="O24" s="302"/>
    </row>
    <row r="25" customFormat="false" ht="14.65" hidden="false" customHeight="true" outlineLevel="0" collapsed="false">
      <c r="B25" s="310"/>
      <c r="C25" s="309"/>
      <c r="D25" s="212" t="s">
        <v>170</v>
      </c>
      <c r="J25" s="109"/>
      <c r="K25" s="284" t="n">
        <v>90000</v>
      </c>
      <c r="L25" s="306" t="n">
        <f aca="false">ROUND(K25/$K$35,2)</f>
        <v>0.02</v>
      </c>
      <c r="M25" s="307" t="n">
        <f aca="false">K25/$K$14</f>
        <v>290.322580645161</v>
      </c>
      <c r="N25" s="308" t="n">
        <f aca="false">K25/$K$13</f>
        <v>542.168674698795</v>
      </c>
      <c r="O25" s="302"/>
    </row>
    <row r="26" customFormat="false" ht="14.65" hidden="false" customHeight="true" outlineLevel="0" collapsed="false">
      <c r="B26" s="310"/>
      <c r="C26" s="309"/>
      <c r="D26" s="212" t="s">
        <v>171</v>
      </c>
      <c r="E26" s="298"/>
      <c r="J26" s="109"/>
      <c r="K26" s="284" t="n">
        <v>325000</v>
      </c>
      <c r="L26" s="306" t="n">
        <f aca="false">ROUND(K26/$K$35,2)</f>
        <v>0.06</v>
      </c>
      <c r="M26" s="307" t="n">
        <f aca="false">K26/$K$14</f>
        <v>1048.38709677419</v>
      </c>
      <c r="N26" s="308" t="n">
        <f aca="false">K26/$K$13</f>
        <v>1957.8313253012</v>
      </c>
      <c r="O26" s="302"/>
    </row>
    <row r="27" customFormat="false" ht="14.65" hidden="false" customHeight="true" outlineLevel="0" collapsed="false">
      <c r="B27" s="310"/>
      <c r="C27" s="309"/>
      <c r="D27" s="212" t="s">
        <v>172</v>
      </c>
      <c r="E27" s="298"/>
      <c r="J27" s="109"/>
      <c r="K27" s="284" t="n">
        <v>27800</v>
      </c>
      <c r="L27" s="306" t="n">
        <f aca="false">ROUND(K27/$K$35,2)</f>
        <v>0.01</v>
      </c>
      <c r="M27" s="307" t="n">
        <f aca="false">K27/$K$14</f>
        <v>89.6774193548387</v>
      </c>
      <c r="N27" s="308" t="n">
        <f aca="false">K27/$K$13</f>
        <v>167.469879518072</v>
      </c>
      <c r="O27" s="302"/>
    </row>
    <row r="28" customFormat="false" ht="14.65" hidden="false" customHeight="true" outlineLevel="0" collapsed="false">
      <c r="B28" s="310"/>
      <c r="C28" s="309"/>
      <c r="D28" s="135" t="s">
        <v>173</v>
      </c>
      <c r="J28" s="109"/>
      <c r="K28" s="284" t="n">
        <v>105000</v>
      </c>
      <c r="L28" s="306" t="n">
        <f aca="false">ROUND(K28/$K$35,2)</f>
        <v>0.02</v>
      </c>
      <c r="M28" s="307" t="n">
        <f aca="false">K28/$K$14</f>
        <v>338.709677419355</v>
      </c>
      <c r="N28" s="308" t="n">
        <f aca="false">K28/$K$13</f>
        <v>632.530120481928</v>
      </c>
      <c r="O28" s="302"/>
    </row>
    <row r="29" customFormat="false" ht="14.65" hidden="false" customHeight="true" outlineLevel="0" collapsed="false">
      <c r="B29" s="310"/>
      <c r="C29" s="309"/>
      <c r="D29" s="212" t="s">
        <v>174</v>
      </c>
      <c r="E29" s="298"/>
      <c r="J29" s="109"/>
      <c r="K29" s="284" t="n">
        <v>45000</v>
      </c>
      <c r="L29" s="306" t="n">
        <f aca="false">ROUND(K29/$K$35,2)</f>
        <v>0.01</v>
      </c>
      <c r="M29" s="307" t="n">
        <f aca="false">K29/$K$14</f>
        <v>145.161290322581</v>
      </c>
      <c r="N29" s="308" t="n">
        <f aca="false">K29/$K$13</f>
        <v>271.084337349398</v>
      </c>
      <c r="O29" s="302"/>
    </row>
    <row r="30" customFormat="false" ht="14.65" hidden="false" customHeight="true" outlineLevel="0" collapsed="false">
      <c r="B30" s="310"/>
      <c r="C30" s="309"/>
      <c r="D30" s="212" t="s">
        <v>175</v>
      </c>
      <c r="K30" s="284" t="n">
        <v>255000</v>
      </c>
      <c r="L30" s="306" t="n">
        <f aca="false">ROUND(K30/$K$35,2)</f>
        <v>0.05</v>
      </c>
      <c r="M30" s="307" t="n">
        <f aca="false">K30/$K$14</f>
        <v>822.58064516129</v>
      </c>
      <c r="N30" s="308" t="n">
        <f aca="false">K30/$K$13</f>
        <v>1536.14457831325</v>
      </c>
      <c r="O30" s="302"/>
    </row>
    <row r="31" customFormat="false" ht="14.65" hidden="false" customHeight="true" outlineLevel="0" collapsed="false">
      <c r="B31" s="297"/>
      <c r="D31" s="212" t="s">
        <v>176</v>
      </c>
      <c r="E31" s="298"/>
      <c r="F31" s="298"/>
      <c r="G31" s="298"/>
      <c r="K31" s="314" t="n">
        <f aca="false">'REC VILLAGE COSTS BREAKDOWN'!H29</f>
        <v>1332700</v>
      </c>
      <c r="L31" s="306" t="n">
        <f aca="false">ROUND(K31/$K$35,2)</f>
        <v>0.25</v>
      </c>
      <c r="M31" s="307" t="n">
        <f aca="false">K31/$K$14</f>
        <v>4299.03225806452</v>
      </c>
      <c r="N31" s="308" t="n">
        <f aca="false">K31/$K$13</f>
        <v>8028.31325301205</v>
      </c>
      <c r="O31" s="302"/>
    </row>
    <row r="32" customFormat="false" ht="14.65" hidden="false" customHeight="true" outlineLevel="0" collapsed="false">
      <c r="B32" s="297"/>
      <c r="D32" s="212" t="s">
        <v>177</v>
      </c>
      <c r="E32" s="298"/>
      <c r="F32" s="298"/>
      <c r="G32" s="298"/>
      <c r="K32" s="212" t="n">
        <v>0</v>
      </c>
      <c r="L32" s="306" t="s">
        <v>65</v>
      </c>
      <c r="M32" s="307" t="n">
        <f aca="false">K32/$K$14</f>
        <v>0</v>
      </c>
      <c r="N32" s="308" t="n">
        <f aca="false">0*0</f>
        <v>0</v>
      </c>
      <c r="O32" s="302"/>
    </row>
    <row r="33" customFormat="false" ht="14.65" hidden="false" customHeight="true" outlineLevel="0" collapsed="false">
      <c r="B33" s="297"/>
      <c r="D33" s="212" t="s">
        <v>178</v>
      </c>
      <c r="E33" s="212"/>
      <c r="F33" s="298"/>
      <c r="G33" s="298"/>
      <c r="K33" s="276" t="n">
        <v>360000</v>
      </c>
      <c r="L33" s="306" t="n">
        <f aca="false">ROUND(K33/$K$35,2)</f>
        <v>0.07</v>
      </c>
      <c r="M33" s="307" t="n">
        <f aca="false">K33/$K$14</f>
        <v>1161.29032258065</v>
      </c>
      <c r="N33" s="308" t="n">
        <f aca="false">K33/$K$13</f>
        <v>2168.67469879518</v>
      </c>
      <c r="O33" s="302"/>
    </row>
    <row r="34" customFormat="false" ht="14.65" hidden="false" customHeight="true" outlineLevel="0" collapsed="false">
      <c r="B34" s="297"/>
      <c r="D34" s="212" t="s">
        <v>179</v>
      </c>
      <c r="E34" s="303"/>
      <c r="K34" s="212" t="n">
        <v>350000</v>
      </c>
      <c r="L34" s="306" t="n">
        <f aca="false">ROUND(K34/$K$35,2)</f>
        <v>0.06</v>
      </c>
      <c r="M34" s="307" t="n">
        <f aca="false">K34/$K$14</f>
        <v>1129.03225806452</v>
      </c>
      <c r="N34" s="308" t="n">
        <f aca="false">K34/$K$13</f>
        <v>2108.43373493976</v>
      </c>
      <c r="O34" s="302"/>
    </row>
    <row r="35" customFormat="false" ht="15.8" hidden="false" customHeight="true" outlineLevel="0" collapsed="false">
      <c r="B35" s="297"/>
      <c r="C35" s="303"/>
      <c r="D35" s="114" t="s">
        <v>180</v>
      </c>
      <c r="E35" s="109"/>
      <c r="F35" s="109"/>
      <c r="G35" s="109" t="s">
        <v>65</v>
      </c>
      <c r="H35" s="109"/>
      <c r="I35" s="109"/>
      <c r="J35" s="109"/>
      <c r="K35" s="315" t="n">
        <f aca="false">ROUND(SUM(K15:K34),-3)</f>
        <v>5406000</v>
      </c>
      <c r="L35" s="316" t="n">
        <f aca="false">ROUND(K35/$K$35,2)</f>
        <v>1</v>
      </c>
      <c r="M35" s="317" t="n">
        <f aca="false">K35/K14</f>
        <v>17438.7096774194</v>
      </c>
      <c r="N35" s="318" t="n">
        <f aca="false">K35/$K$13</f>
        <v>32566.265060241</v>
      </c>
      <c r="O35" s="302"/>
    </row>
    <row r="36" customFormat="false" ht="14.65" hidden="false" customHeight="true" outlineLevel="0" collapsed="false">
      <c r="B36" s="297"/>
      <c r="C36" s="303" t="s">
        <v>181</v>
      </c>
      <c r="D36" s="298"/>
      <c r="E36" s="298"/>
      <c r="F36" s="298"/>
      <c r="G36" s="98"/>
      <c r="J36" s="298"/>
      <c r="L36" s="319"/>
      <c r="M36" s="320"/>
      <c r="N36" s="319"/>
      <c r="O36" s="302"/>
    </row>
    <row r="37" customFormat="false" ht="14.65" hidden="false" customHeight="true" outlineLevel="0" collapsed="false">
      <c r="B37" s="297"/>
      <c r="C37" s="309"/>
      <c r="D37" s="212" t="s">
        <v>182</v>
      </c>
      <c r="E37" s="212"/>
      <c r="F37" s="298"/>
      <c r="G37" s="298"/>
      <c r="I37" s="298"/>
      <c r="K37" s="0" t="n">
        <v>319000</v>
      </c>
      <c r="L37" s="313"/>
      <c r="M37" s="321"/>
      <c r="N37" s="308" t="n">
        <f aca="false">K37/$K$13</f>
        <v>1921.68674698795</v>
      </c>
      <c r="O37" s="302"/>
    </row>
    <row r="38" customFormat="false" ht="14.65" hidden="false" customHeight="true" outlineLevel="0" collapsed="false">
      <c r="B38" s="297"/>
      <c r="C38" s="309"/>
      <c r="D38" s="212" t="s">
        <v>183</v>
      </c>
      <c r="E38" s="212"/>
      <c r="F38" s="298"/>
      <c r="G38" s="298"/>
      <c r="K38" s="0" t="n">
        <v>70000</v>
      </c>
      <c r="L38" s="313"/>
      <c r="M38" s="321"/>
      <c r="N38" s="308" t="n">
        <f aca="false">K38/$K$13</f>
        <v>421.686746987952</v>
      </c>
      <c r="O38" s="302"/>
    </row>
    <row r="39" customFormat="false" ht="14.65" hidden="false" customHeight="true" outlineLevel="0" collapsed="false">
      <c r="B39" s="297"/>
      <c r="D39" s="212" t="s">
        <v>184</v>
      </c>
      <c r="E39" s="298"/>
      <c r="F39" s="212"/>
      <c r="G39" s="212"/>
      <c r="K39" s="212" t="n">
        <v>155000</v>
      </c>
      <c r="L39" s="313"/>
      <c r="M39" s="321"/>
      <c r="N39" s="308" t="n">
        <f aca="false">K39/$K$13</f>
        <v>933.734939759036</v>
      </c>
      <c r="O39" s="302"/>
    </row>
    <row r="40" customFormat="false" ht="15.8" hidden="false" customHeight="true" outlineLevel="0" collapsed="false">
      <c r="B40" s="297"/>
      <c r="D40" s="208" t="s">
        <v>185</v>
      </c>
      <c r="E40" s="322"/>
      <c r="F40" s="109"/>
      <c r="G40" s="109"/>
      <c r="H40" s="109"/>
      <c r="I40" s="109"/>
      <c r="J40" s="109"/>
      <c r="K40" s="323" t="n">
        <f aca="false">SUM(K37:K39)</f>
        <v>544000</v>
      </c>
      <c r="L40" s="324"/>
      <c r="M40" s="325" t="n">
        <f aca="false">K40/K14</f>
        <v>1754.83870967742</v>
      </c>
      <c r="N40" s="318" t="n">
        <f aca="false">K40/$K$13</f>
        <v>3277.10843373494</v>
      </c>
      <c r="O40" s="302"/>
    </row>
    <row r="41" customFormat="false" ht="14.65" hidden="false" customHeight="true" outlineLevel="0" collapsed="false">
      <c r="B41" s="297"/>
      <c r="C41" s="87"/>
      <c r="D41" s="284"/>
      <c r="E41" s="283"/>
      <c r="F41" s="275"/>
      <c r="G41" s="283"/>
      <c r="H41" s="87"/>
      <c r="I41" s="284"/>
      <c r="J41" s="87"/>
      <c r="K41" s="326"/>
      <c r="L41" s="327"/>
      <c r="M41" s="328"/>
      <c r="N41" s="319"/>
      <c r="O41" s="302"/>
    </row>
    <row r="42" customFormat="false" ht="15.8" hidden="false" customHeight="true" outlineLevel="0" collapsed="false">
      <c r="B42" s="329"/>
      <c r="C42" s="201" t="s">
        <v>186</v>
      </c>
      <c r="D42" s="165"/>
      <c r="E42" s="165"/>
      <c r="F42" s="165"/>
      <c r="G42" s="165"/>
      <c r="H42" s="165"/>
      <c r="I42" s="115"/>
      <c r="J42" s="165"/>
      <c r="K42" s="330" t="n">
        <f aca="false">ROUND(K35+K40,-4)</f>
        <v>5950000</v>
      </c>
      <c r="L42" s="331" t="s">
        <v>187</v>
      </c>
      <c r="M42" s="332" t="n">
        <f aca="false">(K42/$K$14)</f>
        <v>19193.5483870968</v>
      </c>
      <c r="N42" s="333" t="n">
        <f aca="false">K42/$K$13</f>
        <v>35843.3734939759</v>
      </c>
      <c r="O42" s="334"/>
    </row>
    <row r="43" customFormat="false" ht="14.65" hidden="false" customHeight="true" outlineLevel="0" collapsed="false">
      <c r="B43" s="297"/>
      <c r="L43" s="319"/>
      <c r="M43" s="319"/>
      <c r="N43" s="319"/>
      <c r="O43" s="302"/>
    </row>
    <row r="44" customFormat="false" ht="14.65" hidden="false" customHeight="true" outlineLevel="0" collapsed="false">
      <c r="B44" s="335"/>
      <c r="C44" s="336" t="s">
        <v>187</v>
      </c>
      <c r="D44" s="337" t="s">
        <v>188</v>
      </c>
      <c r="E44" s="338"/>
      <c r="F44" s="339"/>
      <c r="G44" s="340"/>
      <c r="H44" s="341"/>
      <c r="I44" s="342"/>
      <c r="J44" s="343"/>
      <c r="K44" s="343"/>
      <c r="L44" s="342"/>
      <c r="M44" s="342"/>
      <c r="N44" s="342"/>
      <c r="O44" s="344"/>
    </row>
    <row r="45" customFormat="false" ht="14.65" hidden="false" customHeight="true" outlineLevel="0" collapsed="false">
      <c r="C45" s="345" t="s">
        <v>189</v>
      </c>
    </row>
    <row r="46" customFormat="false" ht="14.65" hidden="false" customHeight="true" outlineLevel="0" collapsed="false"/>
    <row r="47" customFormat="false" ht="14.65" hidden="false" customHeight="true" outlineLevel="0" collapsed="false">
      <c r="F47" s="12"/>
      <c r="G47" s="12"/>
      <c r="H47" s="12"/>
      <c r="J47" s="12"/>
      <c r="K47" s="12"/>
      <c r="L47" s="12"/>
      <c r="M47" s="12"/>
    </row>
    <row r="48" customFormat="false" ht="14.65" hidden="false" customHeight="true" outlineLevel="0" collapsed="false">
      <c r="F48" s="12"/>
      <c r="G48" s="12"/>
      <c r="H48" s="12"/>
      <c r="I48" s="12"/>
      <c r="J48" s="12"/>
      <c r="K48" s="12"/>
      <c r="L48" s="12"/>
      <c r="M48" s="12"/>
    </row>
    <row r="49" customFormat="false" ht="20.55" hidden="false" customHeight="true" outlineLevel="0" collapsed="false">
      <c r="C49" s="346" t="s">
        <v>190</v>
      </c>
      <c r="F49" s="12"/>
      <c r="G49" s="12"/>
      <c r="H49" s="12"/>
      <c r="I49" s="12"/>
      <c r="J49" s="12"/>
      <c r="K49" s="12"/>
      <c r="L49" s="12"/>
      <c r="M49" s="12"/>
    </row>
    <row r="51" customFormat="false" ht="14.65" hidden="false" customHeight="true" outlineLevel="0" collapsed="false"/>
    <row r="73" customFormat="false" ht="14.65" hidden="false" customHeight="true" outlineLevel="0" collapsed="false"/>
    <row r="77" customFormat="false" ht="14.65" hidden="false" customHeight="true" outlineLevel="0" collapsed="false"/>
    <row r="83" customFormat="false" ht="14.65" hidden="false" customHeight="true" outlineLevel="0" collapsed="false"/>
    <row r="85" customFormat="false" ht="14.65" hidden="false" customHeight="true" outlineLevel="0" collapsed="false"/>
    <row r="91" customFormat="false" ht="14.65" hidden="false" customHeight="true" outlineLevel="0" collapsed="false"/>
    <row r="98" customFormat="false" ht="14.65" hidden="false" customHeight="true" outlineLevel="0" collapsed="false"/>
    <row r="99" customFormat="false" ht="14.65" hidden="false" customHeight="true" outlineLevel="0" collapsed="false"/>
  </sheetData>
  <printOptions headings="false" gridLines="false" gridLinesSet="true" horizontalCentered="false" verticalCentered="false"/>
  <pageMargins left="0.575" right="0.0430555555555556" top="0.748611111111111" bottom="0.395138888888889" header="0.483333333333333" footer="0.129861111111111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Roman,Regular"&amp;12The ArroyosPreserve Luxury RV Park Campground and Recreation Village</oddHeader>
    <oddFooter>&amp;C&amp;"Times New Roman,Regular"&amp;12&amp;D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A1:M3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C33" activeCellId="0" sqref="C33"/>
    </sheetView>
  </sheetViews>
  <sheetFormatPr defaultRowHeight="12.8"/>
  <cols>
    <col collapsed="false" hidden="false" max="1" min="1" style="0" width="4.57142857142857"/>
    <col collapsed="false" hidden="false" max="2" min="2" style="0" width="24.9642857142857"/>
    <col collapsed="false" hidden="false" max="4" min="3" style="0" width="11.5714285714286"/>
    <col collapsed="false" hidden="false" max="5" min="5" style="0" width="21.1938775510204"/>
    <col collapsed="false" hidden="false" max="6" min="6" style="0" width="2.3469387755102"/>
    <col collapsed="false" hidden="false" max="7" min="7" style="0" width="8.27040816326531"/>
    <col collapsed="false" hidden="false" max="8" min="8" style="0" width="9.58673469387755"/>
    <col collapsed="false" hidden="false" max="9" min="9" style="0" width="3.61734693877551"/>
    <col collapsed="false" hidden="false" max="1025" min="10" style="0" width="11.5714285714286"/>
  </cols>
  <sheetData>
    <row r="1" customFormat="false" ht="14.65" hidden="false" customHeight="true" outlineLevel="0" collapsed="false"/>
    <row r="2" customFormat="false" ht="14.65" hidden="false" customHeight="true" outlineLevel="0" collapsed="false"/>
    <row r="3" customFormat="false" ht="14.65" hidden="false" customHeight="true" outlineLevel="0" collapsed="false"/>
    <row r="4" customFormat="false" ht="14.65" hidden="false" customHeight="true" outlineLevel="0" collapsed="false">
      <c r="C4" s="6" t="s">
        <v>191</v>
      </c>
      <c r="H4" s="347"/>
    </row>
    <row r="5" customFormat="false" ht="14.65" hidden="false" customHeight="true" outlineLevel="0" collapsed="false">
      <c r="B5" s="118" t="s">
        <v>192</v>
      </c>
      <c r="C5" s="199"/>
      <c r="D5" s="199"/>
      <c r="E5" s="348"/>
      <c r="F5" s="348"/>
      <c r="G5" s="348"/>
      <c r="H5" s="199"/>
    </row>
    <row r="6" customFormat="false" ht="14.65" hidden="false" customHeight="true" outlineLevel="0" collapsed="false">
      <c r="B6" s="199" t="s">
        <v>193</v>
      </c>
      <c r="C6" s="199"/>
      <c r="D6" s="199"/>
      <c r="E6" s="348"/>
      <c r="F6" s="348"/>
      <c r="G6" s="348"/>
      <c r="H6" s="120" t="n">
        <f aca="false">SUM(G7:G28)</f>
        <v>1332700</v>
      </c>
    </row>
    <row r="7" customFormat="false" ht="14.65" hidden="false" customHeight="true" outlineLevel="0" collapsed="false">
      <c r="B7" s="135" t="s">
        <v>194</v>
      </c>
      <c r="C7" s="135" t="s">
        <v>195</v>
      </c>
      <c r="G7" s="349" t="n">
        <v>30000</v>
      </c>
      <c r="H7" s="350" t="n">
        <f aca="false">G7/$H$29</f>
        <v>0.022510692578975</v>
      </c>
      <c r="L7" s="0" t="s">
        <v>196</v>
      </c>
      <c r="M7" s="0" t="s">
        <v>197</v>
      </c>
    </row>
    <row r="8" customFormat="false" ht="14.65" hidden="false" customHeight="true" outlineLevel="0" collapsed="false">
      <c r="B8" s="135" t="s">
        <v>198</v>
      </c>
      <c r="C8" s="135" t="s">
        <v>199</v>
      </c>
      <c r="D8" s="4"/>
      <c r="E8" s="4"/>
      <c r="F8" s="4"/>
      <c r="G8" s="351" t="n">
        <v>16500</v>
      </c>
      <c r="H8" s="350" t="n">
        <f aca="false">G8/$H$29</f>
        <v>0.0123808809184363</v>
      </c>
      <c r="J8" s="0" t="s">
        <v>200</v>
      </c>
      <c r="L8" s="0" t="n">
        <v>4000</v>
      </c>
      <c r="M8" s="0" t="n">
        <v>7500</v>
      </c>
    </row>
    <row r="9" customFormat="false" ht="14.65" hidden="false" customHeight="true" outlineLevel="0" collapsed="false">
      <c r="A9" s="309"/>
      <c r="B9" s="352" t="s">
        <v>201</v>
      </c>
      <c r="C9" s="352" t="s">
        <v>202</v>
      </c>
      <c r="D9" s="5"/>
      <c r="E9" s="5"/>
      <c r="F9" s="353" t="s">
        <v>203</v>
      </c>
      <c r="G9" s="351" t="n">
        <v>135000</v>
      </c>
      <c r="H9" s="350" t="n">
        <f aca="false">G9/$H$29</f>
        <v>0.101298116605388</v>
      </c>
      <c r="J9" s="0" t="s">
        <v>204</v>
      </c>
    </row>
    <row r="10" customFormat="false" ht="14.65" hidden="false" customHeight="true" outlineLevel="0" collapsed="false">
      <c r="A10" s="309"/>
      <c r="B10" s="106" t="s">
        <v>205</v>
      </c>
      <c r="C10" s="106" t="s">
        <v>206</v>
      </c>
      <c r="D10" s="106"/>
      <c r="E10" s="106"/>
      <c r="F10" s="106" t="s">
        <v>203</v>
      </c>
      <c r="G10" s="106" t="n">
        <v>225000</v>
      </c>
      <c r="H10" s="350" t="n">
        <f aca="false">G10/$H$29</f>
        <v>0.168830194342313</v>
      </c>
      <c r="J10" s="0" t="s">
        <v>207</v>
      </c>
    </row>
    <row r="11" customFormat="false" ht="14.65" hidden="false" customHeight="true" outlineLevel="0" collapsed="false">
      <c r="A11" s="309"/>
      <c r="B11" s="260" t="s">
        <v>208</v>
      </c>
      <c r="C11" s="260" t="s">
        <v>209</v>
      </c>
      <c r="D11" s="106"/>
      <c r="E11" s="106"/>
      <c r="F11" s="106" t="s">
        <v>203</v>
      </c>
      <c r="G11" s="257" t="n">
        <v>65000</v>
      </c>
      <c r="H11" s="350" t="n">
        <f aca="false">G11/$H$29</f>
        <v>0.0487731672544459</v>
      </c>
      <c r="J11" s="0" t="s">
        <v>210</v>
      </c>
    </row>
    <row r="12" customFormat="false" ht="14.65" hidden="false" customHeight="true" outlineLevel="0" collapsed="false">
      <c r="A12" s="309"/>
      <c r="B12" s="260" t="s">
        <v>211</v>
      </c>
      <c r="C12" s="260" t="s">
        <v>212</v>
      </c>
      <c r="D12" s="106"/>
      <c r="E12" s="106"/>
      <c r="F12" s="106" t="s">
        <v>203</v>
      </c>
      <c r="G12" s="257" t="n">
        <v>22500</v>
      </c>
      <c r="H12" s="350" t="n">
        <f aca="false">G12/$H$29</f>
        <v>0.0168830194342313</v>
      </c>
      <c r="J12" s="0" t="s">
        <v>213</v>
      </c>
    </row>
    <row r="13" customFormat="false" ht="14.65" hidden="false" customHeight="true" outlineLevel="0" collapsed="false">
      <c r="A13" s="309"/>
      <c r="B13" s="354" t="s">
        <v>214</v>
      </c>
      <c r="C13" s="260" t="s">
        <v>215</v>
      </c>
      <c r="D13" s="240"/>
      <c r="E13" s="240"/>
      <c r="F13" s="106" t="s">
        <v>203</v>
      </c>
      <c r="G13" s="351" t="n">
        <v>45000</v>
      </c>
      <c r="H13" s="350" t="n">
        <f aca="false">G13/$H$29</f>
        <v>0.0337660388684625</v>
      </c>
      <c r="J13" s="0" t="s">
        <v>216</v>
      </c>
    </row>
    <row r="14" customFormat="false" ht="14.65" hidden="false" customHeight="true" outlineLevel="0" collapsed="false">
      <c r="A14" s="309"/>
      <c r="B14" s="135" t="s">
        <v>217</v>
      </c>
      <c r="C14" s="260" t="s">
        <v>218</v>
      </c>
      <c r="D14" s="4"/>
      <c r="E14" s="4"/>
      <c r="F14" s="106" t="s">
        <v>203</v>
      </c>
      <c r="G14" s="257" t="n">
        <v>80000</v>
      </c>
      <c r="H14" s="350" t="n">
        <f aca="false">G14/$H$29</f>
        <v>0.0600285135439334</v>
      </c>
      <c r="J14" s="0" t="s">
        <v>219</v>
      </c>
    </row>
    <row r="15" customFormat="false" ht="14.65" hidden="false" customHeight="true" outlineLevel="0" collapsed="false">
      <c r="A15" s="309"/>
      <c r="B15" s="4" t="s">
        <v>220</v>
      </c>
      <c r="C15" s="4" t="s">
        <v>221</v>
      </c>
      <c r="D15" s="4"/>
      <c r="E15" s="4"/>
      <c r="F15" s="106" t="s">
        <v>203</v>
      </c>
      <c r="G15" s="106" t="n">
        <v>20000</v>
      </c>
      <c r="H15" s="350" t="n">
        <f aca="false">G15/$H$29</f>
        <v>0.0150071283859833</v>
      </c>
      <c r="J15" s="0" t="s">
        <v>222</v>
      </c>
    </row>
    <row r="16" customFormat="false" ht="14.65" hidden="false" customHeight="true" outlineLevel="0" collapsed="false">
      <c r="A16" s="309"/>
      <c r="B16" s="135" t="s">
        <v>223</v>
      </c>
      <c r="C16" s="352" t="s">
        <v>224</v>
      </c>
      <c r="D16" s="5"/>
      <c r="E16" s="5"/>
      <c r="F16" s="106" t="s">
        <v>203</v>
      </c>
      <c r="G16" s="351" t="n">
        <v>187500</v>
      </c>
      <c r="H16" s="350" t="n">
        <f aca="false">G16/$H$29</f>
        <v>0.140691828618594</v>
      </c>
      <c r="J16" s="0" t="s">
        <v>225</v>
      </c>
    </row>
    <row r="17" customFormat="false" ht="14.65" hidden="false" customHeight="true" outlineLevel="0" collapsed="false">
      <c r="A17" s="309"/>
      <c r="B17" s="4" t="s">
        <v>226</v>
      </c>
      <c r="C17" s="4" t="s">
        <v>227</v>
      </c>
      <c r="D17" s="4"/>
      <c r="E17" s="4"/>
      <c r="F17" s="106" t="s">
        <v>203</v>
      </c>
      <c r="G17" s="106" t="n">
        <v>11000</v>
      </c>
      <c r="H17" s="350" t="n">
        <f aca="false">G17/$H$29</f>
        <v>0.00825392061229084</v>
      </c>
      <c r="J17" s="0" t="s">
        <v>228</v>
      </c>
    </row>
    <row r="18" customFormat="false" ht="14.65" hidden="false" customHeight="true" outlineLevel="0" collapsed="false">
      <c r="A18" s="309"/>
      <c r="B18" s="4" t="s">
        <v>229</v>
      </c>
      <c r="C18" s="4" t="s">
        <v>230</v>
      </c>
      <c r="D18" s="4"/>
      <c r="E18" s="4"/>
      <c r="F18" s="106" t="s">
        <v>203</v>
      </c>
      <c r="G18" s="106" t="n">
        <v>27500</v>
      </c>
      <c r="H18" s="350" t="n">
        <f aca="false">G18/$H$29</f>
        <v>0.0206348015307271</v>
      </c>
    </row>
    <row r="19" customFormat="false" ht="14.65" hidden="false" customHeight="true" outlineLevel="0" collapsed="false">
      <c r="A19" s="309"/>
      <c r="B19" s="4" t="s">
        <v>231</v>
      </c>
      <c r="C19" s="4" t="s">
        <v>232</v>
      </c>
      <c r="D19" s="4"/>
      <c r="E19" s="4"/>
      <c r="F19" s="106" t="s">
        <v>203</v>
      </c>
      <c r="G19" s="106" t="n">
        <f aca="false">8*15000</f>
        <v>120000</v>
      </c>
      <c r="H19" s="350" t="n">
        <f aca="false">G19/$H$29</f>
        <v>0.0900427703159001</v>
      </c>
      <c r="J19" s="355" t="n">
        <f aca="false">SUM(G7:G11,G12,G13:G15,G22,G24:G25,G27)</f>
        <v>904500</v>
      </c>
      <c r="K19" s="0" t="s">
        <v>233</v>
      </c>
    </row>
    <row r="20" customFormat="false" ht="14.65" hidden="false" customHeight="true" outlineLevel="0" collapsed="false">
      <c r="A20" s="309"/>
      <c r="B20" s="135" t="s">
        <v>234</v>
      </c>
      <c r="C20" s="135" t="s">
        <v>235</v>
      </c>
      <c r="D20" s="4"/>
      <c r="E20" s="4"/>
      <c r="F20" s="106" t="s">
        <v>203</v>
      </c>
      <c r="G20" s="257" t="n">
        <v>3000</v>
      </c>
      <c r="H20" s="350" t="n">
        <f aca="false">G20/$H$29</f>
        <v>0.0022510692578975</v>
      </c>
      <c r="J20" s="356" t="s">
        <v>236</v>
      </c>
    </row>
    <row r="21" customFormat="false" ht="14.65" hidden="false" customHeight="true" outlineLevel="0" collapsed="false">
      <c r="A21" s="309"/>
      <c r="B21" s="357" t="s">
        <v>237</v>
      </c>
      <c r="C21" s="357" t="s">
        <v>238</v>
      </c>
      <c r="D21" s="212"/>
      <c r="E21" s="212"/>
      <c r="F21" s="106" t="s">
        <v>203</v>
      </c>
      <c r="G21" s="257" t="n">
        <v>1200</v>
      </c>
      <c r="H21" s="350" t="n">
        <f aca="false">G21/$H$29</f>
        <v>0.000900427703159001</v>
      </c>
    </row>
    <row r="22" customFormat="false" ht="14.65" hidden="false" customHeight="true" outlineLevel="0" collapsed="false">
      <c r="A22" s="309"/>
      <c r="B22" s="135" t="s">
        <v>239</v>
      </c>
      <c r="C22" s="135" t="s">
        <v>240</v>
      </c>
      <c r="D22" s="4"/>
      <c r="E22" s="4"/>
      <c r="F22" s="106" t="s">
        <v>203</v>
      </c>
      <c r="G22" s="257" t="n">
        <v>95000</v>
      </c>
      <c r="H22" s="350" t="n">
        <f aca="false">G22/$H$29</f>
        <v>0.0712838598334209</v>
      </c>
      <c r="J22" s="0" t="n">
        <f aca="false">SUM(G16:G21)</f>
        <v>350200</v>
      </c>
    </row>
    <row r="23" customFormat="false" ht="14.65" hidden="false" customHeight="true" outlineLevel="0" collapsed="false">
      <c r="A23" s="309"/>
      <c r="B23" s="4" t="s">
        <v>241</v>
      </c>
      <c r="C23" s="4" t="s">
        <v>242</v>
      </c>
      <c r="D23" s="4"/>
      <c r="E23" s="4"/>
      <c r="F23" s="106" t="s">
        <v>203</v>
      </c>
      <c r="G23" s="106" t="n">
        <v>18000</v>
      </c>
      <c r="H23" s="350" t="n">
        <f aca="false">G23/$H$29</f>
        <v>0.013506415547385</v>
      </c>
    </row>
    <row r="24" customFormat="false" ht="14.65" hidden="false" customHeight="true" outlineLevel="0" collapsed="false">
      <c r="A24" s="309"/>
      <c r="B24" s="135" t="s">
        <v>243</v>
      </c>
      <c r="C24" s="135" t="s">
        <v>244</v>
      </c>
      <c r="D24" s="4"/>
      <c r="E24" s="4"/>
      <c r="F24" s="106" t="s">
        <v>203</v>
      </c>
      <c r="G24" s="257" t="n">
        <v>5500</v>
      </c>
      <c r="H24" s="350" t="n">
        <f aca="false">G24/$H$29</f>
        <v>0.00412696030614542</v>
      </c>
      <c r="J24" s="358" t="s">
        <v>245</v>
      </c>
      <c r="K24" s="358"/>
      <c r="L24" s="358"/>
    </row>
    <row r="25" customFormat="false" ht="14.65" hidden="false" customHeight="true" outlineLevel="0" collapsed="false">
      <c r="A25" s="309"/>
      <c r="B25" s="135" t="s">
        <v>246</v>
      </c>
      <c r="C25" s="135" t="s">
        <v>247</v>
      </c>
      <c r="F25" s="106" t="s">
        <v>203</v>
      </c>
      <c r="G25" s="349" t="n">
        <v>40000</v>
      </c>
      <c r="H25" s="350" t="n">
        <f aca="false">G25/$H$29</f>
        <v>0.0300142567719667</v>
      </c>
      <c r="J25" s="0" t="s">
        <v>248</v>
      </c>
      <c r="L25" s="0" t="s">
        <v>249</v>
      </c>
    </row>
    <row r="26" customFormat="false" ht="14.65" hidden="false" customHeight="true" outlineLevel="0" collapsed="false">
      <c r="B26" s="357" t="s">
        <v>250</v>
      </c>
      <c r="C26" s="357" t="s">
        <v>251</v>
      </c>
      <c r="D26" s="298"/>
      <c r="E26" s="212"/>
      <c r="F26" s="212"/>
      <c r="G26" s="359" t="n">
        <v>0</v>
      </c>
      <c r="H26" s="350" t="n">
        <f aca="false">G26/$H$29</f>
        <v>0</v>
      </c>
      <c r="J26" s="0" t="s">
        <v>252</v>
      </c>
      <c r="L26" s="0" t="s">
        <v>253</v>
      </c>
    </row>
    <row r="27" customFormat="false" ht="14.65" hidden="false" customHeight="true" outlineLevel="0" collapsed="false">
      <c r="A27" s="309"/>
      <c r="B27" s="135" t="s">
        <v>254</v>
      </c>
      <c r="C27" s="135" t="s">
        <v>255</v>
      </c>
      <c r="G27" s="349" t="n">
        <v>125000</v>
      </c>
      <c r="H27" s="350" t="n">
        <f aca="false">G27/$H$29</f>
        <v>0.0937945524123959</v>
      </c>
      <c r="J27" s="0" t="s">
        <v>256</v>
      </c>
      <c r="L27" s="0" t="s">
        <v>257</v>
      </c>
    </row>
    <row r="28" customFormat="false" ht="14.65" hidden="false" customHeight="true" outlineLevel="0" collapsed="false">
      <c r="B28" s="125" t="s">
        <v>258</v>
      </c>
      <c r="C28" s="125" t="s">
        <v>259</v>
      </c>
      <c r="D28" s="199"/>
      <c r="E28" s="199"/>
      <c r="F28" s="199"/>
      <c r="G28" s="360" t="n">
        <v>60000</v>
      </c>
      <c r="H28" s="361" t="n">
        <f aca="false">G28/$H$29</f>
        <v>0.04502138515795</v>
      </c>
    </row>
    <row r="29" customFormat="false" ht="14.65" hidden="false" customHeight="true" outlineLevel="0" collapsed="false">
      <c r="B29" s="127" t="s">
        <v>125</v>
      </c>
      <c r="C29" s="202"/>
      <c r="D29" s="202"/>
      <c r="E29" s="202"/>
      <c r="F29" s="202"/>
      <c r="G29" s="202"/>
      <c r="H29" s="127" t="n">
        <f aca="false">SUM(G18:G28)+SUM(G7:G17)</f>
        <v>1332700</v>
      </c>
    </row>
    <row r="30" customFormat="false" ht="14.65" hidden="false" customHeight="true" outlineLevel="0" collapsed="false">
      <c r="B30" s="362" t="s">
        <v>260</v>
      </c>
      <c r="C30" s="362" t="n">
        <f aca="false">SUM(G9:G25)</f>
        <v>1101200</v>
      </c>
    </row>
    <row r="31" customFormat="false" ht="14.65" hidden="false" customHeight="true" outlineLevel="0" collapsed="false"/>
    <row r="32" customFormat="false" ht="14.65" hidden="false" customHeight="true" outlineLevel="0" collapsed="false">
      <c r="D32" s="0" t="s">
        <v>65</v>
      </c>
    </row>
  </sheetData>
  <printOptions headings="false" gridLines="false" gridLinesSet="true" horizontalCentered="false" verticalCentered="false"/>
  <pageMargins left="0.286805555555556" right="0.2625" top="1.13958333333333" bottom="0.690972222222222" header="0.446527777777778" footer="0.295833333333333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&amp;C&amp;"Arial,Bold"&amp;12The Arroyos Preserve
&amp;"Arial,Narrow"&amp;A</oddHeader>
    <oddFooter>&amp;L&amp;7Landway Development Corp &amp;F &amp;A 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C5000B"/>
    <pageSetUpPr fitToPage="false"/>
  </sheetPr>
  <dimension ref="A1:AA11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H29" activeCellId="0" sqref="H29"/>
    </sheetView>
  </sheetViews>
  <sheetFormatPr defaultRowHeight="12.8"/>
  <cols>
    <col collapsed="false" hidden="false" max="1" min="1" style="0" width="3.61734693877551"/>
    <col collapsed="false" hidden="false" max="2" min="2" style="0" width="2.00510204081633"/>
    <col collapsed="false" hidden="false" max="3" min="3" style="0" width="3.13265306122449"/>
    <col collapsed="false" hidden="false" max="4" min="4" style="0" width="14.4081632653061"/>
    <col collapsed="false" hidden="false" max="5" min="5" style="0" width="8.36734693877551"/>
    <col collapsed="false" hidden="false" max="6" min="6" style="12" width="13.515306122449"/>
    <col collapsed="false" hidden="false" max="7" min="7" style="12" width="9.03571428571429"/>
    <col collapsed="false" hidden="false" max="8" min="8" style="12" width="9.37755102040816"/>
    <col collapsed="false" hidden="false" max="9" min="9" style="12" width="8.8265306122449"/>
    <col collapsed="false" hidden="false" max="10" min="10" style="12" width="7.30612244897959"/>
    <col collapsed="false" hidden="false" max="11" min="11" style="12" width="9.37755102040816"/>
    <col collapsed="false" hidden="false" max="12" min="12" style="12" width="5.23979591836735"/>
    <col collapsed="false" hidden="false" max="13" min="13" style="12" width="7.03061224489796"/>
    <col collapsed="false" hidden="false" max="14" min="14" style="0" width="7.1734693877551"/>
    <col collapsed="false" hidden="false" max="15" min="15" style="0" width="2.87755102040816"/>
    <col collapsed="false" hidden="false" max="16" min="16" style="0" width="11.5357142857143"/>
    <col collapsed="false" hidden="false" max="17" min="17" style="0" width="10.8979591836735"/>
    <col collapsed="false" hidden="false" max="19" min="18" style="0" width="5.92857142857143"/>
    <col collapsed="false" hidden="false" max="20" min="20" style="0" width="5.23979591836735"/>
    <col collapsed="false" hidden="false" max="21" min="21" style="0" width="8.41326530612245"/>
    <col collapsed="false" hidden="false" max="22" min="22" style="0" width="6.19897959183674"/>
    <col collapsed="false" hidden="false" max="23" min="23" style="0" width="9.56632653061224"/>
    <col collapsed="false" hidden="false" max="1025" min="24" style="0" width="11.5204081632653"/>
  </cols>
  <sheetData>
    <row r="1" customFormat="false" ht="12.8" hidden="false" customHeight="true" outlineLevel="0" collapsed="false">
      <c r="A1" s="168"/>
      <c r="B1" s="363"/>
      <c r="C1" s="87"/>
      <c r="D1" s="87"/>
      <c r="E1" s="87"/>
      <c r="F1" s="87"/>
      <c r="G1" s="87"/>
      <c r="H1" s="87"/>
      <c r="I1" s="87"/>
      <c r="J1" s="87"/>
      <c r="K1" s="87"/>
      <c r="L1" s="87"/>
      <c r="M1" s="364"/>
      <c r="N1" s="87"/>
      <c r="O1" s="87"/>
      <c r="P1" s="119" t="n">
        <f aca="false">W2+W3</f>
        <v>435518</v>
      </c>
      <c r="Q1" s="120" t="s">
        <v>40</v>
      </c>
      <c r="R1" s="103" t="n">
        <f aca="false">SUM(R2:R6)</f>
        <v>122</v>
      </c>
      <c r="S1" s="121"/>
      <c r="T1" s="102"/>
      <c r="U1" s="122" t="s">
        <v>41</v>
      </c>
      <c r="V1" s="365" t="s">
        <v>261</v>
      </c>
      <c r="W1" s="121" t="s">
        <v>42</v>
      </c>
      <c r="X1" s="124" t="s">
        <v>43</v>
      </c>
      <c r="Y1" s="121" t="s">
        <v>44</v>
      </c>
    </row>
    <row r="2" customFormat="false" ht="12.8" hidden="false" customHeight="true" outlineLevel="0" collapsed="false">
      <c r="A2" s="168"/>
      <c r="B2" s="283"/>
      <c r="C2" s="283"/>
      <c r="D2" s="284" t="s">
        <v>262</v>
      </c>
      <c r="E2" s="366" t="s">
        <v>263</v>
      </c>
      <c r="F2" s="0"/>
      <c r="G2" s="283"/>
      <c r="H2" s="283"/>
      <c r="I2" s="277"/>
      <c r="J2" s="283"/>
      <c r="K2" s="277"/>
      <c r="L2" s="283"/>
      <c r="M2" s="367"/>
      <c r="N2" s="359"/>
      <c r="O2" s="87"/>
      <c r="P2" s="4" t="s">
        <v>45</v>
      </c>
      <c r="Q2" s="4"/>
      <c r="R2" s="137" t="n">
        <v>63</v>
      </c>
      <c r="S2" s="138" t="n">
        <v>46</v>
      </c>
      <c r="T2" s="139" t="s">
        <v>46</v>
      </c>
      <c r="U2" s="140" t="n">
        <v>0.8</v>
      </c>
      <c r="V2" s="137" t="n">
        <f aca="false">360-(360*U2)</f>
        <v>72</v>
      </c>
      <c r="W2" s="141" t="n">
        <f aca="false">(R2*S2)*365*(1-U2)</f>
        <v>211554</v>
      </c>
      <c r="X2" s="97" t="n">
        <f aca="false">ROUND(W2/$W$26,2)</f>
        <v>0.14</v>
      </c>
      <c r="Y2" s="4" t="n">
        <f aca="false">W2/R2</f>
        <v>3358</v>
      </c>
      <c r="Z2" s="150" t="n">
        <f aca="false">V2*R2</f>
        <v>4536</v>
      </c>
    </row>
    <row r="3" customFormat="false" ht="12.8" hidden="false" customHeight="true" outlineLevel="0" collapsed="false">
      <c r="D3" s="0" t="s">
        <v>264</v>
      </c>
      <c r="F3" s="0"/>
      <c r="G3" s="0"/>
      <c r="H3" s="0" t="n">
        <v>320000</v>
      </c>
      <c r="I3" s="0"/>
      <c r="J3" s="0"/>
      <c r="K3" s="0"/>
      <c r="L3" s="0"/>
      <c r="M3" s="0"/>
      <c r="P3" s="4" t="s">
        <v>47</v>
      </c>
      <c r="Q3" s="4"/>
      <c r="R3" s="137" t="n">
        <v>59</v>
      </c>
      <c r="S3" s="138" t="n">
        <v>52</v>
      </c>
      <c r="T3" s="139" t="s">
        <v>46</v>
      </c>
      <c r="U3" s="140" t="n">
        <v>0.8</v>
      </c>
      <c r="V3" s="137" t="n">
        <f aca="false">360-(360*U3)</f>
        <v>72</v>
      </c>
      <c r="W3" s="141" t="n">
        <f aca="false">(R3*S3)*365*(1-U3)</f>
        <v>223964</v>
      </c>
      <c r="X3" s="97" t="n">
        <f aca="false">ROUND(W3/$W$26,2)</f>
        <v>0.15</v>
      </c>
      <c r="Y3" s="4" t="n">
        <f aca="false">W3/R3</f>
        <v>3796</v>
      </c>
      <c r="Z3" s="150" t="n">
        <f aca="false">V3*R3</f>
        <v>4248</v>
      </c>
    </row>
    <row r="4" customFormat="false" ht="12.8" hidden="false" customHeight="true" outlineLevel="0" collapsed="false">
      <c r="D4" s="0" t="s">
        <v>265</v>
      </c>
      <c r="F4" s="0"/>
      <c r="G4" s="0"/>
      <c r="H4" s="150" t="n">
        <f aca="false">SUM(G5:G9)</f>
        <v>258000</v>
      </c>
      <c r="I4" s="0"/>
      <c r="J4" s="0"/>
      <c r="K4" s="0"/>
      <c r="L4" s="0"/>
      <c r="M4" s="0"/>
      <c r="P4" s="4" t="s">
        <v>48</v>
      </c>
      <c r="Q4" s="4"/>
      <c r="R4" s="137" t="n">
        <v>0</v>
      </c>
      <c r="S4" s="138" t="n">
        <v>120</v>
      </c>
      <c r="T4" s="139" t="s">
        <v>46</v>
      </c>
      <c r="U4" s="140" t="n">
        <v>0.85</v>
      </c>
      <c r="V4" s="137"/>
      <c r="W4" s="141" t="n">
        <f aca="false">(R4*S4)*365*(1-U4)</f>
        <v>0</v>
      </c>
      <c r="X4" s="97" t="n">
        <f aca="false">ROUND(W4/$W$26,2)</f>
        <v>0</v>
      </c>
      <c r="Y4" s="4"/>
    </row>
    <row r="5" customFormat="false" ht="12.8" hidden="false" customHeight="true" outlineLevel="0" collapsed="false">
      <c r="E5" s="0" t="s">
        <v>266</v>
      </c>
      <c r="F5" s="0"/>
      <c r="G5" s="0" t="n">
        <v>65000</v>
      </c>
      <c r="H5" s="0"/>
      <c r="I5" s="0"/>
      <c r="J5" s="0"/>
      <c r="K5" s="0"/>
      <c r="L5" s="0"/>
      <c r="M5" s="0"/>
      <c r="P5" s="4" t="s">
        <v>49</v>
      </c>
      <c r="Q5" s="4"/>
      <c r="R5" s="137" t="n">
        <v>0</v>
      </c>
      <c r="S5" s="138" t="n">
        <v>69</v>
      </c>
      <c r="T5" s="139" t="s">
        <v>46</v>
      </c>
      <c r="U5" s="140" t="n">
        <v>0.8</v>
      </c>
      <c r="V5" s="137"/>
      <c r="W5" s="141" t="n">
        <f aca="false">(R5*S5)*365*(1-U5)</f>
        <v>0</v>
      </c>
      <c r="X5" s="97" t="n">
        <f aca="false">ROUND(W5/$W$26,2)</f>
        <v>0</v>
      </c>
      <c r="Y5" s="4"/>
    </row>
    <row r="6" customFormat="false" ht="12.8" hidden="false" customHeight="true" outlineLevel="0" collapsed="false">
      <c r="E6" s="0" t="s">
        <v>267</v>
      </c>
      <c r="F6" s="0"/>
      <c r="G6" s="0" t="n">
        <v>60000</v>
      </c>
      <c r="H6" s="0"/>
      <c r="I6" s="0"/>
      <c r="J6" s="0"/>
      <c r="K6" s="0"/>
      <c r="L6" s="0"/>
      <c r="M6" s="0"/>
      <c r="P6" s="4" t="s">
        <v>50</v>
      </c>
      <c r="Q6" s="4"/>
      <c r="R6" s="137" t="n">
        <v>0</v>
      </c>
      <c r="S6" s="138" t="n">
        <v>35</v>
      </c>
      <c r="T6" s="139" t="s">
        <v>46</v>
      </c>
      <c r="U6" s="140" t="n">
        <v>0.9</v>
      </c>
      <c r="V6" s="137"/>
      <c r="W6" s="141" t="n">
        <f aca="false">(R6*S6)*365*(1-U6)</f>
        <v>0</v>
      </c>
      <c r="X6" s="97" t="n">
        <f aca="false">ROUND(W6/$W$26,2)</f>
        <v>0</v>
      </c>
      <c r="Y6" s="4"/>
    </row>
    <row r="7" customFormat="false" ht="12.8" hidden="false" customHeight="true" outlineLevel="0" collapsed="false">
      <c r="E7" s="0" t="s">
        <v>268</v>
      </c>
      <c r="F7" s="0"/>
      <c r="G7" s="0" t="n">
        <v>90000</v>
      </c>
      <c r="H7" s="0"/>
      <c r="I7" s="0"/>
      <c r="J7" s="0"/>
      <c r="K7" s="0"/>
      <c r="L7" s="0"/>
      <c r="M7" s="0"/>
      <c r="P7" s="4"/>
      <c r="Q7" s="4"/>
      <c r="R7" s="137"/>
      <c r="S7" s="138"/>
      <c r="T7" s="139"/>
      <c r="U7" s="140"/>
      <c r="V7" s="137"/>
      <c r="W7" s="151" t="n">
        <f aca="false">SUM(W2:W6)</f>
        <v>435518</v>
      </c>
      <c r="X7" s="97"/>
      <c r="Y7" s="4"/>
    </row>
    <row r="8" customFormat="false" ht="12.8" hidden="false" customHeight="true" outlineLevel="0" collapsed="false">
      <c r="E8" s="0" t="s">
        <v>269</v>
      </c>
      <c r="F8" s="0"/>
      <c r="G8" s="0" t="n">
        <v>25000</v>
      </c>
      <c r="H8" s="0"/>
      <c r="I8" s="0"/>
      <c r="J8" s="0"/>
      <c r="K8" s="0"/>
      <c r="L8" s="0"/>
      <c r="M8" s="0"/>
      <c r="P8" s="153" t="n">
        <f aca="false">W9+W10+W11+W12</f>
        <v>351750.5</v>
      </c>
      <c r="Q8" s="154" t="s">
        <v>40</v>
      </c>
      <c r="R8" s="155" t="n">
        <f aca="false">SUM(R9:R12)</f>
        <v>52</v>
      </c>
      <c r="S8" s="156"/>
      <c r="T8" s="112"/>
      <c r="U8" s="157"/>
      <c r="V8" s="113"/>
      <c r="W8" s="158"/>
      <c r="X8" s="159"/>
      <c r="Y8" s="112"/>
    </row>
    <row r="9" customFormat="false" ht="12.8" hidden="false" customHeight="true" outlineLevel="0" collapsed="false">
      <c r="E9" s="0" t="s">
        <v>270</v>
      </c>
      <c r="F9" s="0"/>
      <c r="G9" s="0" t="n">
        <v>18000</v>
      </c>
      <c r="H9" s="0"/>
      <c r="I9" s="0"/>
      <c r="J9" s="0"/>
      <c r="K9" s="0"/>
      <c r="L9" s="0"/>
      <c r="M9" s="0"/>
      <c r="P9" s="4" t="s">
        <v>45</v>
      </c>
      <c r="Q9" s="4"/>
      <c r="R9" s="137" t="n">
        <v>29</v>
      </c>
      <c r="S9" s="138" t="n">
        <v>56</v>
      </c>
      <c r="T9" s="139" t="s">
        <v>46</v>
      </c>
      <c r="U9" s="140" t="n">
        <v>0.7</v>
      </c>
      <c r="V9" s="137" t="n">
        <f aca="false">360-(360*U9)</f>
        <v>108</v>
      </c>
      <c r="W9" s="141" t="n">
        <f aca="false">(R9*S9)*365*(1-U9)</f>
        <v>177828</v>
      </c>
      <c r="X9" s="97" t="n">
        <f aca="false">ROUND(W9/$W$26,2)</f>
        <v>0.12</v>
      </c>
      <c r="Y9" s="4" t="n">
        <f aca="false">W9/R9</f>
        <v>6132</v>
      </c>
      <c r="Z9" s="150" t="n">
        <f aca="false">V9*R9</f>
        <v>3132</v>
      </c>
    </row>
    <row r="10" customFormat="false" ht="12.8" hidden="false" customHeight="true" outlineLevel="0" collapsed="false">
      <c r="D10" s="0" t="s">
        <v>271</v>
      </c>
      <c r="F10" s="0"/>
      <c r="G10" s="0"/>
      <c r="H10" s="0" t="n">
        <v>750000</v>
      </c>
      <c r="I10" s="0"/>
      <c r="J10" s="0"/>
      <c r="K10" s="0"/>
      <c r="L10" s="0"/>
      <c r="M10" s="0"/>
      <c r="P10" s="4" t="s">
        <v>50</v>
      </c>
      <c r="Q10" s="4"/>
      <c r="R10" s="137" t="n">
        <v>7</v>
      </c>
      <c r="S10" s="138" t="n">
        <v>35</v>
      </c>
      <c r="T10" s="139" t="s">
        <v>46</v>
      </c>
      <c r="U10" s="140" t="n">
        <v>0.9</v>
      </c>
      <c r="V10" s="137" t="n">
        <f aca="false">360-(360*U10)</f>
        <v>36</v>
      </c>
      <c r="W10" s="141" t="n">
        <f aca="false">(R10*S10)*365*(1-U10)</f>
        <v>8942.5</v>
      </c>
      <c r="X10" s="97" t="n">
        <f aca="false">ROUND(W10/$W$26,2)</f>
        <v>0.01</v>
      </c>
      <c r="Y10" s="4" t="n">
        <f aca="false">W10/R10</f>
        <v>1277.5</v>
      </c>
      <c r="Z10" s="150" t="n">
        <f aca="false">V10*R10</f>
        <v>252</v>
      </c>
    </row>
    <row r="11" customFormat="false" ht="12.8" hidden="false" customHeight="true" outlineLevel="0" collapsed="false">
      <c r="D11" s="0" t="s">
        <v>272</v>
      </c>
      <c r="F11" s="0"/>
      <c r="G11" s="0"/>
      <c r="H11" s="368" t="s">
        <v>273</v>
      </c>
      <c r="I11" s="0"/>
      <c r="J11" s="0"/>
      <c r="K11" s="0"/>
      <c r="L11" s="0"/>
      <c r="M11" s="0"/>
      <c r="P11" s="4" t="s">
        <v>53</v>
      </c>
      <c r="Q11" s="4"/>
      <c r="R11" s="137" t="n">
        <v>8</v>
      </c>
      <c r="S11" s="138" t="n">
        <v>94</v>
      </c>
      <c r="T11" s="139" t="s">
        <v>46</v>
      </c>
      <c r="U11" s="140" t="n">
        <v>0.75</v>
      </c>
      <c r="V11" s="137" t="n">
        <f aca="false">360-(360*U11)</f>
        <v>90</v>
      </c>
      <c r="W11" s="141" t="n">
        <f aca="false">(R11*S11)*365*(1-U11)</f>
        <v>68620</v>
      </c>
      <c r="X11" s="97" t="n">
        <f aca="false">ROUND(W11/$W$26,2)</f>
        <v>0.05</v>
      </c>
      <c r="Y11" s="4" t="n">
        <f aca="false">W11/R11</f>
        <v>8577.5</v>
      </c>
      <c r="Z11" s="150" t="n">
        <f aca="false">V11*R11</f>
        <v>720</v>
      </c>
    </row>
    <row r="12" customFormat="false" ht="14.65" hidden="false" customHeight="true" outlineLevel="0" collapsed="false">
      <c r="D12" s="0" t="s">
        <v>274</v>
      </c>
      <c r="F12" s="0"/>
      <c r="G12" s="0"/>
      <c r="H12" s="0" t="n">
        <v>740000</v>
      </c>
      <c r="I12" s="0"/>
      <c r="J12" s="0"/>
      <c r="K12" s="0"/>
      <c r="L12" s="0"/>
      <c r="M12" s="0"/>
      <c r="P12" s="4" t="s">
        <v>54</v>
      </c>
      <c r="Q12" s="4"/>
      <c r="R12" s="137" t="n">
        <v>8</v>
      </c>
      <c r="S12" s="138" t="n">
        <v>110</v>
      </c>
      <c r="T12" s="139" t="s">
        <v>46</v>
      </c>
      <c r="U12" s="140" t="n">
        <v>0.7</v>
      </c>
      <c r="V12" s="137" t="n">
        <f aca="false">360-(360*U12)</f>
        <v>108</v>
      </c>
      <c r="W12" s="141" t="n">
        <f aca="false">(R12*S12)*365*(1-U12)</f>
        <v>96360</v>
      </c>
      <c r="X12" s="97" t="n">
        <f aca="false">ROUND(W12/$W$26,2)</f>
        <v>0.06</v>
      </c>
      <c r="Y12" s="4" t="n">
        <f aca="false">W12/R12</f>
        <v>12045</v>
      </c>
      <c r="Z12" s="150" t="n">
        <f aca="false">V12*R12</f>
        <v>864</v>
      </c>
    </row>
    <row r="13" customFormat="false" ht="12.8" hidden="false" customHeight="true" outlineLevel="0" collapsed="false">
      <c r="D13" s="199" t="s">
        <v>175</v>
      </c>
      <c r="E13" s="199"/>
      <c r="F13" s="199"/>
      <c r="G13" s="199"/>
      <c r="H13" s="199" t="n">
        <v>65000</v>
      </c>
      <c r="I13" s="0"/>
      <c r="J13" s="0"/>
      <c r="K13" s="0"/>
      <c r="L13" s="0"/>
      <c r="M13" s="0"/>
      <c r="P13" s="4"/>
      <c r="Q13" s="4"/>
      <c r="R13" s="137"/>
      <c r="S13" s="138"/>
      <c r="T13" s="139"/>
      <c r="U13" s="140"/>
      <c r="V13" s="137"/>
      <c r="W13" s="141"/>
      <c r="X13" s="97"/>
      <c r="Y13" s="4"/>
    </row>
    <row r="14" customFormat="false" ht="12.8" hidden="false" customHeight="true" outlineLevel="0" collapsed="false">
      <c r="D14" s="0" t="s">
        <v>275</v>
      </c>
      <c r="F14" s="0"/>
      <c r="G14" s="0"/>
      <c r="H14" s="150" t="n">
        <f aca="false">SUM(H3:H13)</f>
        <v>2133000</v>
      </c>
      <c r="I14" s="150" t="n">
        <f aca="false">H14/75</f>
        <v>28440</v>
      </c>
      <c r="J14" s="0"/>
      <c r="K14" s="0"/>
      <c r="L14" s="0"/>
      <c r="M14" s="0"/>
      <c r="P14" s="4" t="s">
        <v>55</v>
      </c>
      <c r="Q14" s="4"/>
      <c r="R14" s="137" t="n">
        <v>1</v>
      </c>
      <c r="S14" s="141"/>
      <c r="T14" s="137"/>
      <c r="U14" s="4"/>
      <c r="V14" s="137"/>
      <c r="W14" s="141" t="n">
        <v>7500</v>
      </c>
      <c r="X14" s="97" t="n">
        <f aca="false">ROUND(W14/$W$26,2)</f>
        <v>0.01</v>
      </c>
      <c r="Y14" s="4"/>
    </row>
    <row r="15" customFormat="false" ht="13.05" hidden="false" customHeight="true" outlineLevel="0" collapsed="false">
      <c r="F15" s="0"/>
      <c r="G15" s="0"/>
      <c r="H15" s="0"/>
      <c r="I15" s="0"/>
      <c r="J15" s="0"/>
      <c r="K15" s="0"/>
      <c r="L15" s="0"/>
      <c r="M15" s="0"/>
      <c r="P15" s="106" t="s">
        <v>56</v>
      </c>
      <c r="Q15" s="4"/>
      <c r="R15" s="137"/>
      <c r="S15" s="137"/>
      <c r="T15" s="137"/>
      <c r="U15" s="4"/>
      <c r="V15" s="137"/>
      <c r="W15" s="141" t="n">
        <v>20000</v>
      </c>
      <c r="X15" s="97" t="n">
        <f aca="false">ROUND(W15/$W$26,2)</f>
        <v>0.01</v>
      </c>
      <c r="Y15" s="4"/>
    </row>
    <row r="16" customFormat="false" ht="13.05" hidden="false" customHeight="true" outlineLevel="0" collapsed="false">
      <c r="F16" s="0"/>
      <c r="G16" s="0"/>
      <c r="H16" s="0"/>
      <c r="I16" s="0"/>
      <c r="J16" s="0"/>
      <c r="K16" s="0"/>
      <c r="L16" s="0"/>
      <c r="M16" s="0"/>
      <c r="O16" s="369"/>
      <c r="P16" s="106" t="s">
        <v>57</v>
      </c>
      <c r="Q16" s="106"/>
      <c r="R16" s="168"/>
      <c r="S16" s="168"/>
      <c r="T16" s="168"/>
      <c r="U16" s="106"/>
      <c r="V16" s="168"/>
      <c r="W16" s="141" t="n">
        <v>110000</v>
      </c>
      <c r="X16" s="97" t="n">
        <f aca="false">ROUND(W16/$W$26,2)</f>
        <v>0.07</v>
      </c>
      <c r="Y16" s="4"/>
    </row>
    <row r="17" customFormat="false" ht="12.8" hidden="false" customHeight="true" outlineLevel="0" collapsed="false">
      <c r="D17" s="5" t="s">
        <v>276</v>
      </c>
      <c r="E17" s="366" t="s">
        <v>277</v>
      </c>
      <c r="F17" s="0"/>
      <c r="G17" s="0"/>
      <c r="H17" s="0"/>
      <c r="I17" s="0"/>
      <c r="J17" s="0"/>
      <c r="K17" s="0"/>
      <c r="L17" s="0"/>
      <c r="M17" s="0"/>
      <c r="P17" s="106"/>
      <c r="Q17" s="87"/>
      <c r="R17" s="106"/>
      <c r="S17" s="106"/>
      <c r="T17" s="106"/>
      <c r="U17" s="106"/>
      <c r="V17" s="169" t="s">
        <v>59</v>
      </c>
      <c r="X17" s="97"/>
      <c r="Y17" s="4"/>
    </row>
    <row r="18" customFormat="false" ht="12.8" hidden="false" customHeight="true" outlineLevel="0" collapsed="false">
      <c r="D18" s="0" t="s">
        <v>278</v>
      </c>
      <c r="F18" s="0"/>
      <c r="G18" s="0"/>
      <c r="H18" s="0" t="n">
        <v>225000</v>
      </c>
      <c r="I18" s="0"/>
      <c r="J18" s="0"/>
      <c r="K18" s="0"/>
      <c r="L18" s="0"/>
      <c r="M18" s="0"/>
      <c r="P18" s="4"/>
      <c r="Q18" s="4"/>
      <c r="R18" s="4"/>
      <c r="S18" s="4"/>
      <c r="T18" s="4"/>
      <c r="U18" s="4"/>
      <c r="V18" s="4"/>
      <c r="W18" s="171" t="n">
        <f aca="false">SUM(W9:W16)</f>
        <v>489250.5</v>
      </c>
      <c r="X18" s="97"/>
      <c r="Y18" s="4"/>
    </row>
    <row r="19" customFormat="false" ht="13.05" hidden="false" customHeight="true" outlineLevel="0" collapsed="false">
      <c r="D19" s="0" t="s">
        <v>279</v>
      </c>
      <c r="F19" s="370" t="s">
        <v>280</v>
      </c>
      <c r="G19" s="0"/>
      <c r="H19" s="0" t="n">
        <v>335000</v>
      </c>
      <c r="I19" s="0"/>
      <c r="J19" s="0"/>
      <c r="K19" s="0"/>
      <c r="L19" s="0"/>
      <c r="M19" s="0"/>
      <c r="P19" s="153" t="n">
        <f aca="false">SUM(W20:W23)</f>
        <v>501993.2</v>
      </c>
      <c r="Q19" s="154" t="s">
        <v>40</v>
      </c>
      <c r="R19" s="155" t="n">
        <f aca="false">SUM(R20:R24)</f>
        <v>136</v>
      </c>
      <c r="S19" s="174"/>
      <c r="T19" s="175"/>
      <c r="U19" s="157"/>
      <c r="V19" s="113"/>
      <c r="W19" s="156"/>
      <c r="X19" s="159"/>
      <c r="Y19" s="176"/>
    </row>
    <row r="20" customFormat="false" ht="12.8" hidden="false" customHeight="true" outlineLevel="0" collapsed="false">
      <c r="D20" s="0" t="s">
        <v>281</v>
      </c>
      <c r="F20" s="366" t="s">
        <v>282</v>
      </c>
      <c r="G20" s="0"/>
      <c r="H20" s="0" t="n">
        <v>145000</v>
      </c>
      <c r="I20" s="0"/>
      <c r="J20" s="0"/>
      <c r="K20" s="0"/>
      <c r="L20" s="0"/>
      <c r="M20" s="0"/>
      <c r="P20" s="4" t="s">
        <v>45</v>
      </c>
      <c r="Q20" s="4"/>
      <c r="R20" s="137" t="n">
        <v>34</v>
      </c>
      <c r="S20" s="138" t="n">
        <v>48</v>
      </c>
      <c r="T20" s="139" t="s">
        <v>46</v>
      </c>
      <c r="U20" s="140" t="n">
        <v>0.77</v>
      </c>
      <c r="V20" s="137" t="n">
        <f aca="false">360-(360*U20)</f>
        <v>82.8</v>
      </c>
      <c r="W20" s="141" t="n">
        <f aca="false">(R20*S20)*365*(1-U20)</f>
        <v>137006.4</v>
      </c>
      <c r="X20" s="97" t="n">
        <f aca="false">ROUND(W20/$W$26,2)</f>
        <v>0.09</v>
      </c>
      <c r="Y20" s="4" t="n">
        <f aca="false">W20/R20</f>
        <v>4029.6</v>
      </c>
      <c r="Z20" s="150" t="n">
        <f aca="false">V20*R20</f>
        <v>2815.2</v>
      </c>
    </row>
    <row r="21" customFormat="false" ht="12.8" hidden="false" customHeight="true" outlineLevel="0" collapsed="false">
      <c r="D21" s="0" t="s">
        <v>283</v>
      </c>
      <c r="F21" s="0"/>
      <c r="G21" s="0"/>
      <c r="H21" s="0" t="n">
        <v>95000</v>
      </c>
      <c r="I21" s="0"/>
      <c r="J21" s="0"/>
      <c r="K21" s="0"/>
      <c r="L21" s="0"/>
      <c r="M21" s="0"/>
      <c r="P21" s="4" t="s">
        <v>62</v>
      </c>
      <c r="Q21" s="4"/>
      <c r="R21" s="137" t="n">
        <v>48</v>
      </c>
      <c r="S21" s="138" t="n">
        <v>54</v>
      </c>
      <c r="T21" s="139" t="s">
        <v>46</v>
      </c>
      <c r="U21" s="140" t="n">
        <v>0.77</v>
      </c>
      <c r="V21" s="137" t="n">
        <f aca="false">360-(360*U21)</f>
        <v>82.8</v>
      </c>
      <c r="W21" s="141" t="n">
        <f aca="false">(R21*S21)*365*(1-U21)</f>
        <v>217598.4</v>
      </c>
      <c r="X21" s="97" t="n">
        <f aca="false">ROUND(W21/$W$26,2)</f>
        <v>0.15</v>
      </c>
      <c r="Y21" s="4" t="n">
        <f aca="false">W21/R21</f>
        <v>4533.3</v>
      </c>
      <c r="Z21" s="150" t="n">
        <f aca="false">V21*R21</f>
        <v>3974.4</v>
      </c>
    </row>
    <row r="22" customFormat="false" ht="12.8" hidden="false" customHeight="true" outlineLevel="0" collapsed="false">
      <c r="D22" s="199" t="s">
        <v>284</v>
      </c>
      <c r="E22" s="199"/>
      <c r="F22" s="199"/>
      <c r="G22" s="199"/>
      <c r="H22" s="199" t="n">
        <v>110000</v>
      </c>
      <c r="I22" s="0"/>
      <c r="J22" s="0"/>
      <c r="K22" s="0"/>
      <c r="L22" s="0"/>
      <c r="M22" s="0"/>
      <c r="P22" s="4" t="s">
        <v>63</v>
      </c>
      <c r="Q22" s="4"/>
      <c r="R22" s="137" t="n">
        <v>20</v>
      </c>
      <c r="S22" s="138" t="n">
        <v>375</v>
      </c>
      <c r="T22" s="139" t="s">
        <v>51</v>
      </c>
      <c r="U22" s="140" t="n">
        <v>0.75</v>
      </c>
      <c r="V22" s="137" t="n">
        <f aca="false">360-(360*U22)</f>
        <v>90</v>
      </c>
      <c r="W22" s="141" t="n">
        <f aca="false">(R22*S22)*12*(1-U22)</f>
        <v>22500</v>
      </c>
      <c r="X22" s="97" t="n">
        <f aca="false">ROUND(W22/$W$26,2)</f>
        <v>0.02</v>
      </c>
      <c r="Y22" s="4" t="n">
        <f aca="false">W22/R22</f>
        <v>1125</v>
      </c>
      <c r="Z22" s="150" t="n">
        <f aca="false">V22*R22</f>
        <v>1800</v>
      </c>
    </row>
    <row r="23" customFormat="false" ht="14.65" hidden="false" customHeight="true" outlineLevel="0" collapsed="false">
      <c r="F23" s="0"/>
      <c r="G23" s="0"/>
      <c r="H23" s="150" t="n">
        <f aca="false">SUM(H18:H22)</f>
        <v>910000</v>
      </c>
      <c r="I23" s="150" t="n">
        <f aca="false">H23/85</f>
        <v>10705.8823529412</v>
      </c>
      <c r="J23" s="0"/>
      <c r="K23" s="0"/>
      <c r="L23" s="0"/>
      <c r="M23" s="0"/>
      <c r="P23" s="4" t="s">
        <v>53</v>
      </c>
      <c r="Q23" s="4"/>
      <c r="R23" s="137" t="n">
        <v>14</v>
      </c>
      <c r="S23" s="4" t="n">
        <v>94</v>
      </c>
      <c r="T23" s="4" t="s">
        <v>46</v>
      </c>
      <c r="U23" s="140" t="n">
        <v>0.74</v>
      </c>
      <c r="V23" s="137" t="n">
        <f aca="false">360-(360*U23)</f>
        <v>93.6</v>
      </c>
      <c r="W23" s="183" t="n">
        <f aca="false">(R23*S23)*365*(1-U23)</f>
        <v>124888.4</v>
      </c>
      <c r="X23" s="97" t="n">
        <f aca="false">ROUND(W23/$W$26,2)</f>
        <v>0.08</v>
      </c>
      <c r="Y23" s="4" t="n">
        <f aca="false">W23/R23</f>
        <v>8920.6</v>
      </c>
      <c r="Z23" s="150" t="n">
        <f aca="false">V23*R23</f>
        <v>1310.4</v>
      </c>
    </row>
    <row r="24" customFormat="false" ht="12.8" hidden="false" customHeight="true" outlineLevel="0" collapsed="false">
      <c r="F24" s="0"/>
      <c r="G24" s="0"/>
      <c r="H24" s="0"/>
      <c r="I24" s="0"/>
      <c r="J24" s="0"/>
      <c r="K24" s="0"/>
      <c r="L24" s="0"/>
      <c r="M24" s="0"/>
      <c r="P24" s="4" t="s">
        <v>64</v>
      </c>
      <c r="Q24" s="4"/>
      <c r="R24" s="137" t="n">
        <v>20</v>
      </c>
      <c r="S24" s="138" t="n">
        <v>265</v>
      </c>
      <c r="T24" s="139" t="s">
        <v>51</v>
      </c>
      <c r="U24" s="140" t="n">
        <v>0.1</v>
      </c>
      <c r="V24" s="137" t="n">
        <f aca="false">360-(360*U24)</f>
        <v>324</v>
      </c>
      <c r="W24" s="121" t="n">
        <f aca="false">(R24*S24)*12*(1-U24)</f>
        <v>57240</v>
      </c>
      <c r="X24" s="97" t="n">
        <f aca="false">ROUND(W24/$W$26,2)</f>
        <v>0.04</v>
      </c>
      <c r="Y24" s="4" t="n">
        <f aca="false">W24/R24</f>
        <v>2862</v>
      </c>
      <c r="Z24" s="150" t="n">
        <f aca="false">V24*R24</f>
        <v>6480</v>
      </c>
    </row>
    <row r="25" customFormat="false" ht="12.8" hidden="false" customHeight="true" outlineLevel="0" collapsed="false">
      <c r="F25" s="0"/>
      <c r="G25" s="0"/>
      <c r="H25" s="0"/>
      <c r="I25" s="0"/>
      <c r="J25" s="0"/>
      <c r="K25" s="0"/>
      <c r="L25" s="0"/>
      <c r="M25" s="0"/>
      <c r="P25" s="185" t="n">
        <f aca="false">P1+P8+P19</f>
        <v>1289261.7</v>
      </c>
      <c r="Q25" s="48"/>
      <c r="R25" s="186"/>
      <c r="S25" s="187"/>
      <c r="T25" s="187"/>
      <c r="U25" s="188"/>
      <c r="V25" s="186"/>
      <c r="W25" s="189" t="n">
        <f aca="false">SUM(W20:W24)</f>
        <v>559233.2</v>
      </c>
      <c r="X25" s="190" t="s">
        <v>65</v>
      </c>
      <c r="Y25" s="48"/>
    </row>
    <row r="26" customFormat="false" ht="12.8" hidden="false" customHeight="true" outlineLevel="0" collapsed="false">
      <c r="F26" s="0"/>
      <c r="G26" s="0"/>
      <c r="H26" s="0"/>
      <c r="I26" s="0"/>
      <c r="J26" s="0"/>
      <c r="K26" s="0"/>
      <c r="L26" s="0"/>
      <c r="M26" s="0"/>
      <c r="P26" s="198" t="s">
        <v>99</v>
      </c>
      <c r="Q26" s="112"/>
      <c r="R26" s="102"/>
      <c r="S26" s="113"/>
      <c r="T26" s="113"/>
      <c r="U26" s="154"/>
      <c r="V26" s="112"/>
      <c r="W26" s="199" t="n">
        <f aca="false">W7+W18+W25</f>
        <v>1484001.7</v>
      </c>
      <c r="X26" s="97" t="n">
        <f aca="false">ROUND(W26/$W$26,2)</f>
        <v>1</v>
      </c>
      <c r="Y26" s="112" t="n">
        <f aca="false">SUM(Y2:Y24)</f>
        <v>56656.5</v>
      </c>
    </row>
    <row r="27" customFormat="false" ht="12.8" hidden="false" customHeight="true" outlineLevel="0" collapsed="false">
      <c r="F27" s="0"/>
      <c r="G27" s="0"/>
      <c r="H27" s="0"/>
      <c r="I27" s="0"/>
      <c r="J27" s="0"/>
      <c r="K27" s="0"/>
      <c r="L27" s="0"/>
      <c r="M27" s="0"/>
      <c r="P27" s="203"/>
      <c r="Q27" s="204"/>
      <c r="R27" s="204"/>
      <c r="S27" s="205"/>
      <c r="T27" s="205"/>
      <c r="U27" s="206"/>
      <c r="V27" s="204"/>
      <c r="W27" s="205"/>
      <c r="X27" s="207"/>
      <c r="Y27" s="204"/>
    </row>
    <row r="28" customFormat="false" ht="12.8" hidden="false" customHeight="true" outlineLevel="0" collapsed="false">
      <c r="F28" s="0"/>
      <c r="G28" s="0"/>
      <c r="H28" s="0"/>
      <c r="I28" s="0"/>
      <c r="J28" s="0"/>
      <c r="K28" s="0"/>
      <c r="L28" s="0"/>
      <c r="M28" s="0"/>
    </row>
    <row r="29" customFormat="false" ht="12.8" hidden="false" customHeight="true" outlineLevel="0" collapsed="false">
      <c r="F29" s="0"/>
      <c r="G29" s="0"/>
      <c r="H29" s="0"/>
      <c r="I29" s="0"/>
      <c r="J29" s="0"/>
      <c r="K29" s="0"/>
      <c r="L29" s="0"/>
      <c r="M29" s="0"/>
      <c r="P29" s="0" t="s">
        <v>45</v>
      </c>
      <c r="R29" s="150" t="n">
        <f aca="false">+R2+R9+R20</f>
        <v>126</v>
      </c>
      <c r="V29" s="150" t="n">
        <f aca="false">(V2+V9+V20)/3</f>
        <v>87.6</v>
      </c>
      <c r="W29" s="150" t="n">
        <f aca="false">V29*R29</f>
        <v>11037.6</v>
      </c>
      <c r="AA29" s="150" t="n">
        <f aca="false">Z2+Z9+Z20</f>
        <v>10483.2</v>
      </c>
    </row>
    <row r="30" customFormat="false" ht="14.65" hidden="false" customHeight="true" outlineLevel="0" collapsed="false">
      <c r="F30" s="0"/>
      <c r="G30" s="0"/>
      <c r="H30" s="0"/>
      <c r="I30" s="0"/>
      <c r="J30" s="0"/>
      <c r="K30" s="0"/>
      <c r="L30" s="0"/>
      <c r="M30" s="0"/>
      <c r="P30" s="0" t="s">
        <v>47</v>
      </c>
      <c r="R30" s="150" t="n">
        <f aca="false">+R3+R21</f>
        <v>107</v>
      </c>
      <c r="V30" s="150" t="n">
        <f aca="false">(V3+V21)/2</f>
        <v>77.4</v>
      </c>
      <c r="W30" s="150" t="n">
        <f aca="false">V30*R30</f>
        <v>8281.8</v>
      </c>
      <c r="AA30" s="150" t="n">
        <f aca="false">Z3+Z21</f>
        <v>8222.4</v>
      </c>
    </row>
    <row r="31" customFormat="false" ht="14.65" hidden="false" customHeight="true" outlineLevel="0" collapsed="false">
      <c r="E31" s="0" t="s">
        <v>285</v>
      </c>
      <c r="F31" s="0"/>
      <c r="G31" s="0"/>
      <c r="H31" s="0"/>
      <c r="I31" s="0"/>
      <c r="J31" s="0"/>
      <c r="K31" s="0"/>
      <c r="L31" s="0"/>
      <c r="M31" s="0"/>
      <c r="P31" s="0" t="s">
        <v>54</v>
      </c>
      <c r="R31" s="150" t="n">
        <f aca="false">+R12+R22+R24</f>
        <v>48</v>
      </c>
      <c r="V31" s="150" t="n">
        <f aca="false">(V24+V12+V22)/3</f>
        <v>174</v>
      </c>
      <c r="W31" s="150" t="n">
        <f aca="false">V31*R31</f>
        <v>8352</v>
      </c>
      <c r="AA31" s="150" t="n">
        <f aca="false">Z24+Z12+Z22</f>
        <v>9144</v>
      </c>
    </row>
    <row r="32" customFormat="false" ht="14.65" hidden="false" customHeight="true" outlineLevel="0" collapsed="false">
      <c r="F32" s="0"/>
      <c r="G32" s="0"/>
      <c r="H32" s="0"/>
      <c r="I32" s="0"/>
      <c r="J32" s="0"/>
      <c r="K32" s="0"/>
      <c r="L32" s="0"/>
      <c r="M32" s="0"/>
      <c r="P32" s="0" t="s">
        <v>53</v>
      </c>
      <c r="R32" s="150" t="n">
        <f aca="false">+R11+R23</f>
        <v>22</v>
      </c>
      <c r="V32" s="150" t="n">
        <f aca="false">(V5+V11+V23)/2</f>
        <v>91.8</v>
      </c>
      <c r="W32" s="150" t="n">
        <f aca="false">V32*R32</f>
        <v>2019.6</v>
      </c>
      <c r="AA32" s="150" t="n">
        <f aca="false">Z11+Z23</f>
        <v>2030.4</v>
      </c>
    </row>
    <row r="33" customFormat="false" ht="14.65" hidden="false" customHeight="true" outlineLevel="0" collapsed="false">
      <c r="F33" s="0"/>
      <c r="G33" s="0"/>
      <c r="H33" s="0"/>
      <c r="I33" s="0"/>
      <c r="J33" s="0"/>
      <c r="K33" s="0"/>
      <c r="L33" s="0"/>
      <c r="M33" s="0"/>
      <c r="P33" s="0" t="s">
        <v>286</v>
      </c>
      <c r="R33" s="199" t="n">
        <f aca="false">R10</f>
        <v>7</v>
      </c>
      <c r="V33" s="150" t="n">
        <f aca="false">(V10)</f>
        <v>36</v>
      </c>
      <c r="W33" s="150" t="n">
        <f aca="false">V33*R33</f>
        <v>252</v>
      </c>
      <c r="AA33" s="150" t="n">
        <f aca="false">Z10</f>
        <v>252</v>
      </c>
    </row>
    <row r="34" customFormat="false" ht="14.65" hidden="false" customHeight="true" outlineLevel="0" collapsed="false">
      <c r="F34" s="0"/>
      <c r="G34" s="0"/>
      <c r="H34" s="0"/>
      <c r="I34" s="0"/>
      <c r="J34" s="0"/>
      <c r="K34" s="0"/>
      <c r="L34" s="0"/>
      <c r="M34" s="0"/>
      <c r="R34" s="150" t="n">
        <f aca="false">SUM(R29:R33)</f>
        <v>310</v>
      </c>
      <c r="W34" s="150" t="n">
        <f aca="false">SUM(W29:W33)</f>
        <v>29943</v>
      </c>
      <c r="AA34" s="150" t="n">
        <f aca="false">SUM(AA29:AA33)</f>
        <v>30132</v>
      </c>
    </row>
    <row r="35" customFormat="false" ht="14.65" hidden="false" customHeight="true" outlineLevel="0" collapsed="false">
      <c r="F35" s="0"/>
      <c r="G35" s="0"/>
      <c r="H35" s="0"/>
      <c r="I35" s="0"/>
      <c r="J35" s="0"/>
      <c r="K35" s="0"/>
      <c r="L35" s="0"/>
      <c r="M35" s="0"/>
    </row>
    <row r="36" customFormat="false" ht="12.8" hidden="false" customHeight="true" outlineLevel="0" collapsed="false">
      <c r="F36" s="0"/>
      <c r="G36" s="0"/>
      <c r="H36" s="0"/>
      <c r="I36" s="0"/>
      <c r="J36" s="0"/>
      <c r="K36" s="0"/>
      <c r="L36" s="0"/>
      <c r="M36" s="0"/>
    </row>
    <row r="37" customFormat="false" ht="12.8" hidden="false" customHeight="true" outlineLevel="0" collapsed="false">
      <c r="F37" s="0"/>
      <c r="G37" s="0"/>
      <c r="H37" s="0"/>
      <c r="I37" s="0"/>
      <c r="J37" s="0"/>
      <c r="K37" s="0"/>
      <c r="L37" s="0"/>
      <c r="M37" s="0"/>
    </row>
    <row r="38" customFormat="false" ht="12.8" hidden="false" customHeight="true" outlineLevel="0" collapsed="false">
      <c r="F38" s="0"/>
      <c r="G38" s="0"/>
      <c r="H38" s="0"/>
      <c r="I38" s="0"/>
      <c r="J38" s="0"/>
      <c r="K38" s="0"/>
      <c r="L38" s="0"/>
      <c r="M38" s="0"/>
    </row>
    <row r="39" customFormat="false" ht="12.8" hidden="false" customHeight="true" outlineLevel="0" collapsed="false">
      <c r="F39" s="0"/>
      <c r="G39" s="0"/>
      <c r="H39" s="0"/>
      <c r="I39" s="0"/>
      <c r="J39" s="0"/>
      <c r="K39" s="0"/>
      <c r="L39" s="0"/>
      <c r="M39" s="0"/>
    </row>
    <row r="40" customFormat="false" ht="12.8" hidden="false" customHeight="true" outlineLevel="0" collapsed="false">
      <c r="F40" s="0"/>
      <c r="G40" s="0"/>
      <c r="H40" s="0"/>
      <c r="I40" s="0"/>
      <c r="J40" s="0"/>
      <c r="K40" s="0"/>
      <c r="L40" s="0"/>
      <c r="M40" s="0"/>
    </row>
    <row r="41" customFormat="false" ht="12.8" hidden="false" customHeight="true" outlineLevel="0" collapsed="false">
      <c r="F41" s="0"/>
      <c r="G41" s="0"/>
      <c r="H41" s="0"/>
      <c r="I41" s="0"/>
      <c r="J41" s="0"/>
      <c r="K41" s="0"/>
      <c r="L41" s="0"/>
      <c r="M41" s="0"/>
    </row>
    <row r="42" customFormat="false" ht="12.8" hidden="false" customHeight="true" outlineLevel="0" collapsed="false">
      <c r="F42" s="0"/>
      <c r="G42" s="0"/>
      <c r="H42" s="0"/>
      <c r="I42" s="0"/>
      <c r="J42" s="0"/>
      <c r="K42" s="0"/>
      <c r="L42" s="0"/>
      <c r="M42" s="0"/>
    </row>
    <row r="43" customFormat="false" ht="12.8" hidden="false" customHeight="true" outlineLevel="0" collapsed="false">
      <c r="F43" s="0"/>
      <c r="G43" s="0"/>
      <c r="H43" s="0"/>
      <c r="I43" s="0"/>
      <c r="J43" s="0"/>
      <c r="K43" s="0"/>
      <c r="L43" s="0"/>
      <c r="M43" s="0"/>
    </row>
    <row r="44" customFormat="false" ht="14.65" hidden="false" customHeight="true" outlineLevel="0" collapsed="false">
      <c r="F44" s="0"/>
      <c r="G44" s="0"/>
      <c r="H44" s="0"/>
      <c r="I44" s="0"/>
      <c r="J44" s="0"/>
      <c r="K44" s="0"/>
      <c r="L44" s="0"/>
      <c r="M44" s="0"/>
    </row>
    <row r="45" customFormat="false" ht="14.65" hidden="false" customHeight="true" outlineLevel="0" collapsed="false">
      <c r="F45" s="0"/>
      <c r="G45" s="0"/>
      <c r="H45" s="0"/>
      <c r="I45" s="0"/>
      <c r="J45" s="0"/>
      <c r="K45" s="0"/>
      <c r="L45" s="0"/>
      <c r="M45" s="0"/>
    </row>
    <row r="46" customFormat="false" ht="12.8" hidden="false" customHeight="true" outlineLevel="0" collapsed="false">
      <c r="F46" s="0"/>
      <c r="G46" s="0"/>
      <c r="H46" s="0"/>
      <c r="I46" s="0"/>
      <c r="J46" s="0"/>
      <c r="K46" s="0"/>
      <c r="L46" s="0"/>
      <c r="M46" s="0"/>
    </row>
    <row r="47" customFormat="false" ht="12.8" hidden="false" customHeight="true" outlineLevel="0" collapsed="false">
      <c r="F47" s="0"/>
      <c r="G47" s="0"/>
      <c r="H47" s="0"/>
      <c r="I47" s="0"/>
      <c r="J47" s="0"/>
      <c r="K47" s="0"/>
      <c r="L47" s="0"/>
      <c r="M47" s="0"/>
    </row>
    <row r="48" customFormat="false" ht="12.8" hidden="false" customHeight="true" outlineLevel="0" collapsed="false">
      <c r="F48" s="0"/>
      <c r="G48" s="0"/>
      <c r="H48" s="0"/>
      <c r="I48" s="0"/>
      <c r="J48" s="0"/>
      <c r="K48" s="0"/>
      <c r="L48" s="0"/>
      <c r="M48" s="0"/>
    </row>
    <row r="49" customFormat="false" ht="12.8" hidden="false" customHeight="true" outlineLevel="0" collapsed="false">
      <c r="F49" s="0"/>
      <c r="G49" s="0"/>
      <c r="H49" s="0"/>
      <c r="I49" s="0"/>
      <c r="J49" s="0"/>
      <c r="K49" s="0"/>
      <c r="L49" s="0"/>
      <c r="M49" s="0"/>
    </row>
    <row r="50" customFormat="false" ht="14.65" hidden="false" customHeight="true" outlineLevel="0" collapsed="false">
      <c r="F50" s="0"/>
      <c r="G50" s="0"/>
      <c r="H50" s="0"/>
      <c r="I50" s="0"/>
      <c r="J50" s="0"/>
      <c r="K50" s="0"/>
      <c r="L50" s="0"/>
      <c r="M50" s="0"/>
    </row>
    <row r="51" customFormat="false" ht="14.65" hidden="false" customHeight="true" outlineLevel="0" collapsed="false">
      <c r="F51" s="0"/>
      <c r="G51" s="0"/>
      <c r="H51" s="0"/>
      <c r="I51" s="0"/>
      <c r="J51" s="0"/>
      <c r="K51" s="0"/>
      <c r="L51" s="0"/>
      <c r="M51" s="0"/>
    </row>
    <row r="52" customFormat="false" ht="14.65" hidden="false" customHeight="true" outlineLevel="0" collapsed="false"/>
    <row r="53" customFormat="false" ht="14.65" hidden="false" customHeight="true" outlineLevel="0" collapsed="false"/>
    <row r="54" customFormat="false" ht="14.65" hidden="false" customHeight="true" outlineLevel="0" collapsed="false"/>
    <row r="55" customFormat="false" ht="14.65" hidden="false" customHeight="true" outlineLevel="0" collapsed="false"/>
    <row r="59" customFormat="false" ht="14.65" hidden="false" customHeight="true" outlineLevel="0" collapsed="false"/>
    <row r="63" customFormat="false" ht="12.8" hidden="false" customHeight="true" outlineLevel="0" collapsed="false">
      <c r="F63" s="0"/>
      <c r="G63" s="0"/>
      <c r="H63" s="0"/>
      <c r="I63" s="0"/>
      <c r="J63" s="0"/>
      <c r="K63" s="0"/>
      <c r="L63" s="0"/>
      <c r="M63" s="0"/>
    </row>
    <row r="64" customFormat="false" ht="12.8" hidden="false" customHeight="true" outlineLevel="0" collapsed="false">
      <c r="F64" s="0"/>
      <c r="G64" s="0"/>
      <c r="H64" s="0"/>
      <c r="I64" s="0"/>
      <c r="J64" s="0"/>
      <c r="K64" s="0"/>
      <c r="L64" s="0"/>
      <c r="M64" s="0"/>
    </row>
    <row r="65" customFormat="false" ht="12.8" hidden="false" customHeight="true" outlineLevel="0" collapsed="false">
      <c r="F65" s="0"/>
      <c r="G65" s="0"/>
      <c r="H65" s="0"/>
      <c r="I65" s="0"/>
      <c r="J65" s="0"/>
      <c r="K65" s="0"/>
      <c r="L65" s="0"/>
      <c r="M65" s="0"/>
    </row>
    <row r="66" customFormat="false" ht="12.8" hidden="false" customHeight="true" outlineLevel="0" collapsed="false">
      <c r="F66" s="0"/>
      <c r="G66" s="0"/>
      <c r="H66" s="0"/>
      <c r="I66" s="0"/>
      <c r="J66" s="0"/>
      <c r="K66" s="0"/>
      <c r="L66" s="0"/>
      <c r="M66" s="0"/>
    </row>
    <row r="67" customFormat="false" ht="12.8" hidden="false" customHeight="true" outlineLevel="0" collapsed="false">
      <c r="F67" s="0"/>
      <c r="G67" s="0"/>
      <c r="H67" s="0"/>
      <c r="I67" s="0"/>
      <c r="J67" s="0"/>
      <c r="K67" s="0"/>
      <c r="L67" s="0"/>
      <c r="M67" s="0"/>
    </row>
    <row r="68" customFormat="false" ht="12.8" hidden="false" customHeight="true" outlineLevel="0" collapsed="false">
      <c r="F68" s="0"/>
      <c r="G68" s="0"/>
      <c r="H68" s="0"/>
      <c r="I68" s="0"/>
      <c r="J68" s="0"/>
      <c r="K68" s="0"/>
      <c r="L68" s="0"/>
      <c r="M68" s="0"/>
    </row>
    <row r="69" customFormat="false" ht="12.8" hidden="false" customHeight="true" outlineLevel="0" collapsed="false">
      <c r="F69" s="0"/>
      <c r="G69" s="0"/>
      <c r="H69" s="0"/>
      <c r="I69" s="0"/>
      <c r="J69" s="0"/>
      <c r="K69" s="0"/>
      <c r="L69" s="0"/>
      <c r="M69" s="0"/>
    </row>
    <row r="70" customFormat="false" ht="12.8" hidden="false" customHeight="true" outlineLevel="0" collapsed="false">
      <c r="F70" s="0"/>
      <c r="G70" s="0"/>
      <c r="H70" s="0"/>
      <c r="I70" s="0"/>
      <c r="J70" s="0"/>
      <c r="K70" s="0"/>
      <c r="L70" s="0"/>
      <c r="M70" s="0"/>
    </row>
    <row r="71" customFormat="false" ht="14.65" hidden="false" customHeight="true" outlineLevel="0" collapsed="false">
      <c r="F71" s="0"/>
      <c r="G71" s="0"/>
      <c r="H71" s="0"/>
      <c r="I71" s="0"/>
      <c r="J71" s="0"/>
      <c r="K71" s="0"/>
      <c r="L71" s="0"/>
      <c r="M71" s="0"/>
    </row>
    <row r="72" customFormat="false" ht="12.8" hidden="false" customHeight="true" outlineLevel="0" collapsed="false">
      <c r="F72" s="0"/>
      <c r="G72" s="0"/>
      <c r="H72" s="0"/>
      <c r="I72" s="0"/>
      <c r="J72" s="0"/>
      <c r="K72" s="0"/>
      <c r="L72" s="0"/>
      <c r="M72" s="0"/>
    </row>
    <row r="73" customFormat="false" ht="12.8" hidden="false" customHeight="true" outlineLevel="0" collapsed="false">
      <c r="F73" s="0"/>
      <c r="G73" s="0"/>
      <c r="H73" s="0"/>
      <c r="I73" s="0"/>
      <c r="J73" s="0"/>
      <c r="K73" s="0"/>
      <c r="L73" s="0"/>
      <c r="M73" s="0"/>
    </row>
    <row r="74" customFormat="false" ht="12.8" hidden="false" customHeight="true" outlineLevel="0" collapsed="false">
      <c r="F74" s="0"/>
      <c r="G74" s="0"/>
      <c r="H74" s="0"/>
      <c r="I74" s="0"/>
      <c r="J74" s="0"/>
      <c r="K74" s="0"/>
      <c r="L74" s="0"/>
      <c r="M74" s="0"/>
    </row>
    <row r="75" customFormat="false" ht="12.8" hidden="false" customHeight="true" outlineLevel="0" collapsed="false">
      <c r="F75" s="0"/>
      <c r="G75" s="0"/>
      <c r="H75" s="0"/>
      <c r="I75" s="0"/>
      <c r="J75" s="0"/>
      <c r="K75" s="0"/>
      <c r="L75" s="0"/>
      <c r="M75" s="0"/>
    </row>
    <row r="76" customFormat="false" ht="12.8" hidden="false" customHeight="true" outlineLevel="0" collapsed="false">
      <c r="A76" s="137"/>
      <c r="B76" s="289"/>
      <c r="F76" s="0"/>
      <c r="G76" s="0"/>
      <c r="H76" s="0"/>
      <c r="I76" s="0"/>
      <c r="J76" s="0"/>
      <c r="K76" s="0"/>
      <c r="L76" s="1"/>
      <c r="M76" s="290"/>
    </row>
    <row r="77" customFormat="false" ht="13.05" hidden="false" customHeight="true" outlineLevel="0" collapsed="false">
      <c r="A77" s="137"/>
      <c r="B77" s="298"/>
      <c r="C77" s="298"/>
      <c r="D77" s="298"/>
      <c r="E77" s="298"/>
      <c r="F77" s="298"/>
      <c r="G77" s="298"/>
      <c r="H77" s="183" t="s">
        <v>85</v>
      </c>
      <c r="I77" s="183" t="s">
        <v>287</v>
      </c>
      <c r="J77" s="298"/>
      <c r="K77" s="98" t="s">
        <v>125</v>
      </c>
      <c r="L77" s="298"/>
      <c r="M77" s="300" t="s">
        <v>288</v>
      </c>
      <c r="N77" s="183" t="s">
        <v>289</v>
      </c>
    </row>
    <row r="78" customFormat="false" ht="12.8" hidden="false" customHeight="true" outlineLevel="0" collapsed="false">
      <c r="A78" s="137"/>
      <c r="B78" s="298"/>
      <c r="C78" s="298"/>
      <c r="D78" s="298"/>
      <c r="E78" s="298"/>
      <c r="F78" s="298"/>
      <c r="G78" s="371" t="s">
        <v>156</v>
      </c>
      <c r="H78" s="0" t="n">
        <v>98</v>
      </c>
      <c r="I78" s="372" t="n">
        <v>68</v>
      </c>
      <c r="J78" s="0"/>
      <c r="K78" s="372" t="n">
        <v>166</v>
      </c>
      <c r="L78" s="298"/>
      <c r="M78" s="300"/>
      <c r="N78" s="183"/>
    </row>
    <row r="79" customFormat="false" ht="12.8" hidden="false" customHeight="true" outlineLevel="0" collapsed="false">
      <c r="A79" s="137"/>
      <c r="B79" s="298"/>
      <c r="C79" s="303" t="s">
        <v>157</v>
      </c>
      <c r="D79" s="298"/>
      <c r="E79" s="298"/>
      <c r="F79" s="298"/>
      <c r="G79" s="371" t="s">
        <v>158</v>
      </c>
      <c r="H79" s="0" t="n">
        <v>174</v>
      </c>
      <c r="I79" s="373" t="n">
        <v>136</v>
      </c>
      <c r="J79" s="374"/>
      <c r="K79" s="304" t="n">
        <f aca="false">I79+H79</f>
        <v>310</v>
      </c>
      <c r="L79" s="298"/>
      <c r="M79" s="375"/>
      <c r="N79" s="376"/>
    </row>
    <row r="80" customFormat="false" ht="12.8" hidden="false" customHeight="true" outlineLevel="0" collapsed="false">
      <c r="A80" s="289"/>
      <c r="B80" s="298"/>
      <c r="C80" s="0" t="s">
        <v>290</v>
      </c>
      <c r="D80" s="212" t="s">
        <v>159</v>
      </c>
      <c r="F80" s="0"/>
      <c r="G80" s="0"/>
      <c r="H80" s="0" t="n">
        <v>55000</v>
      </c>
      <c r="I80" s="183" t="n">
        <v>45000</v>
      </c>
      <c r="J80" s="377" t="s">
        <v>291</v>
      </c>
      <c r="K80" s="212" t="n">
        <f aca="false">I80+H80</f>
        <v>100000</v>
      </c>
      <c r="L80" s="378" t="n">
        <f aca="false">ROUND(K80/$K$100,2)</f>
        <v>0.02</v>
      </c>
      <c r="M80" s="379" t="n">
        <f aca="false">K80/$K$79</f>
        <v>322.58064516129</v>
      </c>
      <c r="N80" s="308" t="n">
        <f aca="false">K80/$K$78</f>
        <v>602.409638554217</v>
      </c>
    </row>
    <row r="81" customFormat="false" ht="12.8" hidden="false" customHeight="true" outlineLevel="0" collapsed="false">
      <c r="A81" s="289"/>
      <c r="B81" s="298"/>
      <c r="C81" s="0" t="s">
        <v>290</v>
      </c>
      <c r="D81" s="212" t="s">
        <v>160</v>
      </c>
      <c r="F81" s="0"/>
      <c r="G81" s="0"/>
      <c r="H81" s="0" t="n">
        <v>85000</v>
      </c>
      <c r="I81" s="183" t="n">
        <v>90000</v>
      </c>
      <c r="J81" s="377"/>
      <c r="K81" s="212" t="n">
        <f aca="false">I81+H81</f>
        <v>175000</v>
      </c>
      <c r="L81" s="378" t="n">
        <f aca="false">ROUND(K81/$K$100,2)</f>
        <v>0.04</v>
      </c>
      <c r="M81" s="379" t="n">
        <f aca="false">K81/$K$79</f>
        <v>564.516129032258</v>
      </c>
      <c r="N81" s="308" t="n">
        <f aca="false">K81/$K$78</f>
        <v>1054.21686746988</v>
      </c>
    </row>
    <row r="82" customFormat="false" ht="12.8" hidden="false" customHeight="true" outlineLevel="0" collapsed="false">
      <c r="A82" s="289"/>
      <c r="B82" s="322"/>
      <c r="C82" s="0" t="s">
        <v>290</v>
      </c>
      <c r="D82" s="212" t="s">
        <v>161</v>
      </c>
      <c r="F82" s="0"/>
      <c r="G82" s="0"/>
      <c r="H82" s="0" t="n">
        <v>110000</v>
      </c>
      <c r="I82" s="359" t="n">
        <v>225000</v>
      </c>
      <c r="J82" s="380"/>
      <c r="K82" s="276" t="n">
        <f aca="false">I82+H82</f>
        <v>335000</v>
      </c>
      <c r="L82" s="378" t="n">
        <f aca="false">ROUND(K82/$K$100,2)</f>
        <v>0.08</v>
      </c>
      <c r="M82" s="379" t="n">
        <f aca="false">K82/$K$79</f>
        <v>1080.64516129032</v>
      </c>
      <c r="N82" s="308" t="n">
        <f aca="false">K82/$K$78</f>
        <v>2018.07228915663</v>
      </c>
    </row>
    <row r="83" customFormat="false" ht="12.8" hidden="false" customHeight="true" outlineLevel="0" collapsed="false">
      <c r="A83" s="289"/>
      <c r="B83" s="322"/>
      <c r="C83" s="0" t="s">
        <v>290</v>
      </c>
      <c r="D83" s="212" t="s">
        <v>162</v>
      </c>
      <c r="F83" s="0"/>
      <c r="G83" s="0"/>
      <c r="H83" s="0" t="n">
        <v>50000</v>
      </c>
      <c r="I83" s="359" t="n">
        <v>50000</v>
      </c>
      <c r="J83" s="380"/>
      <c r="K83" s="276" t="n">
        <f aca="false">I83+H83</f>
        <v>100000</v>
      </c>
      <c r="L83" s="378" t="n">
        <f aca="false">ROUND(K83/$K$100,2)</f>
        <v>0.02</v>
      </c>
      <c r="M83" s="379" t="n">
        <f aca="false">K83/$K$79</f>
        <v>322.58064516129</v>
      </c>
      <c r="N83" s="308" t="n">
        <f aca="false">K83/$K$78</f>
        <v>602.409638554217</v>
      </c>
    </row>
    <row r="84" customFormat="false" ht="12.8" hidden="false" customHeight="true" outlineLevel="0" collapsed="false">
      <c r="A84" s="289"/>
      <c r="B84" s="322"/>
      <c r="C84" s="0" t="s">
        <v>290</v>
      </c>
      <c r="D84" s="212" t="s">
        <v>163</v>
      </c>
      <c r="F84" s="0"/>
      <c r="G84" s="0"/>
      <c r="H84" s="0" t="n">
        <v>65000</v>
      </c>
      <c r="I84" s="359"/>
      <c r="J84" s="380"/>
      <c r="K84" s="276" t="n">
        <f aca="false">I84+H84</f>
        <v>65000</v>
      </c>
      <c r="L84" s="378" t="n">
        <f aca="false">ROUND(K84/$K$100,2)</f>
        <v>0.02</v>
      </c>
      <c r="M84" s="379" t="n">
        <f aca="false">K84/$K$79</f>
        <v>209.677419354839</v>
      </c>
      <c r="N84" s="308" t="n">
        <f aca="false">K84/$K$78</f>
        <v>391.566265060241</v>
      </c>
    </row>
    <row r="85" customFormat="false" ht="12.8" hidden="false" customHeight="true" outlineLevel="0" collapsed="false">
      <c r="A85" s="289"/>
      <c r="B85" s="322"/>
      <c r="C85" s="0" t="s">
        <v>290</v>
      </c>
      <c r="D85" s="109" t="s">
        <v>292</v>
      </c>
      <c r="F85" s="0" t="s">
        <v>165</v>
      </c>
      <c r="G85" s="0"/>
      <c r="H85" s="0" t="n">
        <v>105000</v>
      </c>
      <c r="I85" s="359"/>
      <c r="J85" s="380"/>
      <c r="K85" s="276" t="n">
        <f aca="false">I85+H85</f>
        <v>105000</v>
      </c>
      <c r="L85" s="378" t="n">
        <f aca="false">ROUND(K85/$K$100,2)</f>
        <v>0.02</v>
      </c>
      <c r="M85" s="379" t="n">
        <f aca="false">K85/$K$79</f>
        <v>338.709677419355</v>
      </c>
      <c r="N85" s="308" t="n">
        <f aca="false">K85/$K$78</f>
        <v>632.530120481928</v>
      </c>
    </row>
    <row r="86" customFormat="false" ht="12.8" hidden="false" customHeight="true" outlineLevel="0" collapsed="false">
      <c r="A86" s="289"/>
      <c r="B86" s="322"/>
      <c r="C86" s="0" t="s">
        <v>290</v>
      </c>
      <c r="D86" s="311" t="s">
        <v>166</v>
      </c>
      <c r="F86" s="0"/>
      <c r="G86" s="0"/>
      <c r="H86" s="0" t="n">
        <v>210000</v>
      </c>
      <c r="I86" s="359" t="n">
        <v>110000</v>
      </c>
      <c r="J86" s="380"/>
      <c r="K86" s="276" t="n">
        <f aca="false">I86+H86</f>
        <v>320000</v>
      </c>
      <c r="L86" s="378" t="n">
        <f aca="false">ROUND(K86/$K$100,2)</f>
        <v>0.07</v>
      </c>
      <c r="M86" s="379" t="n">
        <f aca="false">K86/$K$79</f>
        <v>1032.25806451613</v>
      </c>
      <c r="N86" s="308" t="n">
        <f aca="false">K86/$K$78</f>
        <v>1927.71084337349</v>
      </c>
    </row>
    <row r="87" customFormat="false" ht="12.8" hidden="false" customHeight="true" outlineLevel="0" collapsed="false">
      <c r="A87" s="289"/>
      <c r="B87" s="322"/>
      <c r="C87" s="0" t="s">
        <v>290</v>
      </c>
      <c r="D87" s="0" t="s">
        <v>293</v>
      </c>
      <c r="F87" s="0"/>
      <c r="G87" s="0"/>
      <c r="H87" s="0" t="n">
        <v>15600</v>
      </c>
      <c r="I87" s="283"/>
      <c r="J87" s="380"/>
      <c r="K87" s="381" t="n">
        <f aca="false">I87+H87</f>
        <v>15600</v>
      </c>
      <c r="L87" s="378"/>
      <c r="M87" s="379"/>
      <c r="N87" s="308" t="n">
        <f aca="false">K87/$K$78</f>
        <v>93.9759036144578</v>
      </c>
    </row>
    <row r="88" customFormat="false" ht="12.8" hidden="false" customHeight="true" outlineLevel="0" collapsed="false">
      <c r="A88" s="289"/>
      <c r="B88" s="322"/>
      <c r="C88" s="0" t="s">
        <v>290</v>
      </c>
      <c r="D88" s="212" t="s">
        <v>168</v>
      </c>
      <c r="F88" s="0" t="n">
        <v>300</v>
      </c>
      <c r="G88" s="0" t="s">
        <v>294</v>
      </c>
      <c r="H88" s="150" t="n">
        <f aca="false">H79*F88-H87</f>
        <v>36600</v>
      </c>
      <c r="I88" s="382" t="s">
        <v>295</v>
      </c>
      <c r="J88" s="383" t="n">
        <v>43200</v>
      </c>
      <c r="K88" s="381" t="n">
        <f aca="false">J88+H88</f>
        <v>79800</v>
      </c>
      <c r="L88" s="384" t="n">
        <f aca="false">ROUND(SUM(K87:K89)/$K$100,2)</f>
        <v>0.08</v>
      </c>
      <c r="M88" s="379" t="n">
        <f aca="false">SUM(K87:K89)/$K$79</f>
        <v>1098.06451612903</v>
      </c>
      <c r="N88" s="308" t="n">
        <f aca="false">K88/$K$78</f>
        <v>480.722891566265</v>
      </c>
    </row>
    <row r="89" customFormat="false" ht="12.8" hidden="false" customHeight="true" outlineLevel="0" collapsed="false">
      <c r="A89" s="289"/>
      <c r="B89" s="322"/>
      <c r="C89" s="0" t="s">
        <v>290</v>
      </c>
      <c r="D89" s="4" t="s">
        <v>169</v>
      </c>
      <c r="F89" s="0"/>
      <c r="G89" s="0"/>
      <c r="H89" s="0" t="n">
        <v>80000</v>
      </c>
      <c r="I89" s="283" t="n">
        <v>75000</v>
      </c>
      <c r="J89" s="383" t="n">
        <v>90000</v>
      </c>
      <c r="K89" s="381" t="n">
        <f aca="false">I89+H89+J89</f>
        <v>245000</v>
      </c>
      <c r="L89" s="378"/>
      <c r="M89" s="0"/>
      <c r="N89" s="308" t="n">
        <f aca="false">K89/$K$78</f>
        <v>1475.90361445783</v>
      </c>
    </row>
    <row r="90" customFormat="false" ht="12.8" hidden="false" customHeight="true" outlineLevel="0" collapsed="false">
      <c r="B90" s="322"/>
      <c r="C90" s="0" t="s">
        <v>290</v>
      </c>
      <c r="D90" s="212" t="s">
        <v>170</v>
      </c>
      <c r="F90" s="0"/>
      <c r="G90" s="0"/>
      <c r="H90" s="0" t="n">
        <v>45000</v>
      </c>
      <c r="I90" s="359" t="n">
        <v>45000</v>
      </c>
      <c r="J90" s="385"/>
      <c r="K90" s="276" t="n">
        <f aca="false">I90+H90</f>
        <v>90000</v>
      </c>
      <c r="L90" s="378" t="n">
        <f aca="false">ROUND(K90/$K$100,2)</f>
        <v>0.02</v>
      </c>
      <c r="M90" s="379" t="n">
        <f aca="false">K90/$K$79</f>
        <v>290.322580645161</v>
      </c>
      <c r="N90" s="308" t="n">
        <f aca="false">K90/$K$78</f>
        <v>542.168674698795</v>
      </c>
    </row>
    <row r="91" customFormat="false" ht="12.8" hidden="false" customHeight="true" outlineLevel="0" collapsed="false">
      <c r="B91" s="322"/>
      <c r="C91" s="0" t="s">
        <v>290</v>
      </c>
      <c r="D91" s="212" t="s">
        <v>296</v>
      </c>
      <c r="E91" s="298"/>
      <c r="F91" s="0"/>
      <c r="G91" s="0"/>
      <c r="H91" s="0" t="n">
        <v>155000</v>
      </c>
      <c r="I91" s="359" t="n">
        <v>240000</v>
      </c>
      <c r="J91" s="385"/>
      <c r="K91" s="276" t="n">
        <f aca="false">I91+H91</f>
        <v>395000</v>
      </c>
      <c r="L91" s="378" t="n">
        <f aca="false">ROUND(K91/$K$100,2)</f>
        <v>0.09</v>
      </c>
      <c r="M91" s="379" t="n">
        <f aca="false">K91/$K$79</f>
        <v>1274.1935483871</v>
      </c>
      <c r="N91" s="308" t="n">
        <f aca="false">K91/$K$78</f>
        <v>2379.51807228916</v>
      </c>
    </row>
    <row r="92" customFormat="false" ht="12.8" hidden="false" customHeight="true" outlineLevel="0" collapsed="false">
      <c r="B92" s="322"/>
      <c r="C92" s="0" t="s">
        <v>290</v>
      </c>
      <c r="D92" s="212" t="s">
        <v>172</v>
      </c>
      <c r="E92" s="298"/>
      <c r="F92" s="0"/>
      <c r="G92" s="0"/>
      <c r="H92" s="0" t="n">
        <v>15250</v>
      </c>
      <c r="I92" s="382" t="s">
        <v>295</v>
      </c>
      <c r="J92" s="385" t="n">
        <v>12500</v>
      </c>
      <c r="K92" s="276" t="n">
        <f aca="false">H92+J92</f>
        <v>27750</v>
      </c>
      <c r="L92" s="378" t="n">
        <f aca="false">ROUND(K92/$K$100,2)</f>
        <v>0.01</v>
      </c>
      <c r="M92" s="379" t="n">
        <f aca="false">K92/$K$79</f>
        <v>89.5161290322581</v>
      </c>
      <c r="N92" s="308" t="n">
        <f aca="false">K92/$K$78</f>
        <v>167.168674698795</v>
      </c>
    </row>
    <row r="93" customFormat="false" ht="12.95" hidden="false" customHeight="true" outlineLevel="0" collapsed="false">
      <c r="B93" s="322"/>
      <c r="C93" s="0" t="s">
        <v>290</v>
      </c>
      <c r="D93" s="135" t="s">
        <v>297</v>
      </c>
      <c r="F93" s="0"/>
      <c r="G93" s="0"/>
      <c r="H93" s="0" t="n">
        <v>27000</v>
      </c>
      <c r="I93" s="382" t="s">
        <v>295</v>
      </c>
      <c r="J93" s="385" t="n">
        <v>27000</v>
      </c>
      <c r="K93" s="276" t="n">
        <f aca="false">H93+J93</f>
        <v>54000</v>
      </c>
      <c r="L93" s="378" t="n">
        <f aca="false">ROUND(K93/$K$100,2)</f>
        <v>0.01</v>
      </c>
      <c r="M93" s="379" t="n">
        <f aca="false">K93/$K$79</f>
        <v>174.193548387097</v>
      </c>
      <c r="N93" s="308" t="n">
        <f aca="false">K93/$K$78</f>
        <v>325.301204819277</v>
      </c>
    </row>
    <row r="94" customFormat="false" ht="12.95" hidden="false" customHeight="true" outlineLevel="0" collapsed="false">
      <c r="B94" s="322"/>
      <c r="C94" s="0" t="s">
        <v>290</v>
      </c>
      <c r="D94" s="212" t="s">
        <v>298</v>
      </c>
      <c r="E94" s="298"/>
      <c r="F94" s="0"/>
      <c r="G94" s="0"/>
      <c r="H94" s="0"/>
      <c r="I94" s="359" t="n">
        <v>20000</v>
      </c>
      <c r="J94" s="385"/>
      <c r="K94" s="276" t="n">
        <f aca="false">I94+H94</f>
        <v>20000</v>
      </c>
      <c r="L94" s="378" t="n">
        <f aca="false">ROUND(K94/$K$100,2)</f>
        <v>0</v>
      </c>
      <c r="M94" s="379" t="n">
        <f aca="false">K94/$K$79</f>
        <v>64.5161290322581</v>
      </c>
      <c r="N94" s="308" t="n">
        <f aca="false">K94/$K$78</f>
        <v>120.481927710843</v>
      </c>
    </row>
    <row r="95" customFormat="false" ht="12.8" hidden="false" customHeight="true" outlineLevel="0" collapsed="false">
      <c r="B95" s="322"/>
      <c r="C95" s="0" t="s">
        <v>290</v>
      </c>
      <c r="D95" s="212" t="s">
        <v>175</v>
      </c>
      <c r="F95" s="0"/>
      <c r="G95" s="0"/>
      <c r="H95" s="0" t="n">
        <v>160000</v>
      </c>
      <c r="I95" s="382" t="s">
        <v>295</v>
      </c>
      <c r="J95" s="385" t="n">
        <v>95000</v>
      </c>
      <c r="K95" s="276" t="n">
        <f aca="false">H95+J95</f>
        <v>255000</v>
      </c>
      <c r="L95" s="378" t="n">
        <f aca="false">ROUND(K95/$K$100,2)</f>
        <v>0.06</v>
      </c>
      <c r="M95" s="379" t="n">
        <f aca="false">K95/$K$79</f>
        <v>822.58064516129</v>
      </c>
      <c r="N95" s="308" t="n">
        <f aca="false">K95/$K$78</f>
        <v>1536.14457831325</v>
      </c>
    </row>
    <row r="96" customFormat="false" ht="12.8" hidden="false" customHeight="true" outlineLevel="0" collapsed="false">
      <c r="B96" s="298"/>
      <c r="C96" s="0" t="s">
        <v>290</v>
      </c>
      <c r="D96" s="212" t="s">
        <v>176</v>
      </c>
      <c r="E96" s="298"/>
      <c r="F96" s="298"/>
      <c r="G96" s="298"/>
      <c r="H96" s="4" t="n">
        <f aca="false">'REC VILLAGE COSTS BREAKDOWN'!H29/3*2</f>
        <v>888466.666666667</v>
      </c>
      <c r="I96" s="183" t="n">
        <f aca="false">'REC VILLAGE COSTS BREAKDOWN'!H29/3</f>
        <v>444233.333333333</v>
      </c>
      <c r="J96" s="386"/>
      <c r="K96" s="212" t="n">
        <f aca="false">I96+H96</f>
        <v>1332700</v>
      </c>
      <c r="L96" s="378" t="n">
        <f aca="false">ROUND(K96/$K$100,2)</f>
        <v>0.31</v>
      </c>
      <c r="M96" s="379" t="n">
        <f aca="false">K96/$K$79</f>
        <v>4299.03225806452</v>
      </c>
      <c r="N96" s="308" t="n">
        <f aca="false">K96/$K$78</f>
        <v>8028.31325301205</v>
      </c>
    </row>
    <row r="97" customFormat="false" ht="12.8" hidden="false" customHeight="true" outlineLevel="0" collapsed="false">
      <c r="B97" s="298"/>
      <c r="D97" s="212" t="s">
        <v>177</v>
      </c>
      <c r="E97" s="298"/>
      <c r="F97" s="298"/>
      <c r="G97" s="298"/>
      <c r="H97" s="0" t="n">
        <v>0</v>
      </c>
      <c r="I97" s="183"/>
      <c r="J97" s="386"/>
      <c r="K97" s="212" t="n">
        <f aca="false">I97+H97</f>
        <v>0</v>
      </c>
      <c r="L97" s="378" t="n">
        <f aca="false">ROUND(K97/$K$100,2)</f>
        <v>0</v>
      </c>
      <c r="M97" s="379" t="n">
        <f aca="false">K97/$K$79</f>
        <v>0</v>
      </c>
      <c r="N97" s="308" t="n">
        <f aca="false">K97/$K$78</f>
        <v>0</v>
      </c>
    </row>
    <row r="98" customFormat="false" ht="12.8" hidden="false" customHeight="true" outlineLevel="0" collapsed="false">
      <c r="B98" s="298"/>
      <c r="C98" s="0" t="s">
        <v>290</v>
      </c>
      <c r="D98" s="212" t="s">
        <v>299</v>
      </c>
      <c r="E98" s="212"/>
      <c r="F98" s="298"/>
      <c r="G98" s="298"/>
      <c r="H98" s="0" t="n">
        <v>200000</v>
      </c>
      <c r="I98" s="382" t="s">
        <v>295</v>
      </c>
      <c r="J98" s="386" t="n">
        <v>60000</v>
      </c>
      <c r="K98" s="276" t="n">
        <f aca="false">H98+J98</f>
        <v>260000</v>
      </c>
      <c r="L98" s="378" t="n">
        <f aca="false">ROUND(K98/$K$100,2)</f>
        <v>0.06</v>
      </c>
      <c r="M98" s="379" t="n">
        <f aca="false">K98/$K$79</f>
        <v>838.709677419355</v>
      </c>
      <c r="N98" s="308" t="n">
        <f aca="false">K98/$K$78</f>
        <v>1566.26506024096</v>
      </c>
    </row>
    <row r="99" customFormat="false" ht="12.8" hidden="false" customHeight="true" outlineLevel="0" collapsed="false">
      <c r="B99" s="298"/>
      <c r="C99" s="0" t="s">
        <v>290</v>
      </c>
      <c r="D99" s="212" t="s">
        <v>179</v>
      </c>
      <c r="E99" s="303"/>
      <c r="F99" s="0"/>
      <c r="G99" s="0"/>
      <c r="H99" s="0" t="n">
        <v>196000</v>
      </c>
      <c r="I99" s="212" t="n">
        <v>154000</v>
      </c>
      <c r="J99" s="386"/>
      <c r="K99" s="212" t="n">
        <f aca="false">I99+H99</f>
        <v>350000</v>
      </c>
      <c r="L99" s="378" t="n">
        <f aca="false">ROUND(K99/$K$100,2)</f>
        <v>0.08</v>
      </c>
      <c r="M99" s="379" t="n">
        <f aca="false">K99/$K$79</f>
        <v>1129.03225806452</v>
      </c>
      <c r="N99" s="308" t="n">
        <f aca="false">K99/$K$78</f>
        <v>2108.43373493976</v>
      </c>
    </row>
    <row r="100" customFormat="false" ht="12.8" hidden="false" customHeight="true" outlineLevel="0" collapsed="false">
      <c r="B100" s="298"/>
      <c r="C100" s="303"/>
      <c r="D100" s="114" t="s">
        <v>180</v>
      </c>
      <c r="E100" s="109"/>
      <c r="F100" s="109"/>
      <c r="G100" s="109" t="s">
        <v>65</v>
      </c>
      <c r="H100" s="114" t="n">
        <f aca="false">SUM(H80:H99)</f>
        <v>2498916.66666667</v>
      </c>
      <c r="I100" s="208" t="n">
        <f aca="false">SUM(I80:I99)</f>
        <v>1498233.33333333</v>
      </c>
      <c r="J100" s="387" t="n">
        <f aca="false">SUM(J80:J99)</f>
        <v>327700</v>
      </c>
      <c r="K100" s="210" t="n">
        <f aca="false">SUM(H100:J100)</f>
        <v>4324850</v>
      </c>
      <c r="L100" s="378" t="n">
        <f aca="false">ROUND(K100/$K$100,2)</f>
        <v>1</v>
      </c>
      <c r="M100" s="388" t="n">
        <f aca="false">K100/K79</f>
        <v>13951.1290322581</v>
      </c>
      <c r="N100" s="308" t="n">
        <f aca="false">K100/$K$78</f>
        <v>26053.313253012</v>
      </c>
    </row>
    <row r="101" customFormat="false" ht="12.8" hidden="false" customHeight="true" outlineLevel="0" collapsed="false">
      <c r="B101" s="298"/>
      <c r="F101" s="0"/>
      <c r="G101" s="0"/>
      <c r="H101" s="0"/>
      <c r="I101" s="0"/>
      <c r="J101" s="298"/>
      <c r="K101" s="0"/>
      <c r="L101" s="0"/>
      <c r="M101" s="298"/>
      <c r="N101" s="298"/>
    </row>
    <row r="102" customFormat="false" ht="12.95" hidden="false" customHeight="true" outlineLevel="0" collapsed="false">
      <c r="B102" s="298"/>
      <c r="C102" s="303" t="s">
        <v>181</v>
      </c>
      <c r="D102" s="298"/>
      <c r="E102" s="298"/>
      <c r="F102" s="298"/>
      <c r="G102" s="98"/>
      <c r="H102" s="141" t="s">
        <v>85</v>
      </c>
      <c r="I102" s="183" t="s">
        <v>287</v>
      </c>
      <c r="J102" s="298"/>
      <c r="K102" s="98" t="s">
        <v>125</v>
      </c>
      <c r="L102" s="298"/>
      <c r="M102" s="389"/>
      <c r="N102" s="298"/>
    </row>
    <row r="103" customFormat="false" ht="12.8" hidden="false" customHeight="true" outlineLevel="0" collapsed="false">
      <c r="B103" s="298"/>
      <c r="C103" s="303" t="s">
        <v>290</v>
      </c>
      <c r="D103" s="212" t="s">
        <v>182</v>
      </c>
      <c r="E103" s="212"/>
      <c r="F103" s="298"/>
      <c r="G103" s="298"/>
      <c r="H103" s="0" t="n">
        <v>235000</v>
      </c>
      <c r="I103" s="298"/>
      <c r="J103" s="308" t="n">
        <f aca="false">H103/$H$78</f>
        <v>2397.95918367347</v>
      </c>
      <c r="K103" s="213"/>
      <c r="L103" s="378"/>
      <c r="M103" s="375"/>
      <c r="N103" s="298"/>
    </row>
    <row r="104" customFormat="false" ht="12.8" hidden="false" customHeight="true" outlineLevel="0" collapsed="false">
      <c r="B104" s="298"/>
      <c r="C104" s="303" t="s">
        <v>290</v>
      </c>
      <c r="D104" s="212" t="s">
        <v>183</v>
      </c>
      <c r="E104" s="212"/>
      <c r="F104" s="298"/>
      <c r="G104" s="298"/>
      <c r="H104" s="0" t="n">
        <v>70000</v>
      </c>
      <c r="I104" s="0"/>
      <c r="J104" s="308" t="n">
        <f aca="false">H104/$H$78</f>
        <v>714.285714285714</v>
      </c>
      <c r="K104" s="213"/>
      <c r="L104" s="378"/>
      <c r="M104" s="375"/>
      <c r="N104" s="298"/>
    </row>
    <row r="105" customFormat="false" ht="12.8" hidden="false" customHeight="true" outlineLevel="0" collapsed="false">
      <c r="B105" s="298"/>
      <c r="C105" s="0" t="s">
        <v>290</v>
      </c>
      <c r="D105" s="212" t="s">
        <v>300</v>
      </c>
      <c r="E105" s="298"/>
      <c r="F105" s="212"/>
      <c r="G105" s="212"/>
      <c r="H105" s="0" t="n">
        <v>50000</v>
      </c>
      <c r="I105" s="298" t="n">
        <v>75000</v>
      </c>
      <c r="J105" s="308" t="n">
        <f aca="false">H105/$H$78</f>
        <v>510.204081632653</v>
      </c>
      <c r="K105" s="212"/>
      <c r="L105" s="378"/>
      <c r="M105" s="375"/>
      <c r="N105" s="298"/>
    </row>
    <row r="106" customFormat="false" ht="12.8" hidden="false" customHeight="true" outlineLevel="0" collapsed="false">
      <c r="B106" s="298"/>
      <c r="D106" s="208" t="s">
        <v>185</v>
      </c>
      <c r="E106" s="322"/>
      <c r="F106" s="109"/>
      <c r="G106" s="109"/>
      <c r="H106" s="114" t="n">
        <f aca="false">SUM(H103:H105)</f>
        <v>355000</v>
      </c>
      <c r="I106" s="208" t="n">
        <f aca="false">SUM(I103:I105)</f>
        <v>75000</v>
      </c>
      <c r="J106" s="308" t="n">
        <f aca="false">H106/$H$78</f>
        <v>3622.44897959184</v>
      </c>
      <c r="K106" s="208" t="n">
        <f aca="false">SUM(H106:I106)</f>
        <v>430000</v>
      </c>
      <c r="L106" s="390"/>
      <c r="M106" s="379" t="n">
        <f aca="false">K106/$K$79</f>
        <v>1387.09677419355</v>
      </c>
      <c r="N106" s="308" t="n">
        <f aca="false">K106/$K$78</f>
        <v>2590.36144578313</v>
      </c>
    </row>
    <row r="107" customFormat="false" ht="12.8" hidden="false" customHeight="true" outlineLevel="0" collapsed="false">
      <c r="B107" s="298"/>
      <c r="D107" s="284"/>
      <c r="E107" s="283"/>
      <c r="F107" s="283"/>
      <c r="G107" s="283"/>
      <c r="H107" s="0"/>
      <c r="I107" s="283"/>
      <c r="J107" s="391"/>
      <c r="K107" s="284"/>
      <c r="L107" s="392"/>
      <c r="M107" s="393"/>
      <c r="N107" s="298"/>
    </row>
    <row r="108" customFormat="false" ht="13.75" hidden="false" customHeight="true" outlineLevel="0" collapsed="false">
      <c r="B108" s="298"/>
      <c r="D108" s="322" t="s">
        <v>301</v>
      </c>
      <c r="E108" s="322"/>
      <c r="F108" s="394" t="s">
        <v>302</v>
      </c>
      <c r="G108" s="395"/>
      <c r="H108" s="114" t="n">
        <f aca="false">H100+H106</f>
        <v>2853916.66666667</v>
      </c>
      <c r="I108" s="396" t="n">
        <f aca="false">H108/H79</f>
        <v>16401.8199233716</v>
      </c>
      <c r="J108" s="397" t="n">
        <f aca="false">H108/$H$78</f>
        <v>29121.5986394558</v>
      </c>
      <c r="K108" s="326"/>
      <c r="L108" s="392"/>
      <c r="M108" s="398"/>
      <c r="N108" s="298"/>
    </row>
    <row r="109" customFormat="false" ht="13.75" hidden="false" customHeight="true" outlineLevel="0" collapsed="false">
      <c r="B109" s="298"/>
      <c r="D109" s="284"/>
      <c r="E109" s="283" t="s">
        <v>303</v>
      </c>
      <c r="F109" s="275"/>
      <c r="G109" s="283"/>
      <c r="H109" s="0"/>
      <c r="I109" s="399" t="n">
        <f aca="false">I100+I106+J100</f>
        <v>1900933.33333333</v>
      </c>
      <c r="J109" s="0"/>
      <c r="K109" s="326"/>
      <c r="L109" s="392"/>
      <c r="M109" s="393"/>
      <c r="N109" s="298"/>
    </row>
    <row r="110" customFormat="false" ht="12.8" hidden="false" customHeight="true" outlineLevel="0" collapsed="false">
      <c r="B110" s="400"/>
      <c r="C110" s="208" t="s">
        <v>304</v>
      </c>
      <c r="D110" s="322"/>
      <c r="E110" s="322"/>
      <c r="F110" s="322"/>
      <c r="G110" s="322"/>
      <c r="H110" s="322"/>
      <c r="I110" s="401" t="n">
        <f aca="false">I109+H108</f>
        <v>4754850</v>
      </c>
      <c r="J110" s="322"/>
      <c r="K110" s="208" t="n">
        <f aca="false">K100+K106</f>
        <v>4754850</v>
      </c>
      <c r="L110" s="322"/>
      <c r="M110" s="379" t="n">
        <f aca="false">K110/$K$79</f>
        <v>15338.2258064516</v>
      </c>
      <c r="N110" s="308" t="n">
        <f aca="false">K110/$K$78</f>
        <v>28643.6746987952</v>
      </c>
    </row>
    <row r="111" customFormat="false" ht="12.8" hidden="false" customHeight="true" outlineLevel="0" collapsed="false">
      <c r="B111" s="298"/>
      <c r="F111" s="0"/>
      <c r="G111" s="0"/>
      <c r="H111" s="0"/>
      <c r="I111" s="0"/>
      <c r="J111" s="0"/>
      <c r="K111" s="0"/>
      <c r="L111" s="298"/>
      <c r="M111" s="298"/>
      <c r="N111" s="298"/>
    </row>
    <row r="112" customFormat="false" ht="12.95" hidden="false" customHeight="true" outlineLevel="0" collapsed="false">
      <c r="B112" s="298"/>
      <c r="C112" s="402" t="s">
        <v>305</v>
      </c>
      <c r="D112" s="298"/>
      <c r="E112" s="298"/>
      <c r="F112" s="298"/>
      <c r="G112" s="0"/>
      <c r="H112" s="240" t="n">
        <f aca="false">(K106+H96-75000+SUM(H82:H95))*0.4*-1</f>
        <v>-927166.666666667</v>
      </c>
      <c r="I112" s="403" t="n">
        <f aca="false">(L106+I96-75000+SUM(I82:I95))*0.4*-1</f>
        <v>-453693.333333333</v>
      </c>
      <c r="J112" s="404"/>
      <c r="K112" s="405" t="n">
        <f aca="false">SUM(H112:I112)</f>
        <v>-1380860</v>
      </c>
      <c r="L112" s="0"/>
      <c r="M112" s="298"/>
      <c r="N112" s="298"/>
    </row>
    <row r="113" customFormat="false" ht="12.95" hidden="false" customHeight="true" outlineLevel="0" collapsed="false">
      <c r="B113" s="298"/>
      <c r="C113" s="406" t="s">
        <v>306</v>
      </c>
      <c r="D113" s="298"/>
      <c r="E113" s="298"/>
      <c r="F113" s="298"/>
      <c r="G113" s="283"/>
      <c r="H113" s="87" t="n">
        <f aca="false">H108+H112</f>
        <v>1926750</v>
      </c>
      <c r="I113" s="407" t="n">
        <f aca="false">I109+I112</f>
        <v>1447240</v>
      </c>
      <c r="J113" s="283"/>
      <c r="K113" s="408" t="n">
        <f aca="false">K110+K112</f>
        <v>3373990</v>
      </c>
      <c r="L113" s="409"/>
      <c r="M113" s="379" t="n">
        <f aca="false">K113/$K$79</f>
        <v>10883.8387096774</v>
      </c>
      <c r="N113" s="308" t="n">
        <f aca="false">K113/$K$78</f>
        <v>20325.2409638554</v>
      </c>
    </row>
    <row r="114" customFormat="false" ht="12.8" hidden="false" customHeight="true" outlineLevel="0" collapsed="false">
      <c r="B114" s="298"/>
      <c r="C114" s="298"/>
      <c r="D114" s="298"/>
      <c r="E114" s="183"/>
      <c r="F114" s="410" t="s">
        <v>307</v>
      </c>
      <c r="G114" s="411"/>
      <c r="H114" s="412" t="s">
        <v>65</v>
      </c>
      <c r="I114" s="298"/>
      <c r="J114" s="375"/>
      <c r="K114" s="375"/>
      <c r="L114" s="298"/>
      <c r="M114" s="298"/>
      <c r="N114" s="298"/>
    </row>
  </sheetData>
  <mergeCells count="1">
    <mergeCell ref="J80:J81"/>
  </mergeCells>
  <hyperlinks>
    <hyperlink ref="E2" r:id="rId2" display="75 SPACES"/>
    <hyperlink ref="E17" r:id="rId3" display="85 SPACES"/>
    <hyperlink ref="F19" r:id="rId4" display="REC-HALL"/>
    <hyperlink ref="F20" r:id="rId5" display="TypicalUnit"/>
  </hyperlinks>
  <printOptions headings="false" gridLines="false" gridLinesSet="true" horizontalCentered="false" verticalCentered="false"/>
  <pageMargins left="0.575" right="0.0430555555555556" top="0.748611111111111" bottom="0.395138888888889" header="0.483333333333333" footer="0.129861111111111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Roman,Regular"&amp;12The ArroyosPreserve Luxury RV Park Campground and Recreation Village</oddHeader>
    <oddFooter>&amp;C&amp;"Times New Roman,Regular"&amp;12&amp;D</oddFooter>
  </headerFooter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136584</TotalTime>
  <Application>LibreOffice/4.2.5.2$MacOSX_x86 LibreOffice_project/61cb170a04bb1f12e77c884eab9192be736ec5f5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2017-10-30T22:49:27Z</dcterms:created>
  <dc:creator>James Kunisch</dc:creator>
  <dc:language>en-US</dc:language>
  <cp:lastModifiedBy>Kunisch James</cp:lastModifiedBy>
  <cp:lastPrinted>2019-08-17T14:30:58Z</cp:lastPrinted>
  <dcterms:modified xsi:type="dcterms:W3CDTF">2019-10-02T18:20:42Z</dcterms:modified>
  <cp:revision>377</cp:revision>
</cp:coreProperties>
</file>