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bustell\Documents\1 - soefa.ai 1 R2 2025 - 2025 CRANKER - X-2 - TEMPLATES - FEB 2026\"/>
    </mc:Choice>
  </mc:AlternateContent>
  <xr:revisionPtr revIDLastSave="0" documentId="13_ncr:1_{8B3DED19-CBB0-41A8-BBFA-07C2A145D7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" sheetId="1" r:id="rId1"/>
    <sheet name="Sheet1 (2)" sheetId="2" r:id="rId2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49" i="1" l="1"/>
  <c r="H3149" i="1"/>
  <c r="G3149" i="1"/>
  <c r="E3149" i="1"/>
  <c r="C3149" i="1"/>
  <c r="H3147" i="1"/>
  <c r="H3146" i="1"/>
  <c r="H3145" i="1"/>
  <c r="H3144" i="1"/>
  <c r="H3143" i="1"/>
  <c r="H3142" i="1"/>
  <c r="H3141" i="1"/>
  <c r="H3140" i="1"/>
  <c r="H3139" i="1"/>
  <c r="F3147" i="1"/>
  <c r="D3147" i="1"/>
  <c r="F3146" i="1"/>
  <c r="D3146" i="1"/>
  <c r="F3145" i="1"/>
  <c r="D3145" i="1"/>
  <c r="F3144" i="1"/>
  <c r="D3144" i="1"/>
  <c r="F3143" i="1"/>
  <c r="D3143" i="1"/>
  <c r="F3142" i="1"/>
  <c r="D3142" i="1"/>
  <c r="F3141" i="1"/>
  <c r="D3141" i="1"/>
  <c r="F3140" i="1"/>
  <c r="D3140" i="1"/>
  <c r="F3139" i="1"/>
  <c r="D3139" i="1"/>
  <c r="A3139" i="1"/>
  <c r="A3140" i="1" s="1"/>
  <c r="A3141" i="1" s="1"/>
  <c r="A3142" i="1" s="1"/>
  <c r="A3143" i="1" s="1"/>
  <c r="A3144" i="1" s="1"/>
  <c r="A3145" i="1" s="1"/>
  <c r="A3146" i="1" s="1"/>
  <c r="A3147" i="1" s="1"/>
  <c r="H3138" i="1" l="1"/>
  <c r="H3137" i="1"/>
  <c r="H3136" i="1"/>
  <c r="H3135" i="1"/>
  <c r="H3134" i="1"/>
  <c r="H3133" i="1"/>
  <c r="H3132" i="1"/>
  <c r="H3131" i="1"/>
  <c r="H3130" i="1"/>
  <c r="F3138" i="1"/>
  <c r="D3138" i="1"/>
  <c r="F3137" i="1"/>
  <c r="D3137" i="1"/>
  <c r="F3136" i="1"/>
  <c r="D3136" i="1"/>
  <c r="F3135" i="1"/>
  <c r="D3135" i="1"/>
  <c r="F3134" i="1"/>
  <c r="D3134" i="1"/>
  <c r="F3133" i="1"/>
  <c r="D3133" i="1"/>
  <c r="F3132" i="1"/>
  <c r="D3132" i="1"/>
  <c r="F3131" i="1"/>
  <c r="D3131" i="1"/>
  <c r="F3130" i="1"/>
  <c r="D3130" i="1"/>
  <c r="H3129" i="1" l="1"/>
  <c r="H3128" i="1"/>
  <c r="H3127" i="1"/>
  <c r="H3126" i="1"/>
  <c r="H3125" i="1"/>
  <c r="H3124" i="1"/>
  <c r="H3123" i="1"/>
  <c r="H3122" i="1"/>
  <c r="H3121" i="1"/>
  <c r="F3129" i="1"/>
  <c r="D3129" i="1"/>
  <c r="F3128" i="1"/>
  <c r="D3128" i="1"/>
  <c r="F3127" i="1"/>
  <c r="D3127" i="1"/>
  <c r="F3126" i="1"/>
  <c r="D3126" i="1"/>
  <c r="F3125" i="1"/>
  <c r="D3125" i="1"/>
  <c r="F3124" i="1"/>
  <c r="D3124" i="1"/>
  <c r="F3123" i="1"/>
  <c r="D3123" i="1"/>
  <c r="F3122" i="1"/>
  <c r="D3122" i="1"/>
  <c r="F3121" i="1"/>
  <c r="D3121" i="1"/>
  <c r="H3120" i="1" l="1"/>
  <c r="H3119" i="1"/>
  <c r="H3118" i="1"/>
  <c r="H3117" i="1"/>
  <c r="H3116" i="1"/>
  <c r="H3115" i="1"/>
  <c r="H3114" i="1"/>
  <c r="H3113" i="1"/>
  <c r="H3112" i="1"/>
  <c r="F3120" i="1"/>
  <c r="D3120" i="1"/>
  <c r="F3119" i="1"/>
  <c r="D3119" i="1"/>
  <c r="F3118" i="1"/>
  <c r="D3118" i="1"/>
  <c r="F3117" i="1"/>
  <c r="D3117" i="1"/>
  <c r="F3116" i="1"/>
  <c r="D3116" i="1"/>
  <c r="F3115" i="1"/>
  <c r="D3115" i="1"/>
  <c r="F3114" i="1"/>
  <c r="D3114" i="1"/>
  <c r="F3113" i="1"/>
  <c r="D3113" i="1"/>
  <c r="F3112" i="1"/>
  <c r="D3112" i="1"/>
  <c r="H3111" i="1" l="1"/>
  <c r="H3110" i="1"/>
  <c r="H3109" i="1"/>
  <c r="H3108" i="1"/>
  <c r="H3107" i="1"/>
  <c r="H3106" i="1"/>
  <c r="H3105" i="1"/>
  <c r="H3104" i="1"/>
  <c r="H3103" i="1"/>
  <c r="F3111" i="1"/>
  <c r="D3111" i="1"/>
  <c r="F3110" i="1"/>
  <c r="D3110" i="1"/>
  <c r="F3109" i="1"/>
  <c r="D3109" i="1"/>
  <c r="F3108" i="1"/>
  <c r="D3108" i="1"/>
  <c r="F3107" i="1"/>
  <c r="D3107" i="1"/>
  <c r="F3106" i="1"/>
  <c r="D3106" i="1"/>
  <c r="F3105" i="1"/>
  <c r="D3105" i="1"/>
  <c r="F3104" i="1"/>
  <c r="D3104" i="1"/>
  <c r="F3103" i="1"/>
  <c r="D3103" i="1"/>
  <c r="H3102" i="1" l="1"/>
  <c r="H3101" i="1"/>
  <c r="H3100" i="1"/>
  <c r="H3099" i="1"/>
  <c r="H3098" i="1"/>
  <c r="H3097" i="1"/>
  <c r="H3096" i="1"/>
  <c r="H3095" i="1"/>
  <c r="H3094" i="1"/>
  <c r="F3102" i="1"/>
  <c r="D3102" i="1"/>
  <c r="F3101" i="1"/>
  <c r="D3101" i="1"/>
  <c r="F3100" i="1"/>
  <c r="D3100" i="1"/>
  <c r="F3099" i="1"/>
  <c r="D3099" i="1"/>
  <c r="F3098" i="1"/>
  <c r="D3098" i="1"/>
  <c r="F3097" i="1"/>
  <c r="D3097" i="1"/>
  <c r="F3096" i="1"/>
  <c r="D3096" i="1"/>
  <c r="F3095" i="1"/>
  <c r="D3095" i="1"/>
  <c r="F3094" i="1"/>
  <c r="D3094" i="1"/>
  <c r="H3093" i="1" l="1"/>
  <c r="H3092" i="1"/>
  <c r="H3091" i="1"/>
  <c r="H3090" i="1"/>
  <c r="H3089" i="1"/>
  <c r="H3088" i="1"/>
  <c r="H3087" i="1"/>
  <c r="H3086" i="1"/>
  <c r="H3085" i="1"/>
  <c r="F3093" i="1"/>
  <c r="D3093" i="1"/>
  <c r="F3092" i="1"/>
  <c r="D3092" i="1"/>
  <c r="F3091" i="1"/>
  <c r="D3091" i="1"/>
  <c r="F3090" i="1"/>
  <c r="D3090" i="1"/>
  <c r="F3089" i="1"/>
  <c r="D3089" i="1"/>
  <c r="F3088" i="1"/>
  <c r="D3088" i="1"/>
  <c r="F3087" i="1"/>
  <c r="D3087" i="1"/>
  <c r="F3086" i="1"/>
  <c r="D3086" i="1"/>
  <c r="F3085" i="1"/>
  <c r="D3085" i="1"/>
  <c r="F3149" i="1" l="1"/>
  <c r="D3149" i="1"/>
  <c r="H3084" i="1"/>
  <c r="F3084" i="1"/>
  <c r="D3084" i="1"/>
  <c r="H3083" i="1"/>
  <c r="F3083" i="1"/>
  <c r="D3083" i="1"/>
  <c r="H3082" i="1"/>
  <c r="F3082" i="1"/>
  <c r="D3082" i="1"/>
  <c r="H3081" i="1"/>
  <c r="F3081" i="1"/>
  <c r="D3081" i="1"/>
  <c r="H3080" i="1"/>
  <c r="F3080" i="1"/>
  <c r="D3080" i="1"/>
  <c r="H3079" i="1"/>
  <c r="F3079" i="1"/>
  <c r="D3079" i="1"/>
  <c r="H3078" i="1"/>
  <c r="F3078" i="1"/>
  <c r="D3078" i="1"/>
  <c r="H3077" i="1"/>
  <c r="F3077" i="1"/>
  <c r="D3077" i="1"/>
  <c r="H3076" i="1"/>
  <c r="F3076" i="1"/>
  <c r="D3076" i="1"/>
  <c r="H3075" i="1" l="1"/>
  <c r="H3074" i="1"/>
  <c r="H3073" i="1"/>
  <c r="H3072" i="1"/>
  <c r="H3071" i="1"/>
  <c r="H3070" i="1"/>
  <c r="H3069" i="1"/>
  <c r="H3068" i="1"/>
  <c r="H3067" i="1"/>
  <c r="F3075" i="1"/>
  <c r="D3075" i="1"/>
  <c r="F3074" i="1"/>
  <c r="D3074" i="1"/>
  <c r="F3073" i="1"/>
  <c r="D3073" i="1"/>
  <c r="F3072" i="1"/>
  <c r="D3072" i="1"/>
  <c r="F3071" i="1"/>
  <c r="D3071" i="1"/>
  <c r="F3070" i="1"/>
  <c r="D3070" i="1"/>
  <c r="F3069" i="1"/>
  <c r="D3069" i="1"/>
  <c r="F3068" i="1"/>
  <c r="D3068" i="1"/>
  <c r="F3067" i="1"/>
  <c r="D3067" i="1"/>
  <c r="H3066" i="1" l="1"/>
  <c r="F3066" i="1"/>
  <c r="D3066" i="1"/>
  <c r="H3065" i="1"/>
  <c r="F3065" i="1"/>
  <c r="D3065" i="1"/>
  <c r="H3064" i="1"/>
  <c r="F3064" i="1"/>
  <c r="D3064" i="1"/>
  <c r="H3063" i="1"/>
  <c r="F3063" i="1"/>
  <c r="D3063" i="1"/>
  <c r="H3062" i="1"/>
  <c r="F3062" i="1"/>
  <c r="D3062" i="1"/>
  <c r="H3061" i="1"/>
  <c r="F3061" i="1"/>
  <c r="D3061" i="1"/>
  <c r="H3060" i="1"/>
  <c r="F3060" i="1"/>
  <c r="D3060" i="1"/>
  <c r="H3059" i="1"/>
  <c r="F3059" i="1"/>
  <c r="D3059" i="1"/>
  <c r="H3058" i="1"/>
  <c r="F3058" i="1"/>
  <c r="D3058" i="1"/>
  <c r="H3057" i="1" l="1"/>
  <c r="F3057" i="1"/>
  <c r="D3057" i="1"/>
  <c r="H3056" i="1"/>
  <c r="F3056" i="1"/>
  <c r="D3056" i="1"/>
  <c r="H3055" i="1"/>
  <c r="F3055" i="1"/>
  <c r="D3055" i="1"/>
  <c r="H3054" i="1"/>
  <c r="F3054" i="1"/>
  <c r="D3054" i="1"/>
  <c r="H3053" i="1"/>
  <c r="F3053" i="1"/>
  <c r="D3053" i="1"/>
  <c r="H3052" i="1"/>
  <c r="F3052" i="1"/>
  <c r="D3052" i="1"/>
  <c r="H3051" i="1"/>
  <c r="F3051" i="1"/>
  <c r="D3051" i="1"/>
  <c r="H3050" i="1"/>
  <c r="F3050" i="1"/>
  <c r="D3050" i="1"/>
  <c r="H3049" i="1"/>
  <c r="F3049" i="1"/>
  <c r="D3049" i="1"/>
  <c r="H3048" i="1" l="1"/>
  <c r="H3047" i="1"/>
  <c r="H3046" i="1"/>
  <c r="F3046" i="1"/>
  <c r="H3045" i="1"/>
  <c r="H3044" i="1"/>
  <c r="H3043" i="1"/>
  <c r="H3042" i="1"/>
  <c r="H3041" i="1"/>
  <c r="H3040" i="1"/>
  <c r="F3048" i="1"/>
  <c r="D3048" i="1"/>
  <c r="F3047" i="1"/>
  <c r="D3047" i="1"/>
  <c r="D3046" i="1"/>
  <c r="F3045" i="1"/>
  <c r="D3045" i="1"/>
  <c r="F3044" i="1"/>
  <c r="D3044" i="1"/>
  <c r="F3043" i="1"/>
  <c r="D3043" i="1"/>
  <c r="F3042" i="1"/>
  <c r="D3042" i="1"/>
  <c r="F3041" i="1"/>
  <c r="D3041" i="1"/>
  <c r="F3040" i="1"/>
  <c r="D3040" i="1"/>
  <c r="H3039" i="1" l="1"/>
  <c r="H3038" i="1"/>
  <c r="H3037" i="1"/>
  <c r="H3036" i="1"/>
  <c r="H3035" i="1"/>
  <c r="H3034" i="1"/>
  <c r="H3033" i="1"/>
  <c r="H3032" i="1"/>
  <c r="H3031" i="1"/>
  <c r="F3039" i="1"/>
  <c r="D3039" i="1"/>
  <c r="F3038" i="1"/>
  <c r="D3038" i="1"/>
  <c r="F3037" i="1"/>
  <c r="D3037" i="1"/>
  <c r="F3036" i="1"/>
  <c r="D3036" i="1"/>
  <c r="F3035" i="1"/>
  <c r="D3035" i="1"/>
  <c r="F3034" i="1"/>
  <c r="D3034" i="1"/>
  <c r="F3033" i="1"/>
  <c r="D3033" i="1"/>
  <c r="F3032" i="1"/>
  <c r="D3032" i="1"/>
  <c r="F3031" i="1"/>
  <c r="D3031" i="1"/>
  <c r="H3030" i="1" l="1"/>
  <c r="H3029" i="1"/>
  <c r="H3028" i="1"/>
  <c r="H3027" i="1"/>
  <c r="H3026" i="1"/>
  <c r="H3025" i="1"/>
  <c r="H3024" i="1"/>
  <c r="H3023" i="1"/>
  <c r="H3022" i="1"/>
  <c r="H3021" i="1"/>
  <c r="F3030" i="1"/>
  <c r="D3030" i="1"/>
  <c r="F3029" i="1"/>
  <c r="D3029" i="1"/>
  <c r="F3028" i="1"/>
  <c r="D3028" i="1"/>
  <c r="F3027" i="1"/>
  <c r="D3027" i="1"/>
  <c r="F3026" i="1"/>
  <c r="D3026" i="1"/>
  <c r="F3025" i="1"/>
  <c r="D3025" i="1"/>
  <c r="F3024" i="1"/>
  <c r="D3024" i="1"/>
  <c r="F3023" i="1"/>
  <c r="D3023" i="1"/>
  <c r="F3022" i="1"/>
  <c r="D3022" i="1"/>
  <c r="H3020" i="1"/>
  <c r="H3019" i="1"/>
  <c r="H3018" i="1"/>
  <c r="H3017" i="1"/>
  <c r="H3016" i="1"/>
  <c r="H3015" i="1"/>
  <c r="H3014" i="1"/>
  <c r="H3013" i="1"/>
  <c r="F3021" i="1"/>
  <c r="D3021" i="1"/>
  <c r="F3020" i="1"/>
  <c r="D3020" i="1"/>
  <c r="F3019" i="1"/>
  <c r="D3019" i="1"/>
  <c r="F3018" i="1"/>
  <c r="D3018" i="1"/>
  <c r="F3017" i="1"/>
  <c r="D3017" i="1"/>
  <c r="F3016" i="1"/>
  <c r="D3016" i="1"/>
  <c r="F3015" i="1"/>
  <c r="D3015" i="1"/>
  <c r="F3014" i="1"/>
  <c r="D3014" i="1"/>
  <c r="F3013" i="1"/>
  <c r="D3013" i="1"/>
  <c r="H3012" i="1" l="1"/>
  <c r="H3011" i="1"/>
  <c r="H3010" i="1"/>
  <c r="H3009" i="1"/>
  <c r="H3008" i="1"/>
  <c r="H3006" i="1"/>
  <c r="H3005" i="1"/>
  <c r="H3004" i="1"/>
  <c r="F3012" i="1"/>
  <c r="D3012" i="1"/>
  <c r="F3011" i="1"/>
  <c r="D3011" i="1"/>
  <c r="F3010" i="1"/>
  <c r="D3010" i="1"/>
  <c r="F3009" i="1"/>
  <c r="D3009" i="1"/>
  <c r="F3008" i="1"/>
  <c r="D3008" i="1"/>
  <c r="H3007" i="1"/>
  <c r="F3007" i="1"/>
  <c r="D3007" i="1"/>
  <c r="F3006" i="1"/>
  <c r="D3006" i="1"/>
  <c r="F3005" i="1"/>
  <c r="D3005" i="1"/>
  <c r="F3004" i="1"/>
  <c r="D3004" i="1"/>
  <c r="H3003" i="1" l="1"/>
  <c r="H3002" i="1"/>
  <c r="H3001" i="1"/>
  <c r="H3000" i="1"/>
  <c r="H2999" i="1"/>
  <c r="H2998" i="1"/>
  <c r="H2997" i="1"/>
  <c r="H2996" i="1"/>
  <c r="H2995" i="1"/>
  <c r="F3003" i="1"/>
  <c r="D3003" i="1"/>
  <c r="F3002" i="1"/>
  <c r="D3002" i="1"/>
  <c r="F3001" i="1"/>
  <c r="D3001" i="1"/>
  <c r="F3000" i="1"/>
  <c r="D3000" i="1"/>
  <c r="F2999" i="1"/>
  <c r="D2999" i="1"/>
  <c r="F2998" i="1"/>
  <c r="D2998" i="1"/>
  <c r="F2997" i="1"/>
  <c r="D2997" i="1"/>
  <c r="F2996" i="1"/>
  <c r="D2996" i="1"/>
  <c r="F2995" i="1"/>
  <c r="D2995" i="1"/>
  <c r="H2994" i="1" l="1"/>
  <c r="H2993" i="1"/>
  <c r="H2992" i="1"/>
  <c r="H2991" i="1"/>
  <c r="H2990" i="1"/>
  <c r="H2989" i="1"/>
  <c r="H2988" i="1"/>
  <c r="H2987" i="1"/>
  <c r="H2986" i="1"/>
  <c r="F2994" i="1"/>
  <c r="D2994" i="1"/>
  <c r="F2993" i="1"/>
  <c r="D2993" i="1"/>
  <c r="F2992" i="1"/>
  <c r="D2992" i="1"/>
  <c r="F2991" i="1"/>
  <c r="D2991" i="1"/>
  <c r="F2990" i="1"/>
  <c r="D2990" i="1"/>
  <c r="F2989" i="1"/>
  <c r="D2989" i="1"/>
  <c r="F2988" i="1"/>
  <c r="D2988" i="1"/>
  <c r="F2987" i="1"/>
  <c r="D2987" i="1"/>
  <c r="F2986" i="1"/>
  <c r="D2986" i="1"/>
  <c r="H2985" i="1" l="1"/>
  <c r="H2984" i="1"/>
  <c r="H2983" i="1"/>
  <c r="H2982" i="1"/>
  <c r="H2981" i="1"/>
  <c r="H2980" i="1"/>
  <c r="H2979" i="1"/>
  <c r="H2978" i="1"/>
  <c r="H2977" i="1"/>
  <c r="F2985" i="1"/>
  <c r="D2985" i="1"/>
  <c r="F2984" i="1"/>
  <c r="D2984" i="1"/>
  <c r="F2983" i="1"/>
  <c r="D2983" i="1"/>
  <c r="F2982" i="1"/>
  <c r="D2982" i="1"/>
  <c r="F2981" i="1"/>
  <c r="D2981" i="1"/>
  <c r="F2980" i="1"/>
  <c r="D2980" i="1"/>
  <c r="F2979" i="1"/>
  <c r="D2979" i="1"/>
  <c r="F2978" i="1"/>
  <c r="D2978" i="1"/>
  <c r="F2977" i="1"/>
  <c r="D2977" i="1"/>
  <c r="H2976" i="1" l="1"/>
  <c r="F2976" i="1"/>
  <c r="D2976" i="1"/>
  <c r="H2975" i="1"/>
  <c r="F2975" i="1"/>
  <c r="D2975" i="1"/>
  <c r="H2974" i="1"/>
  <c r="F2974" i="1"/>
  <c r="D2974" i="1"/>
  <c r="H2973" i="1"/>
  <c r="F2973" i="1"/>
  <c r="D2973" i="1"/>
  <c r="H2972" i="1"/>
  <c r="F2972" i="1"/>
  <c r="D2972" i="1"/>
  <c r="H2971" i="1"/>
  <c r="F2971" i="1"/>
  <c r="D2971" i="1"/>
  <c r="H2970" i="1"/>
  <c r="F2970" i="1"/>
  <c r="D2970" i="1"/>
  <c r="H2969" i="1"/>
  <c r="F2969" i="1"/>
  <c r="D2969" i="1"/>
  <c r="H2968" i="1"/>
  <c r="F2968" i="1"/>
  <c r="D2968" i="1"/>
  <c r="H2967" i="1" l="1"/>
  <c r="H2966" i="1"/>
  <c r="H2965" i="1"/>
  <c r="H2964" i="1"/>
  <c r="H2963" i="1"/>
  <c r="H2962" i="1"/>
  <c r="H2961" i="1"/>
  <c r="H2960" i="1"/>
  <c r="H2959" i="1"/>
  <c r="F2967" i="1"/>
  <c r="D2967" i="1"/>
  <c r="F2966" i="1"/>
  <c r="D2966" i="1"/>
  <c r="F2965" i="1"/>
  <c r="D2965" i="1"/>
  <c r="F2964" i="1"/>
  <c r="D2964" i="1"/>
  <c r="F2963" i="1"/>
  <c r="D2963" i="1"/>
  <c r="F2962" i="1"/>
  <c r="D2962" i="1"/>
  <c r="F2961" i="1"/>
  <c r="D2961" i="1"/>
  <c r="F2960" i="1"/>
  <c r="D2960" i="1"/>
  <c r="F2959" i="1"/>
  <c r="D2959" i="1"/>
  <c r="H2958" i="1" l="1"/>
  <c r="H2957" i="1"/>
  <c r="H2956" i="1"/>
  <c r="H2955" i="1"/>
  <c r="H2954" i="1"/>
  <c r="H2953" i="1"/>
  <c r="H2952" i="1"/>
  <c r="H2951" i="1"/>
  <c r="H2950" i="1"/>
  <c r="F2958" i="1"/>
  <c r="D2958" i="1"/>
  <c r="F2957" i="1"/>
  <c r="D2957" i="1"/>
  <c r="F2956" i="1"/>
  <c r="D2956" i="1"/>
  <c r="F2955" i="1"/>
  <c r="D2955" i="1"/>
  <c r="F2954" i="1"/>
  <c r="D2954" i="1"/>
  <c r="F2953" i="1"/>
  <c r="D2953" i="1"/>
  <c r="F2952" i="1"/>
  <c r="D2952" i="1"/>
  <c r="F2951" i="1"/>
  <c r="D2951" i="1"/>
  <c r="F2950" i="1"/>
  <c r="D2950" i="1"/>
  <c r="H2949" i="1" l="1"/>
  <c r="F2949" i="1"/>
  <c r="D2949" i="1"/>
  <c r="H2948" i="1"/>
  <c r="F2948" i="1"/>
  <c r="D2948" i="1"/>
  <c r="H2947" i="1"/>
  <c r="F2947" i="1"/>
  <c r="D2947" i="1"/>
  <c r="H2946" i="1"/>
  <c r="F2946" i="1"/>
  <c r="D2946" i="1"/>
  <c r="H2945" i="1"/>
  <c r="F2945" i="1"/>
  <c r="D2945" i="1"/>
  <c r="H2944" i="1"/>
  <c r="F2944" i="1"/>
  <c r="D2944" i="1"/>
  <c r="H2943" i="1"/>
  <c r="F2943" i="1"/>
  <c r="D2943" i="1"/>
  <c r="H2942" i="1"/>
  <c r="F2942" i="1"/>
  <c r="D2942" i="1"/>
  <c r="H2941" i="1"/>
  <c r="F2941" i="1"/>
  <c r="D2941" i="1"/>
  <c r="H2940" i="1"/>
  <c r="F2940" i="1"/>
  <c r="D2940" i="1"/>
  <c r="H2939" i="1" l="1"/>
  <c r="H2938" i="1"/>
  <c r="H2937" i="1"/>
  <c r="H2936" i="1"/>
  <c r="H2935" i="1"/>
  <c r="H2934" i="1"/>
  <c r="H2933" i="1"/>
  <c r="H2932" i="1"/>
  <c r="H2931" i="1"/>
  <c r="H2930" i="1"/>
  <c r="F2939" i="1"/>
  <c r="D2939" i="1"/>
  <c r="F2938" i="1"/>
  <c r="D2938" i="1"/>
  <c r="F2937" i="1"/>
  <c r="D2937" i="1"/>
  <c r="F2936" i="1"/>
  <c r="D2936" i="1"/>
  <c r="F2935" i="1"/>
  <c r="D2935" i="1"/>
  <c r="F2934" i="1"/>
  <c r="D2934" i="1"/>
  <c r="F2933" i="1"/>
  <c r="D2933" i="1"/>
  <c r="F2932" i="1"/>
  <c r="D2932" i="1"/>
  <c r="F2931" i="1"/>
  <c r="D2931" i="1"/>
  <c r="F2930" i="1"/>
  <c r="D2930" i="1"/>
  <c r="H2929" i="1" l="1"/>
  <c r="F2929" i="1"/>
  <c r="D2929" i="1"/>
  <c r="H2928" i="1"/>
  <c r="F2928" i="1"/>
  <c r="D2928" i="1"/>
  <c r="H2927" i="1"/>
  <c r="F2927" i="1"/>
  <c r="D2927" i="1"/>
  <c r="H2926" i="1"/>
  <c r="F2926" i="1"/>
  <c r="D2926" i="1"/>
  <c r="H2925" i="1"/>
  <c r="F2925" i="1"/>
  <c r="D2925" i="1"/>
  <c r="H2924" i="1"/>
  <c r="F2924" i="1"/>
  <c r="D2924" i="1"/>
  <c r="H2923" i="1"/>
  <c r="F2923" i="1"/>
  <c r="D2923" i="1"/>
  <c r="H2922" i="1"/>
  <c r="F2922" i="1"/>
  <c r="D2922" i="1"/>
  <c r="H2921" i="1"/>
  <c r="F2921" i="1"/>
  <c r="D2921" i="1"/>
  <c r="H2920" i="1"/>
  <c r="F2920" i="1"/>
  <c r="D2920" i="1"/>
  <c r="H2919" i="1" l="1"/>
  <c r="H2918" i="1"/>
  <c r="H2917" i="1"/>
  <c r="H2916" i="1"/>
  <c r="H2915" i="1"/>
  <c r="H2914" i="1"/>
  <c r="H2913" i="1"/>
  <c r="H2912" i="1"/>
  <c r="H2911" i="1"/>
  <c r="F2919" i="1"/>
  <c r="D2919" i="1"/>
  <c r="F2918" i="1"/>
  <c r="D2918" i="1"/>
  <c r="F2917" i="1"/>
  <c r="D2917" i="1"/>
  <c r="F2916" i="1"/>
  <c r="D2916" i="1"/>
  <c r="F2915" i="1"/>
  <c r="D2915" i="1"/>
  <c r="F2914" i="1"/>
  <c r="D2914" i="1"/>
  <c r="F2913" i="1"/>
  <c r="D2913" i="1"/>
  <c r="F2912" i="1"/>
  <c r="D2912" i="1"/>
  <c r="F2911" i="1"/>
  <c r="D2911" i="1"/>
  <c r="H2906" i="1" l="1"/>
  <c r="H2905" i="1"/>
  <c r="H2904" i="1"/>
  <c r="H2903" i="1"/>
  <c r="H2902" i="1"/>
  <c r="F2906" i="1"/>
  <c r="D2906" i="1"/>
  <c r="F2905" i="1"/>
  <c r="D2905" i="1"/>
  <c r="F2904" i="1"/>
  <c r="D2904" i="1"/>
  <c r="F2903" i="1"/>
  <c r="D2903" i="1"/>
  <c r="F2902" i="1"/>
  <c r="D2902" i="1"/>
  <c r="H2910" i="1"/>
  <c r="H2909" i="1"/>
  <c r="H2908" i="1"/>
  <c r="H2907" i="1"/>
  <c r="F2910" i="1"/>
  <c r="D2910" i="1"/>
  <c r="F2909" i="1"/>
  <c r="D2909" i="1"/>
  <c r="F2908" i="1"/>
  <c r="D2908" i="1"/>
  <c r="F2907" i="1"/>
  <c r="D2907" i="1"/>
  <c r="H2901" i="1" l="1"/>
  <c r="H2900" i="1"/>
  <c r="H2899" i="1"/>
  <c r="H2898" i="1"/>
  <c r="H2897" i="1"/>
  <c r="H2896" i="1"/>
  <c r="H2895" i="1"/>
  <c r="H2894" i="1"/>
  <c r="H2893" i="1"/>
  <c r="F2901" i="1"/>
  <c r="D2901" i="1"/>
  <c r="F2900" i="1"/>
  <c r="D2900" i="1"/>
  <c r="F2899" i="1"/>
  <c r="D2899" i="1"/>
  <c r="F2898" i="1"/>
  <c r="D2898" i="1"/>
  <c r="F2897" i="1"/>
  <c r="D2897" i="1"/>
  <c r="F2896" i="1"/>
  <c r="D2896" i="1"/>
  <c r="F2895" i="1"/>
  <c r="D2895" i="1"/>
  <c r="F2894" i="1"/>
  <c r="D2894" i="1"/>
  <c r="F2893" i="1"/>
  <c r="D2893" i="1"/>
  <c r="H2892" i="1"/>
  <c r="H2891" i="1"/>
  <c r="H2890" i="1"/>
  <c r="H2889" i="1"/>
  <c r="H2888" i="1"/>
  <c r="H2887" i="1"/>
  <c r="H2886" i="1"/>
  <c r="H2885" i="1"/>
  <c r="H2884" i="1"/>
  <c r="H2883" i="1"/>
  <c r="F2892" i="1"/>
  <c r="D2892" i="1"/>
  <c r="F2891" i="1"/>
  <c r="D2891" i="1"/>
  <c r="F2890" i="1"/>
  <c r="D2890" i="1"/>
  <c r="F2889" i="1"/>
  <c r="D2889" i="1"/>
  <c r="F2888" i="1"/>
  <c r="D2888" i="1"/>
  <c r="F2887" i="1"/>
  <c r="D2887" i="1"/>
  <c r="F2886" i="1"/>
  <c r="D2886" i="1"/>
  <c r="F2885" i="1"/>
  <c r="D2885" i="1"/>
  <c r="F2884" i="1"/>
  <c r="D2884" i="1"/>
  <c r="F2883" i="1"/>
  <c r="D2883" i="1"/>
  <c r="H2882" i="1"/>
  <c r="H2881" i="1"/>
  <c r="H2880" i="1"/>
  <c r="H2879" i="1"/>
  <c r="H2878" i="1"/>
  <c r="H2877" i="1"/>
  <c r="H2876" i="1"/>
  <c r="H2875" i="1"/>
  <c r="H2874" i="1"/>
  <c r="H2873" i="1"/>
  <c r="D2873" i="1"/>
  <c r="F2882" i="1"/>
  <c r="D2882" i="1"/>
  <c r="F2881" i="1"/>
  <c r="D2881" i="1"/>
  <c r="F2880" i="1"/>
  <c r="D2880" i="1"/>
  <c r="F2879" i="1"/>
  <c r="D2879" i="1"/>
  <c r="F2878" i="1"/>
  <c r="D2878" i="1"/>
  <c r="F2877" i="1"/>
  <c r="D2877" i="1"/>
  <c r="F2876" i="1"/>
  <c r="D2876" i="1"/>
  <c r="F2875" i="1"/>
  <c r="D2875" i="1"/>
  <c r="F2874" i="1"/>
  <c r="D2874" i="1"/>
  <c r="F2873" i="1"/>
  <c r="H2872" i="1" l="1"/>
  <c r="H2871" i="1"/>
  <c r="H2870" i="1"/>
  <c r="H2869" i="1"/>
  <c r="H2868" i="1"/>
  <c r="H2867" i="1"/>
  <c r="H2866" i="1"/>
  <c r="H2865" i="1"/>
  <c r="H2864" i="1"/>
  <c r="H2863" i="1"/>
  <c r="F2872" i="1"/>
  <c r="D2872" i="1"/>
  <c r="F2871" i="1"/>
  <c r="D2871" i="1"/>
  <c r="F2870" i="1"/>
  <c r="D2870" i="1"/>
  <c r="F2869" i="1"/>
  <c r="D2869" i="1"/>
  <c r="F2868" i="1"/>
  <c r="D2868" i="1"/>
  <c r="F2867" i="1"/>
  <c r="D2867" i="1"/>
  <c r="F2866" i="1"/>
  <c r="D2866" i="1"/>
  <c r="F2865" i="1"/>
  <c r="D2865" i="1"/>
  <c r="F2864" i="1"/>
  <c r="D2864" i="1"/>
  <c r="F2863" i="1"/>
  <c r="D2863" i="1"/>
  <c r="H2862" i="1"/>
  <c r="H2861" i="1"/>
  <c r="H2860" i="1"/>
  <c r="H2859" i="1"/>
  <c r="H2858" i="1"/>
  <c r="H2857" i="1"/>
  <c r="H2856" i="1"/>
  <c r="H2855" i="1"/>
  <c r="H2854" i="1"/>
  <c r="H2853" i="1"/>
  <c r="F2862" i="1"/>
  <c r="D2862" i="1"/>
  <c r="F2861" i="1"/>
  <c r="D2861" i="1"/>
  <c r="F2860" i="1"/>
  <c r="D2860" i="1"/>
  <c r="F2859" i="1"/>
  <c r="D2859" i="1"/>
  <c r="F2858" i="1"/>
  <c r="D2858" i="1"/>
  <c r="F2857" i="1"/>
  <c r="D2857" i="1"/>
  <c r="F2856" i="1"/>
  <c r="D2856" i="1"/>
  <c r="F2855" i="1"/>
  <c r="D2855" i="1"/>
  <c r="F2854" i="1"/>
  <c r="D2854" i="1"/>
  <c r="F2853" i="1"/>
  <c r="D2853" i="1"/>
  <c r="H2852" i="1" l="1"/>
  <c r="H2851" i="1"/>
  <c r="H2850" i="1"/>
  <c r="H2849" i="1"/>
  <c r="H2848" i="1"/>
  <c r="H2847" i="1"/>
  <c r="H2846" i="1"/>
  <c r="H2845" i="1"/>
  <c r="H2844" i="1"/>
  <c r="F2852" i="1"/>
  <c r="D2852" i="1"/>
  <c r="F2851" i="1"/>
  <c r="D2851" i="1"/>
  <c r="F2850" i="1"/>
  <c r="D2850" i="1"/>
  <c r="F2849" i="1"/>
  <c r="D2849" i="1"/>
  <c r="F2848" i="1"/>
  <c r="D2848" i="1"/>
  <c r="F2847" i="1"/>
  <c r="D2847" i="1"/>
  <c r="F2846" i="1"/>
  <c r="D2846" i="1"/>
  <c r="F2845" i="1"/>
  <c r="D2845" i="1"/>
  <c r="F2844" i="1"/>
  <c r="D2844" i="1"/>
  <c r="H2843" i="1" l="1"/>
  <c r="H2842" i="1"/>
  <c r="H2841" i="1"/>
  <c r="H2840" i="1"/>
  <c r="H2839" i="1"/>
  <c r="H2838" i="1"/>
  <c r="H2837" i="1"/>
  <c r="H2836" i="1"/>
  <c r="H2835" i="1"/>
  <c r="H2834" i="1"/>
  <c r="F2843" i="1"/>
  <c r="D2843" i="1"/>
  <c r="F2842" i="1"/>
  <c r="D2842" i="1"/>
  <c r="F2841" i="1"/>
  <c r="D2841" i="1"/>
  <c r="F2840" i="1"/>
  <c r="D2840" i="1"/>
  <c r="F2839" i="1"/>
  <c r="D2839" i="1"/>
  <c r="F2838" i="1"/>
  <c r="D2838" i="1"/>
  <c r="F2837" i="1"/>
  <c r="D2837" i="1"/>
  <c r="F2836" i="1"/>
  <c r="D2836" i="1"/>
  <c r="F2835" i="1"/>
  <c r="D2835" i="1"/>
  <c r="F2834" i="1"/>
  <c r="D2834" i="1"/>
  <c r="H2833" i="1" l="1"/>
  <c r="H2832" i="1"/>
  <c r="H2831" i="1"/>
  <c r="H2830" i="1"/>
  <c r="H2829" i="1"/>
  <c r="H2828" i="1"/>
  <c r="H2827" i="1"/>
  <c r="H2826" i="1"/>
  <c r="H2825" i="1"/>
  <c r="H2824" i="1"/>
  <c r="F2833" i="1"/>
  <c r="D2833" i="1"/>
  <c r="F2832" i="1"/>
  <c r="D2832" i="1"/>
  <c r="F2831" i="1"/>
  <c r="D2831" i="1"/>
  <c r="F2830" i="1"/>
  <c r="D2830" i="1"/>
  <c r="F2829" i="1"/>
  <c r="D2829" i="1"/>
  <c r="F2828" i="1"/>
  <c r="D2828" i="1"/>
  <c r="F2827" i="1"/>
  <c r="D2827" i="1"/>
  <c r="F2826" i="1"/>
  <c r="D2826" i="1"/>
  <c r="F2825" i="1"/>
  <c r="D2825" i="1"/>
  <c r="F2824" i="1"/>
  <c r="D2824" i="1"/>
  <c r="H2823" i="1" l="1"/>
  <c r="F2823" i="1"/>
  <c r="D2823" i="1"/>
  <c r="H2822" i="1"/>
  <c r="F2822" i="1"/>
  <c r="D2822" i="1"/>
  <c r="H2821" i="1"/>
  <c r="F2821" i="1"/>
  <c r="D2821" i="1"/>
  <c r="H2820" i="1"/>
  <c r="F2820" i="1"/>
  <c r="D2820" i="1"/>
  <c r="H2819" i="1"/>
  <c r="F2819" i="1"/>
  <c r="D2819" i="1"/>
  <c r="H2818" i="1"/>
  <c r="F2818" i="1"/>
  <c r="D2818" i="1"/>
  <c r="H2817" i="1"/>
  <c r="F2817" i="1"/>
  <c r="D2817" i="1"/>
  <c r="H2816" i="1"/>
  <c r="F2816" i="1"/>
  <c r="D2816" i="1"/>
  <c r="H2815" i="1"/>
  <c r="F2815" i="1"/>
  <c r="D2815" i="1"/>
  <c r="H2814" i="1"/>
  <c r="F2814" i="1"/>
  <c r="D2814" i="1"/>
  <c r="H2808" i="1" l="1"/>
  <c r="H2807" i="1"/>
  <c r="H2806" i="1"/>
  <c r="H2805" i="1"/>
  <c r="H2804" i="1"/>
  <c r="H2813" i="1"/>
  <c r="H2812" i="1"/>
  <c r="H2811" i="1"/>
  <c r="H2810" i="1"/>
  <c r="H2809" i="1"/>
  <c r="F2813" i="1"/>
  <c r="D2813" i="1"/>
  <c r="F2812" i="1"/>
  <c r="D2812" i="1"/>
  <c r="F2811" i="1"/>
  <c r="D2811" i="1"/>
  <c r="F2810" i="1"/>
  <c r="D2810" i="1"/>
  <c r="F2809" i="1"/>
  <c r="D2809" i="1"/>
  <c r="F2808" i="1"/>
  <c r="D2808" i="1"/>
  <c r="F2807" i="1"/>
  <c r="D2807" i="1"/>
  <c r="F2806" i="1"/>
  <c r="D2806" i="1"/>
  <c r="F2805" i="1"/>
  <c r="D2805" i="1"/>
  <c r="F2804" i="1"/>
  <c r="D2804" i="1"/>
  <c r="H2803" i="1" l="1"/>
  <c r="H2802" i="1"/>
  <c r="H2801" i="1"/>
  <c r="H2800" i="1"/>
  <c r="H2799" i="1"/>
  <c r="H2798" i="1"/>
  <c r="H2797" i="1"/>
  <c r="H2796" i="1"/>
  <c r="H2795" i="1"/>
  <c r="F2803" i="1"/>
  <c r="D2803" i="1"/>
  <c r="F2802" i="1"/>
  <c r="D2802" i="1"/>
  <c r="F2801" i="1"/>
  <c r="D2801" i="1"/>
  <c r="F2800" i="1"/>
  <c r="D2800" i="1"/>
  <c r="F2799" i="1"/>
  <c r="D2799" i="1"/>
  <c r="F2798" i="1"/>
  <c r="D2798" i="1"/>
  <c r="F2797" i="1"/>
  <c r="D2797" i="1"/>
  <c r="F2796" i="1"/>
  <c r="D2796" i="1"/>
  <c r="F2795" i="1"/>
  <c r="D2795" i="1"/>
  <c r="H2794" i="1" l="1"/>
  <c r="H2793" i="1"/>
  <c r="H2792" i="1"/>
  <c r="H2791" i="1"/>
  <c r="H2790" i="1"/>
  <c r="H2789" i="1"/>
  <c r="H2788" i="1"/>
  <c r="H2787" i="1"/>
  <c r="H2786" i="1"/>
  <c r="F2794" i="1"/>
  <c r="D2794" i="1"/>
  <c r="F2793" i="1"/>
  <c r="D2793" i="1"/>
  <c r="F2792" i="1"/>
  <c r="D2792" i="1"/>
  <c r="F2791" i="1"/>
  <c r="D2791" i="1"/>
  <c r="F2790" i="1"/>
  <c r="D2790" i="1"/>
  <c r="F2789" i="1"/>
  <c r="D2789" i="1"/>
  <c r="F2788" i="1"/>
  <c r="D2788" i="1"/>
  <c r="F2787" i="1"/>
  <c r="D2787" i="1"/>
  <c r="F2786" i="1"/>
  <c r="D2786" i="1"/>
  <c r="H2775" i="1" l="1"/>
  <c r="H2774" i="1"/>
  <c r="H2773" i="1"/>
  <c r="H2772" i="1"/>
  <c r="H2771" i="1"/>
  <c r="H2770" i="1"/>
  <c r="H2767" i="1"/>
  <c r="H2768" i="1"/>
  <c r="H2769" i="1"/>
  <c r="H2766" i="1"/>
  <c r="F2775" i="1"/>
  <c r="D2775" i="1"/>
  <c r="F2774" i="1"/>
  <c r="D2774" i="1"/>
  <c r="F2773" i="1"/>
  <c r="D2773" i="1"/>
  <c r="F2772" i="1"/>
  <c r="D2772" i="1"/>
  <c r="F2771" i="1"/>
  <c r="D2771" i="1"/>
  <c r="F2770" i="1"/>
  <c r="D2770" i="1"/>
  <c r="F2769" i="1"/>
  <c r="D2769" i="1"/>
  <c r="F2768" i="1"/>
  <c r="D2768" i="1"/>
  <c r="F2767" i="1"/>
  <c r="D2767" i="1"/>
  <c r="F2766" i="1"/>
  <c r="D2766" i="1"/>
  <c r="H2785" i="1" l="1"/>
  <c r="H2784" i="1"/>
  <c r="H2783" i="1"/>
  <c r="H2782" i="1"/>
  <c r="H2781" i="1"/>
  <c r="H2780" i="1"/>
  <c r="H2779" i="1"/>
  <c r="D2779" i="1"/>
  <c r="H2778" i="1"/>
  <c r="H2777" i="1"/>
  <c r="H2776" i="1"/>
  <c r="F2785" i="1"/>
  <c r="D2785" i="1"/>
  <c r="F2784" i="1"/>
  <c r="D2784" i="1"/>
  <c r="F2783" i="1"/>
  <c r="D2783" i="1"/>
  <c r="F2782" i="1"/>
  <c r="D2782" i="1"/>
  <c r="F2781" i="1"/>
  <c r="D2781" i="1"/>
  <c r="F2780" i="1"/>
  <c r="D2780" i="1"/>
  <c r="F2779" i="1"/>
  <c r="F2778" i="1"/>
  <c r="D2778" i="1"/>
  <c r="F2777" i="1"/>
  <c r="D2777" i="1"/>
  <c r="F2776" i="1"/>
  <c r="D2776" i="1"/>
  <c r="H2765" i="1" l="1"/>
  <c r="H2764" i="1"/>
  <c r="H2763" i="1"/>
  <c r="H2762" i="1"/>
  <c r="H2761" i="1"/>
  <c r="H2760" i="1"/>
  <c r="H2759" i="1"/>
  <c r="H2758" i="1"/>
  <c r="H2757" i="1"/>
  <c r="F2765" i="1"/>
  <c r="D2765" i="1"/>
  <c r="F2764" i="1"/>
  <c r="D2764" i="1"/>
  <c r="F2763" i="1"/>
  <c r="D2763" i="1"/>
  <c r="F2762" i="1"/>
  <c r="D2762" i="1"/>
  <c r="F2761" i="1"/>
  <c r="D2761" i="1"/>
  <c r="F2760" i="1"/>
  <c r="D2760" i="1"/>
  <c r="F2759" i="1"/>
  <c r="D2759" i="1"/>
  <c r="F2758" i="1"/>
  <c r="D2758" i="1"/>
  <c r="F2757" i="1"/>
  <c r="D2757" i="1"/>
  <c r="H2756" i="1" l="1"/>
  <c r="H2755" i="1"/>
  <c r="H2754" i="1"/>
  <c r="H2753" i="1"/>
  <c r="H2752" i="1"/>
  <c r="H2751" i="1"/>
  <c r="H2750" i="1"/>
  <c r="H2749" i="1"/>
  <c r="H2748" i="1"/>
  <c r="F2756" i="1"/>
  <c r="D2756" i="1"/>
  <c r="F2755" i="1"/>
  <c r="D2755" i="1"/>
  <c r="F2754" i="1"/>
  <c r="D2754" i="1"/>
  <c r="F2753" i="1"/>
  <c r="D2753" i="1"/>
  <c r="F2752" i="1"/>
  <c r="D2752" i="1"/>
  <c r="F2751" i="1"/>
  <c r="D2751" i="1"/>
  <c r="F2750" i="1"/>
  <c r="D2750" i="1"/>
  <c r="F2749" i="1"/>
  <c r="D2749" i="1"/>
  <c r="F2748" i="1"/>
  <c r="D2748" i="1"/>
  <c r="H2732" i="1" l="1"/>
  <c r="H2731" i="1"/>
  <c r="F2731" i="1"/>
  <c r="H2730" i="1"/>
  <c r="H2729" i="1"/>
  <c r="H2728" i="1"/>
  <c r="H2737" i="1"/>
  <c r="H2736" i="1"/>
  <c r="H2735" i="1"/>
  <c r="H2734" i="1"/>
  <c r="H2733" i="1"/>
  <c r="F2737" i="1"/>
  <c r="D2737" i="1"/>
  <c r="F2736" i="1"/>
  <c r="D2736" i="1"/>
  <c r="F2735" i="1"/>
  <c r="D2735" i="1"/>
  <c r="F2734" i="1"/>
  <c r="D2734" i="1"/>
  <c r="F2733" i="1"/>
  <c r="D2733" i="1"/>
  <c r="F2732" i="1"/>
  <c r="D2732" i="1"/>
  <c r="D2731" i="1"/>
  <c r="F2730" i="1"/>
  <c r="D2730" i="1"/>
  <c r="F2729" i="1"/>
  <c r="D2729" i="1"/>
  <c r="F2728" i="1"/>
  <c r="D2728" i="1"/>
  <c r="H2747" i="1" l="1"/>
  <c r="H2746" i="1"/>
  <c r="H2745" i="1"/>
  <c r="H2744" i="1"/>
  <c r="H2743" i="1"/>
  <c r="H2742" i="1"/>
  <c r="H2741" i="1"/>
  <c r="H2740" i="1"/>
  <c r="H2739" i="1"/>
  <c r="H2738" i="1"/>
  <c r="F2747" i="1"/>
  <c r="D2747" i="1"/>
  <c r="F2746" i="1"/>
  <c r="D2746" i="1"/>
  <c r="F2745" i="1"/>
  <c r="D2745" i="1"/>
  <c r="F2744" i="1"/>
  <c r="D2744" i="1"/>
  <c r="F2743" i="1"/>
  <c r="D2743" i="1"/>
  <c r="F2742" i="1"/>
  <c r="D2742" i="1"/>
  <c r="F2741" i="1"/>
  <c r="D2741" i="1"/>
  <c r="F2740" i="1"/>
  <c r="D2740" i="1"/>
  <c r="F2739" i="1"/>
  <c r="D2739" i="1"/>
  <c r="F2738" i="1"/>
  <c r="D2738" i="1"/>
  <c r="H2727" i="1" l="1"/>
  <c r="H2726" i="1"/>
  <c r="H2725" i="1"/>
  <c r="H2724" i="1"/>
  <c r="H2723" i="1"/>
  <c r="H2722" i="1"/>
  <c r="H2721" i="1"/>
  <c r="H2720" i="1"/>
  <c r="H2719" i="1"/>
  <c r="F2727" i="1"/>
  <c r="D2727" i="1"/>
  <c r="F2726" i="1"/>
  <c r="D2726" i="1"/>
  <c r="F2725" i="1"/>
  <c r="D2725" i="1"/>
  <c r="F2724" i="1"/>
  <c r="D2724" i="1"/>
  <c r="F2723" i="1"/>
  <c r="D2723" i="1"/>
  <c r="F2722" i="1"/>
  <c r="D2722" i="1"/>
  <c r="F2721" i="1"/>
  <c r="D2721" i="1"/>
  <c r="F2720" i="1"/>
  <c r="D2720" i="1"/>
  <c r="F2719" i="1"/>
  <c r="D2719" i="1"/>
  <c r="H2718" i="1" l="1"/>
  <c r="H2717" i="1"/>
  <c r="H2716" i="1"/>
  <c r="H2715" i="1"/>
  <c r="H2714" i="1"/>
  <c r="H2713" i="1"/>
  <c r="H2712" i="1"/>
  <c r="H2711" i="1"/>
  <c r="H2710" i="1"/>
  <c r="F2718" i="1"/>
  <c r="D2718" i="1"/>
  <c r="F2717" i="1"/>
  <c r="D2717" i="1"/>
  <c r="F2716" i="1"/>
  <c r="D2716" i="1"/>
  <c r="F2715" i="1"/>
  <c r="D2715" i="1"/>
  <c r="F2714" i="1"/>
  <c r="D2714" i="1"/>
  <c r="F2713" i="1"/>
  <c r="D2713" i="1"/>
  <c r="F2712" i="1"/>
  <c r="D2712" i="1"/>
  <c r="F2711" i="1"/>
  <c r="D2711" i="1"/>
  <c r="F2710" i="1"/>
  <c r="D2710" i="1"/>
  <c r="H2697" i="1" l="1"/>
  <c r="F2697" i="1"/>
  <c r="D2697" i="1"/>
  <c r="H2705" i="1"/>
  <c r="H2704" i="1"/>
  <c r="H2703" i="1"/>
  <c r="H2702" i="1"/>
  <c r="H2709" i="1"/>
  <c r="H2708" i="1"/>
  <c r="H2707" i="1"/>
  <c r="F2707" i="1"/>
  <c r="D2707" i="1"/>
  <c r="H2706" i="1"/>
  <c r="F2706" i="1"/>
  <c r="D2706" i="1"/>
  <c r="H2701" i="1"/>
  <c r="F2709" i="1"/>
  <c r="D2709" i="1"/>
  <c r="F2708" i="1"/>
  <c r="D2708" i="1"/>
  <c r="F2705" i="1"/>
  <c r="D2705" i="1"/>
  <c r="F2704" i="1"/>
  <c r="D2704" i="1"/>
  <c r="F2703" i="1"/>
  <c r="D2703" i="1"/>
  <c r="F2702" i="1"/>
  <c r="D2702" i="1"/>
  <c r="F2701" i="1"/>
  <c r="D2701" i="1"/>
  <c r="H2700" i="1" l="1"/>
  <c r="H2699" i="1" l="1"/>
  <c r="H2698" i="1" l="1"/>
  <c r="H2696" i="1" l="1"/>
  <c r="F2700" i="1"/>
  <c r="D2700" i="1"/>
  <c r="F2699" i="1"/>
  <c r="D2699" i="1"/>
  <c r="F2698" i="1"/>
  <c r="D2698" i="1"/>
  <c r="F2696" i="1"/>
  <c r="D2696" i="1"/>
  <c r="H2695" i="1" l="1"/>
  <c r="H2694" i="1"/>
  <c r="H2693" i="1"/>
  <c r="H2692" i="1"/>
  <c r="H2691" i="1"/>
  <c r="H2690" i="1"/>
  <c r="H2689" i="1"/>
  <c r="H2688" i="1"/>
  <c r="H2687" i="1"/>
  <c r="H2686" i="1"/>
  <c r="F2695" i="1"/>
  <c r="D2695" i="1"/>
  <c r="F2694" i="1"/>
  <c r="D2694" i="1"/>
  <c r="F2693" i="1"/>
  <c r="D2693" i="1"/>
  <c r="F2692" i="1"/>
  <c r="D2692" i="1"/>
  <c r="F2691" i="1"/>
  <c r="D2691" i="1"/>
  <c r="F2690" i="1"/>
  <c r="D2690" i="1"/>
  <c r="F2689" i="1"/>
  <c r="D2689" i="1"/>
  <c r="F2688" i="1"/>
  <c r="D2688" i="1"/>
  <c r="F2687" i="1"/>
  <c r="D2687" i="1"/>
  <c r="F2686" i="1"/>
  <c r="D2686" i="1"/>
  <c r="H2685" i="1" l="1"/>
  <c r="F2685" i="1"/>
  <c r="D2685" i="1"/>
  <c r="H2684" i="1"/>
  <c r="F2684" i="1"/>
  <c r="D2684" i="1"/>
  <c r="H2683" i="1"/>
  <c r="F2683" i="1"/>
  <c r="D2683" i="1"/>
  <c r="H2682" i="1"/>
  <c r="F2682" i="1"/>
  <c r="D2682" i="1"/>
  <c r="H2681" i="1"/>
  <c r="F2681" i="1"/>
  <c r="D2681" i="1"/>
  <c r="H2680" i="1"/>
  <c r="F2680" i="1"/>
  <c r="D2680" i="1"/>
  <c r="H2679" i="1"/>
  <c r="F2679" i="1"/>
  <c r="D2679" i="1"/>
  <c r="H2678" i="1"/>
  <c r="F2678" i="1"/>
  <c r="D2678" i="1"/>
  <c r="H2677" i="1"/>
  <c r="F2677" i="1"/>
  <c r="D2677" i="1"/>
  <c r="H2676" i="1"/>
  <c r="F2676" i="1"/>
  <c r="D2676" i="1"/>
  <c r="H2675" i="1" l="1"/>
  <c r="H2674" i="1"/>
  <c r="H2673" i="1"/>
  <c r="H2672" i="1"/>
  <c r="H2671" i="1"/>
  <c r="H2670" i="1"/>
  <c r="H2669" i="1"/>
  <c r="F2669" i="1"/>
  <c r="H2668" i="1"/>
  <c r="H2667" i="1"/>
  <c r="F2675" i="1"/>
  <c r="D2675" i="1"/>
  <c r="F2674" i="1"/>
  <c r="D2674" i="1"/>
  <c r="F2673" i="1"/>
  <c r="D2673" i="1"/>
  <c r="F2672" i="1"/>
  <c r="D2672" i="1"/>
  <c r="F2671" i="1"/>
  <c r="D2671" i="1"/>
  <c r="F2670" i="1"/>
  <c r="D2670" i="1"/>
  <c r="D2669" i="1"/>
  <c r="F2668" i="1"/>
  <c r="D2668" i="1"/>
  <c r="F2667" i="1"/>
  <c r="D2667" i="1"/>
  <c r="H2666" i="1" l="1"/>
  <c r="H2665" i="1"/>
  <c r="H2664" i="1"/>
  <c r="H2663" i="1"/>
  <c r="H2662" i="1"/>
  <c r="H2661" i="1"/>
  <c r="H2660" i="1"/>
  <c r="H2659" i="1"/>
  <c r="H2658" i="1"/>
  <c r="F2666" i="1"/>
  <c r="D2666" i="1"/>
  <c r="F2665" i="1"/>
  <c r="D2665" i="1"/>
  <c r="F2664" i="1"/>
  <c r="D2664" i="1"/>
  <c r="F2663" i="1"/>
  <c r="D2663" i="1"/>
  <c r="F2662" i="1"/>
  <c r="D2662" i="1"/>
  <c r="F2661" i="1"/>
  <c r="D2661" i="1"/>
  <c r="F2660" i="1"/>
  <c r="D2660" i="1"/>
  <c r="F2659" i="1"/>
  <c r="D2659" i="1"/>
  <c r="F2658" i="1"/>
  <c r="D2658" i="1"/>
  <c r="H2657" i="1" l="1"/>
  <c r="H2656" i="1"/>
  <c r="H2655" i="1"/>
  <c r="H2654" i="1"/>
  <c r="H2653" i="1"/>
  <c r="H2652" i="1"/>
  <c r="H2651" i="1"/>
  <c r="H2650" i="1"/>
  <c r="H2649" i="1"/>
  <c r="F2657" i="1"/>
  <c r="D2657" i="1"/>
  <c r="F2656" i="1"/>
  <c r="D2656" i="1"/>
  <c r="F2655" i="1"/>
  <c r="D2655" i="1"/>
  <c r="F2654" i="1"/>
  <c r="D2654" i="1"/>
  <c r="F2653" i="1"/>
  <c r="D2653" i="1"/>
  <c r="F2652" i="1"/>
  <c r="D2652" i="1"/>
  <c r="F2651" i="1"/>
  <c r="D2651" i="1"/>
  <c r="F2650" i="1"/>
  <c r="D2650" i="1"/>
  <c r="F2649" i="1"/>
  <c r="D2649" i="1"/>
  <c r="H2648" i="1" l="1"/>
  <c r="H2647" i="1"/>
  <c r="H2646" i="1"/>
  <c r="H2645" i="1"/>
  <c r="H2644" i="1"/>
  <c r="H2643" i="1"/>
  <c r="H2642" i="1"/>
  <c r="H2641" i="1"/>
  <c r="H2640" i="1"/>
  <c r="F2648" i="1"/>
  <c r="D2648" i="1"/>
  <c r="F2647" i="1"/>
  <c r="D2647" i="1"/>
  <c r="F2646" i="1"/>
  <c r="D2646" i="1"/>
  <c r="F2645" i="1"/>
  <c r="D2645" i="1"/>
  <c r="F2644" i="1"/>
  <c r="D2644" i="1"/>
  <c r="F2643" i="1"/>
  <c r="D2643" i="1"/>
  <c r="F2642" i="1"/>
  <c r="D2642" i="1"/>
  <c r="F2641" i="1"/>
  <c r="D2641" i="1"/>
  <c r="F2640" i="1"/>
  <c r="D2640" i="1"/>
  <c r="I3157" i="1" l="1"/>
  <c r="H2639" i="1"/>
  <c r="H2638" i="1"/>
  <c r="H2637" i="1"/>
  <c r="H2636" i="1"/>
  <c r="H2635" i="1"/>
  <c r="H2634" i="1"/>
  <c r="H2633" i="1"/>
  <c r="H2632" i="1"/>
  <c r="H2631" i="1"/>
  <c r="F2639" i="1"/>
  <c r="D2639" i="1"/>
  <c r="F2638" i="1"/>
  <c r="D2638" i="1"/>
  <c r="F2637" i="1"/>
  <c r="D2637" i="1"/>
  <c r="F2636" i="1"/>
  <c r="D2636" i="1"/>
  <c r="F2635" i="1"/>
  <c r="D2635" i="1"/>
  <c r="F2634" i="1"/>
  <c r="D2634" i="1"/>
  <c r="F2633" i="1"/>
  <c r="D2633" i="1"/>
  <c r="F2632" i="1"/>
  <c r="D2632" i="1"/>
  <c r="F2631" i="1"/>
  <c r="D2631" i="1"/>
  <c r="H2630" i="1" l="1"/>
  <c r="H2629" i="1"/>
  <c r="H2628" i="1"/>
  <c r="H2627" i="1"/>
  <c r="H2626" i="1"/>
  <c r="H2625" i="1"/>
  <c r="H2624" i="1"/>
  <c r="H2623" i="1"/>
  <c r="H2622" i="1"/>
  <c r="F2630" i="1"/>
  <c r="D2630" i="1"/>
  <c r="F2629" i="1"/>
  <c r="D2629" i="1"/>
  <c r="F2628" i="1"/>
  <c r="D2628" i="1"/>
  <c r="F2627" i="1"/>
  <c r="D2627" i="1"/>
  <c r="F2626" i="1"/>
  <c r="D2626" i="1"/>
  <c r="F2625" i="1"/>
  <c r="D2625" i="1"/>
  <c r="F2624" i="1"/>
  <c r="D2624" i="1"/>
  <c r="F2623" i="1"/>
  <c r="D2623" i="1"/>
  <c r="F2622" i="1"/>
  <c r="D2622" i="1"/>
  <c r="H2621" i="1" l="1"/>
  <c r="H2620" i="1"/>
  <c r="H2619" i="1"/>
  <c r="H2618" i="1"/>
  <c r="H2617" i="1"/>
  <c r="H2616" i="1"/>
  <c r="H2615" i="1"/>
  <c r="H2614" i="1"/>
  <c r="H2613" i="1"/>
  <c r="F2621" i="1"/>
  <c r="D2621" i="1"/>
  <c r="F2620" i="1"/>
  <c r="D2620" i="1"/>
  <c r="F2619" i="1"/>
  <c r="D2619" i="1"/>
  <c r="F2618" i="1"/>
  <c r="D2618" i="1"/>
  <c r="F2617" i="1"/>
  <c r="D2617" i="1"/>
  <c r="F2616" i="1"/>
  <c r="D2616" i="1"/>
  <c r="F2615" i="1"/>
  <c r="D2615" i="1"/>
  <c r="F2614" i="1"/>
  <c r="D2614" i="1"/>
  <c r="F2613" i="1"/>
  <c r="D2613" i="1"/>
  <c r="H2612" i="1" l="1"/>
  <c r="H2611" i="1"/>
  <c r="H2610" i="1"/>
  <c r="H2609" i="1"/>
  <c r="H2608" i="1"/>
  <c r="H2607" i="1"/>
  <c r="H2606" i="1"/>
  <c r="H2605" i="1"/>
  <c r="H2604" i="1"/>
  <c r="F2612" i="1"/>
  <c r="D2612" i="1"/>
  <c r="F2611" i="1"/>
  <c r="D2611" i="1"/>
  <c r="F2610" i="1"/>
  <c r="D2610" i="1"/>
  <c r="F2609" i="1"/>
  <c r="D2609" i="1"/>
  <c r="F2608" i="1"/>
  <c r="D2608" i="1"/>
  <c r="F2607" i="1"/>
  <c r="D2607" i="1"/>
  <c r="F2606" i="1"/>
  <c r="D2606" i="1"/>
  <c r="F2605" i="1"/>
  <c r="D2605" i="1"/>
  <c r="F2604" i="1"/>
  <c r="D2604" i="1"/>
  <c r="H2603" i="1" l="1"/>
  <c r="H2602" i="1"/>
  <c r="H2601" i="1"/>
  <c r="H2600" i="1"/>
  <c r="H2599" i="1"/>
  <c r="H2598" i="1"/>
  <c r="H2597" i="1"/>
  <c r="H2596" i="1"/>
  <c r="H2595" i="1"/>
  <c r="F2603" i="1"/>
  <c r="D2603" i="1"/>
  <c r="F2602" i="1"/>
  <c r="D2602" i="1"/>
  <c r="F2601" i="1"/>
  <c r="D2601" i="1"/>
  <c r="F2600" i="1"/>
  <c r="D2600" i="1"/>
  <c r="F2599" i="1"/>
  <c r="D2599" i="1"/>
  <c r="F2598" i="1"/>
  <c r="D2598" i="1"/>
  <c r="F2597" i="1"/>
  <c r="D2597" i="1"/>
  <c r="F2596" i="1"/>
  <c r="D2596" i="1"/>
  <c r="F2595" i="1"/>
  <c r="D2595" i="1"/>
  <c r="H2594" i="1" l="1"/>
  <c r="H2593" i="1"/>
  <c r="H2592" i="1"/>
  <c r="H2591" i="1"/>
  <c r="H2590" i="1"/>
  <c r="H2589" i="1"/>
  <c r="H2588" i="1"/>
  <c r="H2587" i="1"/>
  <c r="H2586" i="1"/>
  <c r="F2594" i="1"/>
  <c r="D2594" i="1"/>
  <c r="F2593" i="1"/>
  <c r="D2593" i="1"/>
  <c r="F2592" i="1"/>
  <c r="D2592" i="1"/>
  <c r="F2591" i="1"/>
  <c r="D2591" i="1"/>
  <c r="F2590" i="1"/>
  <c r="D2590" i="1"/>
  <c r="F2589" i="1"/>
  <c r="D2589" i="1"/>
  <c r="F2588" i="1"/>
  <c r="D2588" i="1"/>
  <c r="F2587" i="1"/>
  <c r="D2587" i="1"/>
  <c r="F2586" i="1"/>
  <c r="D2586" i="1"/>
  <c r="H2585" i="1" l="1"/>
  <c r="H2584" i="1"/>
  <c r="H2583" i="1"/>
  <c r="H2582" i="1"/>
  <c r="H2581" i="1"/>
  <c r="H2580" i="1"/>
  <c r="H2579" i="1"/>
  <c r="H2578" i="1"/>
  <c r="H2577" i="1"/>
  <c r="F2585" i="1"/>
  <c r="D2585" i="1"/>
  <c r="F2584" i="1"/>
  <c r="D2584" i="1"/>
  <c r="F2583" i="1"/>
  <c r="D2583" i="1"/>
  <c r="F2582" i="1"/>
  <c r="D2582" i="1"/>
  <c r="F2581" i="1"/>
  <c r="D2581" i="1"/>
  <c r="F2580" i="1"/>
  <c r="D2580" i="1"/>
  <c r="F2579" i="1"/>
  <c r="D2579" i="1"/>
  <c r="F2578" i="1"/>
  <c r="D2578" i="1"/>
  <c r="F2577" i="1"/>
  <c r="D2577" i="1"/>
  <c r="H2576" i="1" l="1"/>
  <c r="H2575" i="1"/>
  <c r="H2574" i="1"/>
  <c r="H2573" i="1"/>
  <c r="H2572" i="1"/>
  <c r="H2571" i="1"/>
  <c r="H2570" i="1"/>
  <c r="H2569" i="1"/>
  <c r="H2568" i="1"/>
  <c r="F2576" i="1"/>
  <c r="D2576" i="1"/>
  <c r="F2575" i="1"/>
  <c r="D2575" i="1"/>
  <c r="F2574" i="1"/>
  <c r="D2574" i="1"/>
  <c r="F2573" i="1"/>
  <c r="D2573" i="1"/>
  <c r="F2572" i="1"/>
  <c r="D2572" i="1"/>
  <c r="F2571" i="1"/>
  <c r="D2571" i="1"/>
  <c r="F2570" i="1"/>
  <c r="D2570" i="1"/>
  <c r="F2569" i="1"/>
  <c r="D2569" i="1"/>
  <c r="F2568" i="1"/>
  <c r="D2568" i="1"/>
  <c r="H2567" i="1" l="1"/>
  <c r="H2566" i="1"/>
  <c r="H2565" i="1"/>
  <c r="H2564" i="1"/>
  <c r="H2563" i="1"/>
  <c r="H2562" i="1"/>
  <c r="H2561" i="1"/>
  <c r="H2560" i="1"/>
  <c r="H2559" i="1"/>
  <c r="F2567" i="1"/>
  <c r="D2567" i="1"/>
  <c r="F2566" i="1"/>
  <c r="D2566" i="1"/>
  <c r="F2565" i="1"/>
  <c r="D2565" i="1"/>
  <c r="F2564" i="1"/>
  <c r="D2564" i="1"/>
  <c r="F2563" i="1"/>
  <c r="D2563" i="1"/>
  <c r="F2562" i="1"/>
  <c r="D2562" i="1"/>
  <c r="F2561" i="1"/>
  <c r="D2561" i="1"/>
  <c r="F2560" i="1"/>
  <c r="D2560" i="1"/>
  <c r="F2559" i="1"/>
  <c r="D2559" i="1"/>
  <c r="H2558" i="1" l="1"/>
  <c r="H2557" i="1"/>
  <c r="H2556" i="1"/>
  <c r="H2555" i="1"/>
  <c r="H2554" i="1"/>
  <c r="H2553" i="1"/>
  <c r="H2552" i="1"/>
  <c r="H2551" i="1"/>
  <c r="H2550" i="1"/>
  <c r="F2558" i="1"/>
  <c r="D2558" i="1"/>
  <c r="F2557" i="1"/>
  <c r="D2557" i="1"/>
  <c r="F2556" i="1"/>
  <c r="D2556" i="1"/>
  <c r="F2555" i="1"/>
  <c r="D2555" i="1"/>
  <c r="F2554" i="1"/>
  <c r="D2554" i="1"/>
  <c r="F2553" i="1"/>
  <c r="D2553" i="1"/>
  <c r="F2552" i="1"/>
  <c r="D2552" i="1"/>
  <c r="F2551" i="1"/>
  <c r="D2551" i="1"/>
  <c r="F2550" i="1"/>
  <c r="D2550" i="1"/>
  <c r="H2549" i="1" l="1"/>
  <c r="H2548" i="1"/>
  <c r="H2547" i="1"/>
  <c r="H2546" i="1"/>
  <c r="H2545" i="1"/>
  <c r="H2544" i="1"/>
  <c r="H2543" i="1"/>
  <c r="H2542" i="1"/>
  <c r="H2541" i="1"/>
  <c r="F2549" i="1"/>
  <c r="D2549" i="1"/>
  <c r="F2548" i="1"/>
  <c r="D2548" i="1"/>
  <c r="F2547" i="1"/>
  <c r="D2547" i="1"/>
  <c r="F2546" i="1"/>
  <c r="D2546" i="1"/>
  <c r="F2545" i="1"/>
  <c r="D2545" i="1"/>
  <c r="F2544" i="1"/>
  <c r="D2544" i="1"/>
  <c r="F2543" i="1"/>
  <c r="D2543" i="1"/>
  <c r="F2542" i="1"/>
  <c r="D2542" i="1"/>
  <c r="F2541" i="1"/>
  <c r="D2541" i="1"/>
  <c r="H2540" i="1" l="1"/>
  <c r="H2539" i="1"/>
  <c r="H2538" i="1"/>
  <c r="H2537" i="1"/>
  <c r="H2536" i="1"/>
  <c r="H2535" i="1"/>
  <c r="H2534" i="1"/>
  <c r="F2534" i="1"/>
  <c r="H2533" i="1"/>
  <c r="H2532" i="1"/>
  <c r="F2540" i="1"/>
  <c r="D2540" i="1"/>
  <c r="F2539" i="1"/>
  <c r="D2539" i="1"/>
  <c r="F2538" i="1"/>
  <c r="D2538" i="1"/>
  <c r="F2537" i="1"/>
  <c r="D2537" i="1"/>
  <c r="F2536" i="1"/>
  <c r="D2536" i="1"/>
  <c r="F2535" i="1"/>
  <c r="D2535" i="1"/>
  <c r="D2534" i="1"/>
  <c r="F2533" i="1"/>
  <c r="D2533" i="1"/>
  <c r="F2532" i="1"/>
  <c r="D2532" i="1"/>
  <c r="H2531" i="1" l="1"/>
  <c r="F2531" i="1"/>
  <c r="H2530" i="1"/>
  <c r="H2529" i="1"/>
  <c r="H2528" i="1"/>
  <c r="H2527" i="1"/>
  <c r="H2526" i="1"/>
  <c r="H2525" i="1"/>
  <c r="D2531" i="1"/>
  <c r="F2530" i="1"/>
  <c r="D2530" i="1"/>
  <c r="F2529" i="1"/>
  <c r="D2529" i="1"/>
  <c r="F2528" i="1"/>
  <c r="D2528" i="1"/>
  <c r="F2527" i="1"/>
  <c r="D2527" i="1"/>
  <c r="F2526" i="1"/>
  <c r="D2526" i="1"/>
  <c r="F2525" i="1"/>
  <c r="D2525" i="1"/>
  <c r="H2524" i="1" l="1"/>
  <c r="H2523" i="1"/>
  <c r="H2522" i="1"/>
  <c r="H2521" i="1"/>
  <c r="H2520" i="1"/>
  <c r="H2519" i="1"/>
  <c r="H2518" i="1"/>
  <c r="H2517" i="1"/>
  <c r="H2516" i="1"/>
  <c r="F2524" i="1"/>
  <c r="D2524" i="1"/>
  <c r="F2523" i="1"/>
  <c r="D2523" i="1"/>
  <c r="F2522" i="1"/>
  <c r="D2522" i="1"/>
  <c r="F2521" i="1"/>
  <c r="D2521" i="1"/>
  <c r="F2520" i="1"/>
  <c r="D2520" i="1"/>
  <c r="F2519" i="1"/>
  <c r="D2519" i="1"/>
  <c r="F2518" i="1"/>
  <c r="D2518" i="1"/>
  <c r="F2517" i="1"/>
  <c r="D2517" i="1"/>
  <c r="F2516" i="1"/>
  <c r="D2516" i="1"/>
  <c r="H2515" i="1"/>
  <c r="H2514" i="1"/>
  <c r="H2513" i="1"/>
  <c r="F2513" i="1"/>
  <c r="H2512" i="1"/>
  <c r="H2511" i="1"/>
  <c r="H2510" i="1"/>
  <c r="H2509" i="1"/>
  <c r="H2508" i="1"/>
  <c r="H2507" i="1"/>
  <c r="F2515" i="1"/>
  <c r="D2515" i="1"/>
  <c r="F2514" i="1"/>
  <c r="D2514" i="1"/>
  <c r="D2513" i="1"/>
  <c r="F2512" i="1"/>
  <c r="D2512" i="1"/>
  <c r="F2511" i="1"/>
  <c r="D2511" i="1"/>
  <c r="F2510" i="1"/>
  <c r="D2510" i="1"/>
  <c r="F2509" i="1"/>
  <c r="D2509" i="1"/>
  <c r="F2508" i="1"/>
  <c r="D2508" i="1"/>
  <c r="F2507" i="1"/>
  <c r="D2507" i="1"/>
  <c r="H2506" i="1" l="1"/>
  <c r="H2505" i="1"/>
  <c r="H2504" i="1"/>
  <c r="H2503" i="1"/>
  <c r="H2502" i="1"/>
  <c r="H2501" i="1"/>
  <c r="H2500" i="1"/>
  <c r="H2499" i="1"/>
  <c r="H2498" i="1"/>
  <c r="F2506" i="1"/>
  <c r="D2506" i="1"/>
  <c r="F2505" i="1"/>
  <c r="D2505" i="1"/>
  <c r="F2504" i="1"/>
  <c r="D2504" i="1"/>
  <c r="F2503" i="1"/>
  <c r="D2503" i="1"/>
  <c r="F2502" i="1"/>
  <c r="D2502" i="1"/>
  <c r="F2501" i="1"/>
  <c r="D2501" i="1"/>
  <c r="F2500" i="1"/>
  <c r="D2500" i="1"/>
  <c r="F2499" i="1"/>
  <c r="D2499" i="1"/>
  <c r="F2498" i="1"/>
  <c r="D2498" i="1"/>
  <c r="H2497" i="1" l="1"/>
  <c r="H2496" i="1"/>
  <c r="H2495" i="1"/>
  <c r="H2494" i="1"/>
  <c r="H2493" i="1"/>
  <c r="H2492" i="1"/>
  <c r="H2491" i="1"/>
  <c r="F2497" i="1"/>
  <c r="D2497" i="1"/>
  <c r="F2496" i="1"/>
  <c r="D2496" i="1"/>
  <c r="F2495" i="1"/>
  <c r="D2495" i="1"/>
  <c r="F2494" i="1"/>
  <c r="D2494" i="1"/>
  <c r="F2493" i="1"/>
  <c r="D2493" i="1"/>
  <c r="F2492" i="1"/>
  <c r="D2492" i="1"/>
  <c r="F2491" i="1"/>
  <c r="D2491" i="1"/>
  <c r="H2490" i="1" l="1"/>
  <c r="H2489" i="1"/>
  <c r="H2488" i="1"/>
  <c r="H2487" i="1"/>
  <c r="H2486" i="1"/>
  <c r="H2485" i="1"/>
  <c r="H2484" i="1"/>
  <c r="H2483" i="1"/>
  <c r="H2482" i="1"/>
  <c r="F2490" i="1"/>
  <c r="D2490" i="1"/>
  <c r="F2489" i="1"/>
  <c r="D2489" i="1"/>
  <c r="F2488" i="1"/>
  <c r="D2488" i="1"/>
  <c r="F2487" i="1"/>
  <c r="D2487" i="1"/>
  <c r="F2486" i="1"/>
  <c r="D2486" i="1"/>
  <c r="F2485" i="1"/>
  <c r="D2485" i="1"/>
  <c r="F2484" i="1"/>
  <c r="D2484" i="1"/>
  <c r="F2483" i="1"/>
  <c r="D2483" i="1"/>
  <c r="F2482" i="1"/>
  <c r="D2482" i="1"/>
  <c r="H2481" i="1" l="1"/>
  <c r="H2480" i="1"/>
  <c r="H2479" i="1"/>
  <c r="H2478" i="1"/>
  <c r="H2477" i="1"/>
  <c r="H2476" i="1"/>
  <c r="H2475" i="1"/>
  <c r="H2474" i="1"/>
  <c r="H2473" i="1"/>
  <c r="F2481" i="1"/>
  <c r="D2481" i="1"/>
  <c r="F2480" i="1"/>
  <c r="D2480" i="1"/>
  <c r="F2479" i="1"/>
  <c r="D2479" i="1"/>
  <c r="F2478" i="1"/>
  <c r="D2478" i="1"/>
  <c r="F2477" i="1"/>
  <c r="D2477" i="1"/>
  <c r="F2476" i="1"/>
  <c r="D2476" i="1"/>
  <c r="F2475" i="1"/>
  <c r="D2475" i="1"/>
  <c r="F2474" i="1"/>
  <c r="D2474" i="1"/>
  <c r="F2473" i="1"/>
  <c r="D2473" i="1"/>
  <c r="H2472" i="1"/>
  <c r="H2471" i="1"/>
  <c r="H2470" i="1"/>
  <c r="H2469" i="1"/>
  <c r="H2468" i="1"/>
  <c r="H2467" i="1"/>
  <c r="H2466" i="1"/>
  <c r="H2465" i="1"/>
  <c r="H2464" i="1"/>
  <c r="F2472" i="1"/>
  <c r="D2472" i="1"/>
  <c r="F2471" i="1"/>
  <c r="D2471" i="1"/>
  <c r="F2470" i="1"/>
  <c r="D2470" i="1"/>
  <c r="F2469" i="1"/>
  <c r="D2469" i="1"/>
  <c r="F2468" i="1"/>
  <c r="D2468" i="1"/>
  <c r="F2467" i="1"/>
  <c r="D2467" i="1"/>
  <c r="F2466" i="1"/>
  <c r="D2466" i="1"/>
  <c r="F2465" i="1"/>
  <c r="D2465" i="1"/>
  <c r="F2464" i="1"/>
  <c r="D2464" i="1"/>
  <c r="H2463" i="1"/>
  <c r="H2462" i="1"/>
  <c r="H2461" i="1"/>
  <c r="H2460" i="1"/>
  <c r="H2459" i="1"/>
  <c r="H2458" i="1"/>
  <c r="H2457" i="1"/>
  <c r="H2456" i="1"/>
  <c r="H2455" i="1"/>
  <c r="F2463" i="1"/>
  <c r="D2463" i="1"/>
  <c r="F2462" i="1"/>
  <c r="D2462" i="1"/>
  <c r="F2461" i="1"/>
  <c r="D2461" i="1"/>
  <c r="F2460" i="1"/>
  <c r="D2460" i="1"/>
  <c r="F2459" i="1"/>
  <c r="D2459" i="1"/>
  <c r="F2458" i="1"/>
  <c r="D2458" i="1"/>
  <c r="F2457" i="1"/>
  <c r="D2457" i="1"/>
  <c r="F2456" i="1"/>
  <c r="D2456" i="1"/>
  <c r="F2455" i="1"/>
  <c r="D2455" i="1"/>
  <c r="H2454" i="1" l="1"/>
  <c r="H2453" i="1"/>
  <c r="H2452" i="1"/>
  <c r="H2451" i="1"/>
  <c r="H2450" i="1"/>
  <c r="H2449" i="1"/>
  <c r="H2448" i="1"/>
  <c r="H2447" i="1"/>
  <c r="H2446" i="1"/>
  <c r="F2454" i="1"/>
  <c r="D2454" i="1"/>
  <c r="F2453" i="1"/>
  <c r="D2453" i="1"/>
  <c r="F2452" i="1"/>
  <c r="D2452" i="1"/>
  <c r="F2451" i="1"/>
  <c r="D2451" i="1"/>
  <c r="F2450" i="1"/>
  <c r="D2450" i="1"/>
  <c r="F2449" i="1"/>
  <c r="D2449" i="1"/>
  <c r="F2448" i="1"/>
  <c r="D2448" i="1"/>
  <c r="F2447" i="1"/>
  <c r="D2447" i="1"/>
  <c r="F2446" i="1"/>
  <c r="D2446" i="1"/>
  <c r="H2445" i="1" l="1"/>
  <c r="H2444" i="1"/>
  <c r="H2443" i="1"/>
  <c r="H2442" i="1"/>
  <c r="H2441" i="1"/>
  <c r="H2440" i="1"/>
  <c r="H2439" i="1"/>
  <c r="H2438" i="1"/>
  <c r="H2437" i="1"/>
  <c r="F2445" i="1"/>
  <c r="D2445" i="1"/>
  <c r="F2444" i="1"/>
  <c r="D2444" i="1"/>
  <c r="F2443" i="1"/>
  <c r="D2443" i="1"/>
  <c r="F2442" i="1"/>
  <c r="D2442" i="1"/>
  <c r="F2441" i="1"/>
  <c r="D2441" i="1"/>
  <c r="F2440" i="1"/>
  <c r="D2440" i="1"/>
  <c r="F2439" i="1"/>
  <c r="D2439" i="1"/>
  <c r="F2438" i="1"/>
  <c r="D2438" i="1"/>
  <c r="F2437" i="1"/>
  <c r="D2437" i="1"/>
  <c r="H2436" i="1" l="1"/>
  <c r="H2435" i="1"/>
  <c r="H2434" i="1"/>
  <c r="H2433" i="1"/>
  <c r="H2432" i="1"/>
  <c r="H2431" i="1"/>
  <c r="H2430" i="1"/>
  <c r="H2429" i="1"/>
  <c r="H2428" i="1"/>
  <c r="F2436" i="1"/>
  <c r="D2436" i="1"/>
  <c r="F2435" i="1"/>
  <c r="D2435" i="1"/>
  <c r="F2434" i="1"/>
  <c r="D2434" i="1"/>
  <c r="F2433" i="1"/>
  <c r="D2433" i="1"/>
  <c r="F2432" i="1"/>
  <c r="D2432" i="1"/>
  <c r="F2431" i="1"/>
  <c r="D2431" i="1"/>
  <c r="F2430" i="1"/>
  <c r="D2430" i="1"/>
  <c r="F2429" i="1"/>
  <c r="D2429" i="1"/>
  <c r="F2428" i="1"/>
  <c r="D2428" i="1"/>
  <c r="H2427" i="1" l="1"/>
  <c r="H2426" i="1"/>
  <c r="H2425" i="1"/>
  <c r="H2424" i="1"/>
  <c r="H2423" i="1"/>
  <c r="H2422" i="1"/>
  <c r="H2421" i="1"/>
  <c r="H2420" i="1"/>
  <c r="H2419" i="1"/>
  <c r="F2427" i="1"/>
  <c r="D2427" i="1"/>
  <c r="F2426" i="1"/>
  <c r="D2426" i="1"/>
  <c r="F2425" i="1"/>
  <c r="D2425" i="1"/>
  <c r="F2424" i="1"/>
  <c r="D2424" i="1"/>
  <c r="F2423" i="1"/>
  <c r="D2423" i="1"/>
  <c r="F2422" i="1"/>
  <c r="D2422" i="1"/>
  <c r="F2421" i="1"/>
  <c r="D2421" i="1"/>
  <c r="F2420" i="1"/>
  <c r="D2420" i="1"/>
  <c r="F2419" i="1"/>
  <c r="D2419" i="1"/>
  <c r="H2418" i="1" l="1"/>
  <c r="H2417" i="1"/>
  <c r="H2416" i="1"/>
  <c r="H2415" i="1"/>
  <c r="H2414" i="1"/>
  <c r="H2413" i="1"/>
  <c r="H2412" i="1"/>
  <c r="H2411" i="1"/>
  <c r="H2410" i="1"/>
  <c r="F2418" i="1"/>
  <c r="D2418" i="1"/>
  <c r="F2417" i="1"/>
  <c r="D2417" i="1"/>
  <c r="F2416" i="1"/>
  <c r="D2416" i="1"/>
  <c r="F2415" i="1"/>
  <c r="D2415" i="1"/>
  <c r="F2414" i="1"/>
  <c r="D2414" i="1"/>
  <c r="F2413" i="1"/>
  <c r="D2413" i="1"/>
  <c r="F2412" i="1"/>
  <c r="D2412" i="1"/>
  <c r="F2411" i="1"/>
  <c r="D2411" i="1"/>
  <c r="F2410" i="1"/>
  <c r="D2410" i="1"/>
  <c r="H2409" i="1" l="1"/>
  <c r="H2408" i="1"/>
  <c r="H2407" i="1"/>
  <c r="H2406" i="1"/>
  <c r="H2405" i="1"/>
  <c r="H2404" i="1"/>
  <c r="H2403" i="1"/>
  <c r="H2402" i="1"/>
  <c r="H2401" i="1"/>
  <c r="F2409" i="1"/>
  <c r="D2409" i="1"/>
  <c r="F2408" i="1"/>
  <c r="D2408" i="1"/>
  <c r="F2407" i="1"/>
  <c r="D2407" i="1"/>
  <c r="F2406" i="1"/>
  <c r="D2406" i="1"/>
  <c r="F2405" i="1"/>
  <c r="D2405" i="1"/>
  <c r="F2404" i="1"/>
  <c r="D2404" i="1"/>
  <c r="F2403" i="1"/>
  <c r="D2403" i="1"/>
  <c r="F2402" i="1"/>
  <c r="D2402" i="1"/>
  <c r="F2401" i="1"/>
  <c r="D2401" i="1"/>
  <c r="H2400" i="1" l="1"/>
  <c r="H2399" i="1"/>
  <c r="H2398" i="1"/>
  <c r="H2397" i="1"/>
  <c r="H2396" i="1"/>
  <c r="H2395" i="1"/>
  <c r="H2394" i="1"/>
  <c r="H2393" i="1"/>
  <c r="H2392" i="1"/>
  <c r="F2400" i="1"/>
  <c r="D2400" i="1"/>
  <c r="F2399" i="1"/>
  <c r="D2399" i="1"/>
  <c r="F2398" i="1"/>
  <c r="D2398" i="1"/>
  <c r="F2397" i="1"/>
  <c r="D2397" i="1"/>
  <c r="F2396" i="1"/>
  <c r="D2396" i="1"/>
  <c r="F2395" i="1"/>
  <c r="D2395" i="1"/>
  <c r="F2394" i="1"/>
  <c r="D2394" i="1"/>
  <c r="F2393" i="1"/>
  <c r="D2393" i="1"/>
  <c r="F2392" i="1"/>
  <c r="D2392" i="1"/>
  <c r="H2391" i="1"/>
  <c r="H2390" i="1"/>
  <c r="H2389" i="1"/>
  <c r="H2388" i="1"/>
  <c r="H2387" i="1"/>
  <c r="H2386" i="1"/>
  <c r="H2385" i="1"/>
  <c r="H2384" i="1"/>
  <c r="H2383" i="1"/>
  <c r="F2391" i="1"/>
  <c r="D2391" i="1"/>
  <c r="F2390" i="1"/>
  <c r="D2390" i="1"/>
  <c r="F2389" i="1"/>
  <c r="D2389" i="1"/>
  <c r="F2388" i="1"/>
  <c r="D2388" i="1"/>
  <c r="F2387" i="1"/>
  <c r="D2387" i="1"/>
  <c r="F2386" i="1"/>
  <c r="D2386" i="1"/>
  <c r="F2385" i="1"/>
  <c r="D2385" i="1"/>
  <c r="F2384" i="1"/>
  <c r="D2384" i="1"/>
  <c r="F2383" i="1"/>
  <c r="D2383" i="1"/>
  <c r="H2382" i="1" l="1"/>
  <c r="H2381" i="1"/>
  <c r="H2380" i="1"/>
  <c r="H2379" i="1"/>
  <c r="H2378" i="1"/>
  <c r="H2377" i="1"/>
  <c r="H2376" i="1"/>
  <c r="H2375" i="1"/>
  <c r="H2374" i="1"/>
  <c r="F2382" i="1"/>
  <c r="D2382" i="1"/>
  <c r="F2381" i="1"/>
  <c r="D2381" i="1"/>
  <c r="F2380" i="1"/>
  <c r="D2380" i="1"/>
  <c r="F2379" i="1"/>
  <c r="D2379" i="1"/>
  <c r="F2378" i="1"/>
  <c r="D2378" i="1"/>
  <c r="F2377" i="1"/>
  <c r="D2377" i="1"/>
  <c r="F2376" i="1"/>
  <c r="D2376" i="1"/>
  <c r="F2375" i="1"/>
  <c r="D2375" i="1"/>
  <c r="F2374" i="1"/>
  <c r="D2374" i="1"/>
  <c r="H2373" i="1"/>
  <c r="H2372" i="1"/>
  <c r="H2371" i="1"/>
  <c r="H2370" i="1"/>
  <c r="H2369" i="1"/>
  <c r="H2368" i="1"/>
  <c r="H2367" i="1"/>
  <c r="H2366" i="1"/>
  <c r="H2365" i="1"/>
  <c r="F2373" i="1"/>
  <c r="D2373" i="1"/>
  <c r="F2372" i="1"/>
  <c r="D2372" i="1"/>
  <c r="F2371" i="1"/>
  <c r="D2371" i="1"/>
  <c r="F2370" i="1"/>
  <c r="D2370" i="1"/>
  <c r="F2369" i="1"/>
  <c r="D2369" i="1"/>
  <c r="F2368" i="1"/>
  <c r="D2368" i="1"/>
  <c r="F2367" i="1"/>
  <c r="D2367" i="1"/>
  <c r="F2366" i="1"/>
  <c r="D2366" i="1"/>
  <c r="F2365" i="1"/>
  <c r="D2365" i="1"/>
  <c r="H2364" i="1"/>
  <c r="H2363" i="1"/>
  <c r="H2362" i="1"/>
  <c r="H2361" i="1"/>
  <c r="H2360" i="1"/>
  <c r="H2359" i="1"/>
  <c r="H2358" i="1"/>
  <c r="H2357" i="1"/>
  <c r="H2356" i="1"/>
  <c r="F2364" i="1"/>
  <c r="D2364" i="1"/>
  <c r="F2363" i="1"/>
  <c r="D2363" i="1"/>
  <c r="F2362" i="1"/>
  <c r="D2362" i="1"/>
  <c r="F2361" i="1"/>
  <c r="D2361" i="1"/>
  <c r="F2360" i="1"/>
  <c r="D2360" i="1"/>
  <c r="F2359" i="1"/>
  <c r="D2359" i="1"/>
  <c r="F2358" i="1"/>
  <c r="D2358" i="1"/>
  <c r="F2357" i="1"/>
  <c r="D2357" i="1"/>
  <c r="F2356" i="1"/>
  <c r="D2356" i="1"/>
  <c r="H2355" i="1" l="1"/>
  <c r="H2354" i="1"/>
  <c r="H2353" i="1"/>
  <c r="H2352" i="1"/>
  <c r="H2351" i="1"/>
  <c r="H2350" i="1"/>
  <c r="H2349" i="1"/>
  <c r="H2348" i="1"/>
  <c r="H2347" i="1"/>
  <c r="F2355" i="1"/>
  <c r="D2355" i="1"/>
  <c r="F2354" i="1"/>
  <c r="D2354" i="1"/>
  <c r="F2353" i="1"/>
  <c r="D2353" i="1"/>
  <c r="F2352" i="1"/>
  <c r="D2352" i="1"/>
  <c r="F2351" i="1"/>
  <c r="D2351" i="1"/>
  <c r="F2350" i="1"/>
  <c r="D2350" i="1"/>
  <c r="F2349" i="1"/>
  <c r="D2349" i="1"/>
  <c r="F2348" i="1"/>
  <c r="D2348" i="1"/>
  <c r="F2347" i="1"/>
  <c r="D2347" i="1"/>
  <c r="H2346" i="1"/>
  <c r="H2344" i="1"/>
  <c r="H2343" i="1"/>
  <c r="F2343" i="1"/>
  <c r="D2343" i="1"/>
  <c r="H2342" i="1"/>
  <c r="H2341" i="1"/>
  <c r="H2340" i="1"/>
  <c r="H2339" i="1"/>
  <c r="H2338" i="1"/>
  <c r="F2346" i="1"/>
  <c r="D2346" i="1"/>
  <c r="H2345" i="1"/>
  <c r="F2345" i="1"/>
  <c r="D2345" i="1"/>
  <c r="F2344" i="1"/>
  <c r="D2344" i="1"/>
  <c r="F2342" i="1"/>
  <c r="D2342" i="1"/>
  <c r="F2341" i="1"/>
  <c r="D2341" i="1"/>
  <c r="F2340" i="1"/>
  <c r="D2340" i="1"/>
  <c r="F2339" i="1"/>
  <c r="D2339" i="1"/>
  <c r="F2338" i="1"/>
  <c r="D2338" i="1"/>
  <c r="H2337" i="1" l="1"/>
  <c r="F2337" i="1"/>
  <c r="D2337" i="1"/>
  <c r="H2336" i="1"/>
  <c r="F2336" i="1"/>
  <c r="D2336" i="1"/>
  <c r="H2335" i="1"/>
  <c r="F2335" i="1"/>
  <c r="D2335" i="1"/>
  <c r="H2334" i="1"/>
  <c r="F2334" i="1"/>
  <c r="D2334" i="1"/>
  <c r="H2333" i="1"/>
  <c r="F2333" i="1"/>
  <c r="D2333" i="1"/>
  <c r="H2332" i="1"/>
  <c r="F2332" i="1"/>
  <c r="D2332" i="1"/>
  <c r="H2331" i="1"/>
  <c r="F2331" i="1"/>
  <c r="D2331" i="1"/>
  <c r="H2330" i="1"/>
  <c r="F2330" i="1"/>
  <c r="D2330" i="1"/>
  <c r="H2329" i="1"/>
  <c r="F2329" i="1"/>
  <c r="D2329" i="1"/>
  <c r="I3150" i="1" l="1"/>
  <c r="H2328" i="1"/>
  <c r="H2327" i="1"/>
  <c r="H2326" i="1"/>
  <c r="H2325" i="1"/>
  <c r="H2324" i="1"/>
  <c r="H2323" i="1"/>
  <c r="H2322" i="1"/>
  <c r="H2321" i="1"/>
  <c r="H2320" i="1"/>
  <c r="F2328" i="1"/>
  <c r="D2328" i="1"/>
  <c r="F2327" i="1"/>
  <c r="D2327" i="1"/>
  <c r="F2326" i="1"/>
  <c r="D2326" i="1"/>
  <c r="F2325" i="1"/>
  <c r="D2325" i="1"/>
  <c r="F2324" i="1"/>
  <c r="D2324" i="1"/>
  <c r="F2323" i="1"/>
  <c r="D2323" i="1"/>
  <c r="F2322" i="1"/>
  <c r="D2322" i="1"/>
  <c r="F2321" i="1"/>
  <c r="D2321" i="1"/>
  <c r="F2320" i="1"/>
  <c r="D2320" i="1"/>
  <c r="H2319" i="1" l="1"/>
  <c r="H2318" i="1"/>
  <c r="H2317" i="1"/>
  <c r="H2316" i="1"/>
  <c r="H2315" i="1"/>
  <c r="H2314" i="1"/>
  <c r="H2313" i="1"/>
  <c r="H2312" i="1"/>
  <c r="H2311" i="1"/>
  <c r="F2319" i="1"/>
  <c r="D2319" i="1"/>
  <c r="F2318" i="1"/>
  <c r="D2318" i="1"/>
  <c r="F2317" i="1"/>
  <c r="D2317" i="1"/>
  <c r="F2316" i="1"/>
  <c r="D2316" i="1"/>
  <c r="F2315" i="1"/>
  <c r="D2315" i="1"/>
  <c r="F2314" i="1"/>
  <c r="D2314" i="1"/>
  <c r="F2313" i="1"/>
  <c r="D2313" i="1"/>
  <c r="F2312" i="1"/>
  <c r="D2312" i="1"/>
  <c r="F2311" i="1"/>
  <c r="D2311" i="1"/>
  <c r="H2310" i="1" l="1"/>
  <c r="H2309" i="1"/>
  <c r="H2308" i="1"/>
  <c r="H2307" i="1"/>
  <c r="H2306" i="1"/>
  <c r="H2305" i="1"/>
  <c r="H2304" i="1"/>
  <c r="H2303" i="1"/>
  <c r="H2302" i="1"/>
  <c r="F2310" i="1"/>
  <c r="D2310" i="1"/>
  <c r="F2309" i="1"/>
  <c r="D2309" i="1"/>
  <c r="F2308" i="1"/>
  <c r="D2308" i="1"/>
  <c r="F2307" i="1"/>
  <c r="D2307" i="1"/>
  <c r="F2306" i="1"/>
  <c r="D2306" i="1"/>
  <c r="F2305" i="1"/>
  <c r="D2305" i="1"/>
  <c r="F2304" i="1"/>
  <c r="D2304" i="1"/>
  <c r="F2303" i="1"/>
  <c r="D2303" i="1"/>
  <c r="F2302" i="1"/>
  <c r="D2302" i="1"/>
  <c r="H2301" i="1" l="1"/>
  <c r="H2300" i="1"/>
  <c r="H2299" i="1"/>
  <c r="H2298" i="1"/>
  <c r="H2297" i="1"/>
  <c r="H2296" i="1"/>
  <c r="H2295" i="1"/>
  <c r="H2294" i="1"/>
  <c r="H2293" i="1"/>
  <c r="F2301" i="1"/>
  <c r="D2301" i="1"/>
  <c r="F2300" i="1"/>
  <c r="D2300" i="1"/>
  <c r="F2299" i="1"/>
  <c r="D2299" i="1"/>
  <c r="F2298" i="1"/>
  <c r="D2298" i="1"/>
  <c r="F2297" i="1"/>
  <c r="D2297" i="1"/>
  <c r="F2296" i="1"/>
  <c r="D2296" i="1"/>
  <c r="F2295" i="1"/>
  <c r="D2295" i="1"/>
  <c r="F2294" i="1"/>
  <c r="D2294" i="1"/>
  <c r="F2293" i="1"/>
  <c r="D2293" i="1"/>
  <c r="H2292" i="1"/>
  <c r="H2291" i="1"/>
  <c r="H2290" i="1"/>
  <c r="H2289" i="1"/>
  <c r="H2288" i="1"/>
  <c r="H2287" i="1"/>
  <c r="H2286" i="1"/>
  <c r="H2285" i="1"/>
  <c r="H2284" i="1"/>
  <c r="F2292" i="1"/>
  <c r="D2292" i="1"/>
  <c r="F2291" i="1"/>
  <c r="D2291" i="1"/>
  <c r="F2290" i="1"/>
  <c r="D2290" i="1"/>
  <c r="F2289" i="1"/>
  <c r="D2289" i="1"/>
  <c r="F2288" i="1"/>
  <c r="D2288" i="1"/>
  <c r="F2287" i="1"/>
  <c r="D2287" i="1"/>
  <c r="F2286" i="1"/>
  <c r="D2286" i="1"/>
  <c r="F2285" i="1"/>
  <c r="D2285" i="1"/>
  <c r="F2284" i="1"/>
  <c r="D2284" i="1"/>
  <c r="H2283" i="1" l="1"/>
  <c r="F2283" i="1"/>
  <c r="D2283" i="1"/>
  <c r="H2282" i="1"/>
  <c r="F2282" i="1"/>
  <c r="D2282" i="1"/>
  <c r="H2281" i="1"/>
  <c r="F2281" i="1"/>
  <c r="D2281" i="1"/>
  <c r="H2280" i="1"/>
  <c r="F2280" i="1"/>
  <c r="D2280" i="1"/>
  <c r="H2279" i="1"/>
  <c r="F2279" i="1"/>
  <c r="D2279" i="1"/>
  <c r="H2278" i="1"/>
  <c r="F2278" i="1"/>
  <c r="D2278" i="1"/>
  <c r="H2277" i="1"/>
  <c r="F2277" i="1"/>
  <c r="D2277" i="1"/>
  <c r="H2276" i="1"/>
  <c r="F2276" i="1"/>
  <c r="D2276" i="1"/>
  <c r="H2275" i="1"/>
  <c r="F2275" i="1"/>
  <c r="D2275" i="1"/>
  <c r="H2274" i="1"/>
  <c r="H2273" i="1"/>
  <c r="H2272" i="1"/>
  <c r="H2271" i="1"/>
  <c r="H2270" i="1"/>
  <c r="H2269" i="1"/>
  <c r="H2268" i="1"/>
  <c r="H2267" i="1"/>
  <c r="H2266" i="1"/>
  <c r="F2274" i="1" l="1"/>
  <c r="D2274" i="1"/>
  <c r="F2273" i="1"/>
  <c r="D2273" i="1"/>
  <c r="F2272" i="1"/>
  <c r="D2272" i="1"/>
  <c r="F2271" i="1"/>
  <c r="D2271" i="1"/>
  <c r="F2270" i="1"/>
  <c r="D2270" i="1"/>
  <c r="F2269" i="1"/>
  <c r="D2269" i="1"/>
  <c r="F2268" i="1"/>
  <c r="D2268" i="1"/>
  <c r="F2267" i="1"/>
  <c r="D2267" i="1"/>
  <c r="F2266" i="1"/>
  <c r="D2266" i="1"/>
  <c r="H2265" i="1" l="1"/>
  <c r="H2264" i="1"/>
  <c r="H2263" i="1"/>
  <c r="H2262" i="1"/>
  <c r="H2261" i="1"/>
  <c r="H2260" i="1"/>
  <c r="H2259" i="1"/>
  <c r="H2258" i="1"/>
  <c r="H2257" i="1"/>
  <c r="F2265" i="1"/>
  <c r="D2265" i="1"/>
  <c r="F2264" i="1"/>
  <c r="D2264" i="1"/>
  <c r="F2263" i="1"/>
  <c r="D2263" i="1"/>
  <c r="F2262" i="1"/>
  <c r="D2262" i="1"/>
  <c r="F2261" i="1"/>
  <c r="D2261" i="1"/>
  <c r="F2260" i="1"/>
  <c r="D2260" i="1"/>
  <c r="F2259" i="1"/>
  <c r="D2259" i="1"/>
  <c r="F2258" i="1"/>
  <c r="D2258" i="1"/>
  <c r="F2257" i="1"/>
  <c r="D2257" i="1"/>
  <c r="H2256" i="1" l="1"/>
  <c r="H2255" i="1"/>
  <c r="H2254" i="1"/>
  <c r="H2253" i="1"/>
  <c r="H2252" i="1"/>
  <c r="H2251" i="1"/>
  <c r="H2250" i="1"/>
  <c r="H2249" i="1"/>
  <c r="H2248" i="1"/>
  <c r="F2256" i="1"/>
  <c r="D2256" i="1"/>
  <c r="F2255" i="1"/>
  <c r="D2255" i="1"/>
  <c r="F2254" i="1"/>
  <c r="D2254" i="1"/>
  <c r="F2253" i="1"/>
  <c r="D2253" i="1"/>
  <c r="F2252" i="1"/>
  <c r="D2252" i="1"/>
  <c r="F2251" i="1"/>
  <c r="D2251" i="1"/>
  <c r="F2250" i="1"/>
  <c r="D2250" i="1"/>
  <c r="F2249" i="1"/>
  <c r="D2249" i="1"/>
  <c r="F2248" i="1"/>
  <c r="D2248" i="1"/>
  <c r="H2247" i="1" l="1"/>
  <c r="H2246" i="1"/>
  <c r="H2245" i="1"/>
  <c r="H2244" i="1"/>
  <c r="H2243" i="1"/>
  <c r="H2242" i="1"/>
  <c r="H2241" i="1"/>
  <c r="H2240" i="1"/>
  <c r="H2239" i="1"/>
  <c r="F2247" i="1"/>
  <c r="D2247" i="1"/>
  <c r="F2246" i="1"/>
  <c r="D2246" i="1"/>
  <c r="F2245" i="1"/>
  <c r="D2245" i="1"/>
  <c r="F2244" i="1"/>
  <c r="D2244" i="1"/>
  <c r="F2243" i="1"/>
  <c r="D2243" i="1"/>
  <c r="F2242" i="1"/>
  <c r="D2242" i="1"/>
  <c r="F2241" i="1"/>
  <c r="D2241" i="1"/>
  <c r="F2240" i="1"/>
  <c r="D2240" i="1"/>
  <c r="F2239" i="1"/>
  <c r="D2239" i="1"/>
  <c r="H2238" i="1" l="1"/>
  <c r="H2237" i="1"/>
  <c r="H2236" i="1"/>
  <c r="H2235" i="1"/>
  <c r="H2234" i="1"/>
  <c r="H2233" i="1"/>
  <c r="H2232" i="1"/>
  <c r="H2231" i="1"/>
  <c r="H2230" i="1"/>
  <c r="F2238" i="1"/>
  <c r="D2238" i="1"/>
  <c r="F2237" i="1"/>
  <c r="D2237" i="1"/>
  <c r="F2236" i="1"/>
  <c r="D2236" i="1"/>
  <c r="F2235" i="1"/>
  <c r="D2235" i="1"/>
  <c r="F2234" i="1"/>
  <c r="D2234" i="1"/>
  <c r="F2233" i="1"/>
  <c r="D2233" i="1"/>
  <c r="F2232" i="1"/>
  <c r="D2232" i="1"/>
  <c r="F2231" i="1"/>
  <c r="D2231" i="1"/>
  <c r="F2230" i="1"/>
  <c r="D2230" i="1"/>
  <c r="H2229" i="1"/>
  <c r="H2228" i="1"/>
  <c r="H2227" i="1"/>
  <c r="H2226" i="1"/>
  <c r="H2225" i="1"/>
  <c r="H2224" i="1"/>
  <c r="H2223" i="1"/>
  <c r="H2222" i="1"/>
  <c r="H2221" i="1"/>
  <c r="F2229" i="1"/>
  <c r="D2229" i="1"/>
  <c r="F2228" i="1"/>
  <c r="D2228" i="1"/>
  <c r="F2227" i="1"/>
  <c r="D2227" i="1"/>
  <c r="F2226" i="1"/>
  <c r="D2226" i="1"/>
  <c r="F2225" i="1"/>
  <c r="D2225" i="1"/>
  <c r="F2224" i="1"/>
  <c r="D2224" i="1"/>
  <c r="F2223" i="1"/>
  <c r="D2223" i="1"/>
  <c r="F2222" i="1"/>
  <c r="D2222" i="1"/>
  <c r="F2221" i="1"/>
  <c r="D2221" i="1"/>
  <c r="H2220" i="1"/>
  <c r="H2219" i="1"/>
  <c r="H2218" i="1"/>
  <c r="H2217" i="1"/>
  <c r="H2216" i="1"/>
  <c r="H2215" i="1"/>
  <c r="H2214" i="1"/>
  <c r="H2213" i="1"/>
  <c r="H2212" i="1"/>
  <c r="F2220" i="1"/>
  <c r="D2220" i="1"/>
  <c r="F2219" i="1"/>
  <c r="D2219" i="1"/>
  <c r="F2218" i="1"/>
  <c r="D2218" i="1"/>
  <c r="F2217" i="1"/>
  <c r="D2217" i="1"/>
  <c r="F2216" i="1"/>
  <c r="D2216" i="1"/>
  <c r="F2215" i="1"/>
  <c r="D2215" i="1"/>
  <c r="F2214" i="1"/>
  <c r="D2214" i="1"/>
  <c r="F2213" i="1"/>
  <c r="D2213" i="1"/>
  <c r="F2212" i="1"/>
  <c r="D2212" i="1"/>
  <c r="H2211" i="1"/>
  <c r="H2210" i="1"/>
  <c r="H2209" i="1"/>
  <c r="H2208" i="1"/>
  <c r="H2207" i="1"/>
  <c r="H2206" i="1"/>
  <c r="H2205" i="1"/>
  <c r="H2204" i="1"/>
  <c r="H2203" i="1"/>
  <c r="F2211" i="1"/>
  <c r="D2211" i="1"/>
  <c r="F2210" i="1"/>
  <c r="D2210" i="1"/>
  <c r="F2209" i="1"/>
  <c r="D2209" i="1"/>
  <c r="F2208" i="1"/>
  <c r="D2208" i="1"/>
  <c r="F2207" i="1"/>
  <c r="D2207" i="1"/>
  <c r="F2206" i="1"/>
  <c r="D2206" i="1"/>
  <c r="F2205" i="1"/>
  <c r="D2205" i="1"/>
  <c r="F2204" i="1"/>
  <c r="D2204" i="1"/>
  <c r="F2203" i="1"/>
  <c r="D2203" i="1"/>
  <c r="F2201" i="1" l="1"/>
  <c r="H2202" i="1"/>
  <c r="H2201" i="1"/>
  <c r="H2200" i="1"/>
  <c r="H2199" i="1"/>
  <c r="H2198" i="1"/>
  <c r="H2197" i="1"/>
  <c r="H2196" i="1"/>
  <c r="H2195" i="1"/>
  <c r="H2194" i="1"/>
  <c r="F2202" i="1"/>
  <c r="D2202" i="1"/>
  <c r="D2201" i="1"/>
  <c r="F2200" i="1"/>
  <c r="D2200" i="1"/>
  <c r="F2199" i="1"/>
  <c r="D2199" i="1"/>
  <c r="F2198" i="1"/>
  <c r="D2198" i="1"/>
  <c r="F2197" i="1"/>
  <c r="D2197" i="1"/>
  <c r="F2196" i="1"/>
  <c r="D2196" i="1"/>
  <c r="F2195" i="1"/>
  <c r="D2195" i="1"/>
  <c r="F2194" i="1"/>
  <c r="D2194" i="1"/>
  <c r="H2193" i="1" l="1"/>
  <c r="H2192" i="1"/>
  <c r="H2191" i="1"/>
  <c r="H2189" i="1"/>
  <c r="H2188" i="1"/>
  <c r="H2187" i="1"/>
  <c r="H2186" i="1"/>
  <c r="H2185" i="1"/>
  <c r="H2184" i="1"/>
  <c r="F2193" i="1"/>
  <c r="D2193" i="1"/>
  <c r="F2192" i="1"/>
  <c r="D2192" i="1"/>
  <c r="F2191" i="1"/>
  <c r="D2191" i="1"/>
  <c r="H2190" i="1"/>
  <c r="F2190" i="1"/>
  <c r="D2190" i="1"/>
  <c r="F2189" i="1"/>
  <c r="D2189" i="1"/>
  <c r="F2188" i="1"/>
  <c r="D2188" i="1"/>
  <c r="F2187" i="1"/>
  <c r="D2187" i="1"/>
  <c r="F2186" i="1"/>
  <c r="D2186" i="1"/>
  <c r="F2185" i="1"/>
  <c r="D2185" i="1"/>
  <c r="F2184" i="1"/>
  <c r="D2184" i="1"/>
  <c r="H2183" i="1"/>
  <c r="H2182" i="1"/>
  <c r="H2181" i="1"/>
  <c r="H2180" i="1"/>
  <c r="H2179" i="1"/>
  <c r="H2178" i="1"/>
  <c r="H2177" i="1"/>
  <c r="H2176" i="1"/>
  <c r="H2175" i="1"/>
  <c r="H2174" i="1"/>
  <c r="F2183" i="1"/>
  <c r="D2183" i="1"/>
  <c r="F2182" i="1"/>
  <c r="D2182" i="1"/>
  <c r="F2181" i="1"/>
  <c r="D2181" i="1"/>
  <c r="F2180" i="1"/>
  <c r="D2180" i="1"/>
  <c r="F2179" i="1"/>
  <c r="D2179" i="1"/>
  <c r="F2178" i="1"/>
  <c r="D2178" i="1"/>
  <c r="F2177" i="1"/>
  <c r="D2177" i="1"/>
  <c r="F2176" i="1"/>
  <c r="D2176" i="1"/>
  <c r="F2175" i="1"/>
  <c r="D2175" i="1"/>
  <c r="F2174" i="1"/>
  <c r="D2174" i="1"/>
  <c r="H2173" i="1" l="1"/>
  <c r="H2172" i="1"/>
  <c r="H2171" i="1"/>
  <c r="H2170" i="1"/>
  <c r="H2169" i="1"/>
  <c r="H2168" i="1"/>
  <c r="H2167" i="1"/>
  <c r="H2166" i="1"/>
  <c r="H2165" i="1"/>
  <c r="H2164" i="1"/>
  <c r="F2173" i="1"/>
  <c r="D2173" i="1"/>
  <c r="F2172" i="1"/>
  <c r="D2172" i="1"/>
  <c r="F2171" i="1"/>
  <c r="D2171" i="1"/>
  <c r="F2170" i="1"/>
  <c r="D2170" i="1"/>
  <c r="F2169" i="1"/>
  <c r="D2169" i="1"/>
  <c r="F2168" i="1"/>
  <c r="D2168" i="1"/>
  <c r="F2167" i="1"/>
  <c r="D2167" i="1"/>
  <c r="F2166" i="1"/>
  <c r="D2166" i="1"/>
  <c r="F2165" i="1"/>
  <c r="D2165" i="1"/>
  <c r="F2164" i="1"/>
  <c r="D2164" i="1"/>
  <c r="H2163" i="1" l="1"/>
  <c r="H2162" i="1"/>
  <c r="H2161" i="1"/>
  <c r="H2160" i="1"/>
  <c r="H2159" i="1"/>
  <c r="H2158" i="1"/>
  <c r="H2157" i="1"/>
  <c r="H2156" i="1"/>
  <c r="H2155" i="1"/>
  <c r="F2163" i="1"/>
  <c r="D2163" i="1"/>
  <c r="F2162" i="1"/>
  <c r="D2162" i="1"/>
  <c r="F2161" i="1"/>
  <c r="D2161" i="1"/>
  <c r="F2160" i="1"/>
  <c r="D2160" i="1"/>
  <c r="F2159" i="1"/>
  <c r="D2159" i="1"/>
  <c r="F2158" i="1"/>
  <c r="D2158" i="1"/>
  <c r="F2157" i="1"/>
  <c r="D2157" i="1"/>
  <c r="F2156" i="1"/>
  <c r="D2156" i="1"/>
  <c r="F2155" i="1"/>
  <c r="D2155" i="1"/>
  <c r="H2144" i="1" l="1"/>
  <c r="H2143" i="1"/>
  <c r="H2142" i="1"/>
  <c r="H2141" i="1"/>
  <c r="H2140" i="1"/>
  <c r="H2139" i="1"/>
  <c r="H2138" i="1"/>
  <c r="H2137" i="1"/>
  <c r="H2136" i="1"/>
  <c r="H2135" i="1"/>
  <c r="F2144" i="1"/>
  <c r="D2144" i="1"/>
  <c r="F2143" i="1"/>
  <c r="D2143" i="1"/>
  <c r="F2142" i="1"/>
  <c r="D2142" i="1"/>
  <c r="F2141" i="1"/>
  <c r="D2141" i="1"/>
  <c r="F2140" i="1"/>
  <c r="D2140" i="1"/>
  <c r="F2139" i="1"/>
  <c r="D2139" i="1"/>
  <c r="F2138" i="1"/>
  <c r="D2138" i="1"/>
  <c r="F2137" i="1"/>
  <c r="D2137" i="1"/>
  <c r="F2136" i="1"/>
  <c r="D2136" i="1"/>
  <c r="F2135" i="1"/>
  <c r="D2135" i="1"/>
  <c r="H2154" i="1" l="1"/>
  <c r="H2153" i="1"/>
  <c r="H2152" i="1"/>
  <c r="H2151" i="1"/>
  <c r="H2150" i="1"/>
  <c r="H2149" i="1"/>
  <c r="H2148" i="1"/>
  <c r="H2147" i="1"/>
  <c r="H2146" i="1"/>
  <c r="H2145" i="1"/>
  <c r="F2154" i="1"/>
  <c r="D2154" i="1"/>
  <c r="F2153" i="1"/>
  <c r="D2153" i="1"/>
  <c r="F2152" i="1"/>
  <c r="D2152" i="1"/>
  <c r="F2151" i="1"/>
  <c r="D2151" i="1"/>
  <c r="F2150" i="1"/>
  <c r="D2150" i="1"/>
  <c r="F2149" i="1"/>
  <c r="D2149" i="1"/>
  <c r="F2148" i="1"/>
  <c r="D2148" i="1"/>
  <c r="F2147" i="1"/>
  <c r="D2147" i="1"/>
  <c r="F2146" i="1"/>
  <c r="D2146" i="1"/>
  <c r="F2145" i="1"/>
  <c r="D2145" i="1"/>
  <c r="H2134" i="1" l="1"/>
  <c r="H2133" i="1"/>
  <c r="H2132" i="1"/>
  <c r="H2131" i="1"/>
  <c r="H2130" i="1"/>
  <c r="H2129" i="1"/>
  <c r="H2128" i="1"/>
  <c r="H2127" i="1"/>
  <c r="H2126" i="1"/>
  <c r="F2134" i="1"/>
  <c r="D2134" i="1"/>
  <c r="F2133" i="1"/>
  <c r="D2133" i="1"/>
  <c r="F2132" i="1"/>
  <c r="D2132" i="1"/>
  <c r="F2131" i="1"/>
  <c r="D2131" i="1"/>
  <c r="F2130" i="1"/>
  <c r="D2130" i="1"/>
  <c r="F2129" i="1"/>
  <c r="D2129" i="1"/>
  <c r="F2128" i="1"/>
  <c r="D2128" i="1"/>
  <c r="F2127" i="1"/>
  <c r="D2127" i="1"/>
  <c r="F2126" i="1"/>
  <c r="D2126" i="1"/>
  <c r="H2125" i="1"/>
  <c r="F2125" i="1"/>
  <c r="D2125" i="1"/>
  <c r="H2124" i="1"/>
  <c r="F2124" i="1"/>
  <c r="D2124" i="1"/>
  <c r="H2123" i="1"/>
  <c r="F2123" i="1"/>
  <c r="D2123" i="1"/>
  <c r="H2122" i="1"/>
  <c r="F2122" i="1"/>
  <c r="D2122" i="1"/>
  <c r="H2121" i="1"/>
  <c r="F2121" i="1"/>
  <c r="D2121" i="1"/>
  <c r="H2120" i="1"/>
  <c r="F2120" i="1"/>
  <c r="D2120" i="1"/>
  <c r="H2119" i="1"/>
  <c r="F2119" i="1"/>
  <c r="D2119" i="1"/>
  <c r="H2118" i="1"/>
  <c r="F2118" i="1"/>
  <c r="D2118" i="1"/>
  <c r="H2117" i="1"/>
  <c r="F2117" i="1"/>
  <c r="D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F2116" i="1"/>
  <c r="D2116" i="1"/>
  <c r="F2115" i="1"/>
  <c r="D2115" i="1"/>
  <c r="F2114" i="1"/>
  <c r="D2114" i="1"/>
  <c r="F2113" i="1"/>
  <c r="D2113" i="1"/>
  <c r="F2112" i="1"/>
  <c r="D2112" i="1"/>
  <c r="F2111" i="1"/>
  <c r="D2111" i="1"/>
  <c r="F2110" i="1"/>
  <c r="D2110" i="1"/>
  <c r="F2109" i="1"/>
  <c r="D2109" i="1"/>
  <c r="F2108" i="1"/>
  <c r="D2108" i="1"/>
  <c r="F2107" i="1"/>
  <c r="D2107" i="1"/>
  <c r="F2106" i="1"/>
  <c r="D2106" i="1"/>
  <c r="F2105" i="1"/>
  <c r="D2105" i="1"/>
  <c r="F2104" i="1"/>
  <c r="D2104" i="1"/>
  <c r="F2103" i="1"/>
  <c r="D2103" i="1"/>
  <c r="F2102" i="1"/>
  <c r="D2102" i="1"/>
  <c r="F2101" i="1"/>
  <c r="D2101" i="1"/>
  <c r="F2100" i="1"/>
  <c r="D2100" i="1"/>
  <c r="F2099" i="1"/>
  <c r="D2099" i="1"/>
  <c r="F2098" i="1"/>
  <c r="D2098" i="1"/>
  <c r="F2097" i="1"/>
  <c r="D2097" i="1"/>
  <c r="H2096" i="1" l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F2096" i="1"/>
  <c r="D2096" i="1"/>
  <c r="F2095" i="1"/>
  <c r="D2095" i="1"/>
  <c r="F2094" i="1"/>
  <c r="D2094" i="1"/>
  <c r="F2093" i="1"/>
  <c r="D2093" i="1"/>
  <c r="F2092" i="1"/>
  <c r="D2092" i="1"/>
  <c r="F2091" i="1"/>
  <c r="D2091" i="1"/>
  <c r="F2090" i="1"/>
  <c r="D2090" i="1"/>
  <c r="F2089" i="1"/>
  <c r="D2089" i="1"/>
  <c r="F2088" i="1"/>
  <c r="D2088" i="1"/>
  <c r="F2087" i="1"/>
  <c r="D2087" i="1"/>
  <c r="F2086" i="1"/>
  <c r="D2086" i="1"/>
  <c r="F2085" i="1"/>
  <c r="D2085" i="1"/>
  <c r="F2084" i="1"/>
  <c r="D2084" i="1"/>
  <c r="F2083" i="1"/>
  <c r="D2083" i="1"/>
  <c r="F2082" i="1"/>
  <c r="D2082" i="1"/>
  <c r="F2081" i="1"/>
  <c r="D2081" i="1"/>
  <c r="F2080" i="1"/>
  <c r="D2080" i="1"/>
  <c r="F2079" i="1"/>
  <c r="D2079" i="1"/>
  <c r="F2078" i="1"/>
  <c r="D2078" i="1"/>
  <c r="F2077" i="1"/>
  <c r="D2077" i="1"/>
  <c r="H2076" i="1"/>
  <c r="H2075" i="1"/>
  <c r="H2074" i="1"/>
  <c r="H2073" i="1"/>
  <c r="H2072" i="1"/>
  <c r="H2071" i="1"/>
  <c r="H2070" i="1"/>
  <c r="H2069" i="1"/>
  <c r="H2068" i="1"/>
  <c r="H2067" i="1"/>
  <c r="F2076" i="1"/>
  <c r="D2076" i="1"/>
  <c r="F2075" i="1"/>
  <c r="D2075" i="1"/>
  <c r="F2074" i="1"/>
  <c r="D2074" i="1"/>
  <c r="F2073" i="1"/>
  <c r="D2073" i="1"/>
  <c r="F2072" i="1"/>
  <c r="D2072" i="1"/>
  <c r="F2071" i="1"/>
  <c r="D2071" i="1"/>
  <c r="F2070" i="1"/>
  <c r="D2070" i="1"/>
  <c r="F2069" i="1"/>
  <c r="D2069" i="1"/>
  <c r="F2068" i="1"/>
  <c r="D2068" i="1"/>
  <c r="F2067" i="1"/>
  <c r="D2067" i="1"/>
  <c r="H2061" i="1"/>
  <c r="H2066" i="1"/>
  <c r="H2065" i="1"/>
  <c r="H2064" i="1"/>
  <c r="H2063" i="1"/>
  <c r="H2062" i="1"/>
  <c r="H2060" i="1"/>
  <c r="H2059" i="1"/>
  <c r="H2058" i="1"/>
  <c r="H2057" i="1"/>
  <c r="F2066" i="1"/>
  <c r="D2066" i="1"/>
  <c r="F2065" i="1"/>
  <c r="D2065" i="1"/>
  <c r="F2064" i="1"/>
  <c r="D2064" i="1"/>
  <c r="F2063" i="1"/>
  <c r="D2063" i="1"/>
  <c r="F2062" i="1"/>
  <c r="D2062" i="1"/>
  <c r="F2061" i="1"/>
  <c r="D2061" i="1"/>
  <c r="F2060" i="1"/>
  <c r="D2060" i="1"/>
  <c r="F2059" i="1"/>
  <c r="D2059" i="1"/>
  <c r="F2058" i="1"/>
  <c r="D2058" i="1"/>
  <c r="F2057" i="1"/>
  <c r="D2057" i="1"/>
  <c r="H2056" i="1"/>
  <c r="H2055" i="1"/>
  <c r="H2054" i="1"/>
  <c r="H2053" i="1"/>
  <c r="H2052" i="1"/>
  <c r="H2051" i="1"/>
  <c r="H2050" i="1"/>
  <c r="H2049" i="1"/>
  <c r="H2048" i="1"/>
  <c r="F2056" i="1"/>
  <c r="D2056" i="1"/>
  <c r="F2055" i="1"/>
  <c r="D2055" i="1"/>
  <c r="F2054" i="1"/>
  <c r="D2054" i="1"/>
  <c r="F2053" i="1"/>
  <c r="D2053" i="1"/>
  <c r="F2052" i="1"/>
  <c r="D2052" i="1"/>
  <c r="F2051" i="1"/>
  <c r="D2051" i="1"/>
  <c r="F2050" i="1"/>
  <c r="D2050" i="1"/>
  <c r="F2049" i="1"/>
  <c r="D2049" i="1"/>
  <c r="F2048" i="1"/>
  <c r="D2048" i="1"/>
  <c r="H2038" i="1" l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0" i="1"/>
  <c r="H2021" i="1"/>
  <c r="F2021" i="1"/>
  <c r="D2021" i="1"/>
  <c r="H2019" i="1"/>
  <c r="F2038" i="1"/>
  <c r="D2038" i="1"/>
  <c r="F2037" i="1"/>
  <c r="D2037" i="1"/>
  <c r="F2036" i="1"/>
  <c r="D2036" i="1"/>
  <c r="F2035" i="1"/>
  <c r="D2035" i="1"/>
  <c r="F2034" i="1"/>
  <c r="D2034" i="1"/>
  <c r="F2033" i="1"/>
  <c r="D2033" i="1"/>
  <c r="F2032" i="1"/>
  <c r="D2032" i="1"/>
  <c r="F2031" i="1"/>
  <c r="D2031" i="1"/>
  <c r="F2030" i="1"/>
  <c r="D2030" i="1"/>
  <c r="F2029" i="1"/>
  <c r="D2029" i="1"/>
  <c r="F2028" i="1"/>
  <c r="D2028" i="1"/>
  <c r="F2027" i="1"/>
  <c r="D2027" i="1"/>
  <c r="F2026" i="1"/>
  <c r="D2026" i="1"/>
  <c r="F2025" i="1"/>
  <c r="D2025" i="1"/>
  <c r="F2024" i="1"/>
  <c r="D2024" i="1"/>
  <c r="F2023" i="1"/>
  <c r="D2023" i="1"/>
  <c r="F2022" i="1"/>
  <c r="D2022" i="1"/>
  <c r="F2020" i="1"/>
  <c r="D2020" i="1"/>
  <c r="F2019" i="1"/>
  <c r="D2019" i="1"/>
  <c r="H2047" i="1"/>
  <c r="H2046" i="1"/>
  <c r="H2045" i="1"/>
  <c r="H2044" i="1"/>
  <c r="H2043" i="1"/>
  <c r="H2042" i="1"/>
  <c r="H2041" i="1"/>
  <c r="H2040" i="1"/>
  <c r="H2039" i="1"/>
  <c r="F2047" i="1"/>
  <c r="D2047" i="1"/>
  <c r="F2046" i="1"/>
  <c r="D2046" i="1"/>
  <c r="F2045" i="1"/>
  <c r="D2045" i="1"/>
  <c r="F2044" i="1"/>
  <c r="D2044" i="1"/>
  <c r="F2043" i="1"/>
  <c r="D2043" i="1"/>
  <c r="F2042" i="1"/>
  <c r="D2042" i="1"/>
  <c r="F2041" i="1"/>
  <c r="D2041" i="1"/>
  <c r="F2040" i="1"/>
  <c r="D2040" i="1"/>
  <c r="F2039" i="1"/>
  <c r="D2039" i="1"/>
  <c r="H2018" i="1" l="1"/>
  <c r="F2018" i="1"/>
  <c r="D2018" i="1"/>
  <c r="H2017" i="1"/>
  <c r="F2017" i="1"/>
  <c r="D2017" i="1"/>
  <c r="H2016" i="1"/>
  <c r="F2016" i="1"/>
  <c r="D2016" i="1"/>
  <c r="H2015" i="1"/>
  <c r="F2015" i="1"/>
  <c r="D2015" i="1"/>
  <c r="H2014" i="1"/>
  <c r="F2014" i="1"/>
  <c r="D2014" i="1"/>
  <c r="H2013" i="1"/>
  <c r="F2013" i="1"/>
  <c r="D2013" i="1"/>
  <c r="H2012" i="1"/>
  <c r="F2012" i="1"/>
  <c r="D2012" i="1"/>
  <c r="H2011" i="1"/>
  <c r="F2011" i="1"/>
  <c r="D2011" i="1"/>
  <c r="H2010" i="1"/>
  <c r="F2010" i="1"/>
  <c r="D2010" i="1"/>
  <c r="H2009" i="1" l="1"/>
  <c r="F2009" i="1"/>
  <c r="D2009" i="1"/>
  <c r="H2008" i="1"/>
  <c r="F2008" i="1"/>
  <c r="D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F2007" i="1"/>
  <c r="D2007" i="1"/>
  <c r="F2006" i="1"/>
  <c r="D2006" i="1"/>
  <c r="F2005" i="1"/>
  <c r="D2005" i="1"/>
  <c r="F2004" i="1"/>
  <c r="D2004" i="1"/>
  <c r="F2003" i="1"/>
  <c r="D2003" i="1"/>
  <c r="F2002" i="1"/>
  <c r="D2002" i="1"/>
  <c r="F2001" i="1"/>
  <c r="D2001" i="1"/>
  <c r="F2000" i="1"/>
  <c r="D2000" i="1"/>
  <c r="F1999" i="1"/>
  <c r="D1999" i="1"/>
  <c r="F1998" i="1"/>
  <c r="D1998" i="1"/>
  <c r="F1997" i="1"/>
  <c r="D1997" i="1"/>
  <c r="F1996" i="1"/>
  <c r="D1996" i="1"/>
  <c r="F1995" i="1"/>
  <c r="D1995" i="1"/>
  <c r="F1994" i="1"/>
  <c r="D1994" i="1"/>
  <c r="F1993" i="1"/>
  <c r="D1993" i="1"/>
  <c r="F1992" i="1"/>
  <c r="D1992" i="1"/>
  <c r="F1991" i="1"/>
  <c r="D1991" i="1"/>
  <c r="F1990" i="1"/>
  <c r="D1990" i="1"/>
  <c r="F1989" i="1"/>
  <c r="D1989" i="1"/>
  <c r="F1988" i="1"/>
  <c r="D1988" i="1"/>
  <c r="H1987" i="1"/>
  <c r="H1986" i="1"/>
  <c r="H1985" i="1"/>
  <c r="H1984" i="1"/>
  <c r="H1983" i="1"/>
  <c r="H1982" i="1"/>
  <c r="H1981" i="1"/>
  <c r="H1980" i="1"/>
  <c r="H1979" i="1"/>
  <c r="F1987" i="1"/>
  <c r="D1987" i="1"/>
  <c r="F1986" i="1"/>
  <c r="D1986" i="1"/>
  <c r="F1985" i="1"/>
  <c r="D1985" i="1"/>
  <c r="F1984" i="1"/>
  <c r="D1984" i="1"/>
  <c r="F1983" i="1"/>
  <c r="D1983" i="1"/>
  <c r="F1982" i="1"/>
  <c r="D1982" i="1"/>
  <c r="F1981" i="1"/>
  <c r="D1981" i="1"/>
  <c r="F1980" i="1"/>
  <c r="D1980" i="1"/>
  <c r="F1979" i="1"/>
  <c r="D1979" i="1"/>
  <c r="H1978" i="1" l="1"/>
  <c r="H1977" i="1"/>
  <c r="H1976" i="1"/>
  <c r="H1975" i="1"/>
  <c r="H1974" i="1"/>
  <c r="H1973" i="1"/>
  <c r="H1972" i="1"/>
  <c r="H1971" i="1"/>
  <c r="H1970" i="1"/>
  <c r="F1978" i="1"/>
  <c r="D1978" i="1"/>
  <c r="F1977" i="1"/>
  <c r="D1977" i="1"/>
  <c r="F1976" i="1"/>
  <c r="D1976" i="1"/>
  <c r="F1975" i="1"/>
  <c r="D1975" i="1"/>
  <c r="F1974" i="1"/>
  <c r="D1974" i="1"/>
  <c r="F1973" i="1"/>
  <c r="D1973" i="1"/>
  <c r="F1972" i="1"/>
  <c r="D1972" i="1"/>
  <c r="F1971" i="1"/>
  <c r="D1971" i="1"/>
  <c r="F1970" i="1"/>
  <c r="D1970" i="1"/>
  <c r="H1969" i="1" l="1"/>
  <c r="H1968" i="1"/>
  <c r="H1967" i="1"/>
  <c r="H1966" i="1"/>
  <c r="H1965" i="1"/>
  <c r="H1964" i="1"/>
  <c r="H1963" i="1"/>
  <c r="H1962" i="1"/>
  <c r="H1961" i="1"/>
  <c r="F1969" i="1"/>
  <c r="D1969" i="1"/>
  <c r="F1968" i="1"/>
  <c r="D1968" i="1"/>
  <c r="F1967" i="1"/>
  <c r="D1967" i="1"/>
  <c r="F1966" i="1"/>
  <c r="D1966" i="1"/>
  <c r="F1965" i="1"/>
  <c r="D1965" i="1"/>
  <c r="F1964" i="1"/>
  <c r="D1964" i="1"/>
  <c r="F1963" i="1"/>
  <c r="D1963" i="1"/>
  <c r="F1962" i="1"/>
  <c r="D1962" i="1"/>
  <c r="F1961" i="1"/>
  <c r="D1961" i="1"/>
  <c r="H1960" i="1" l="1"/>
  <c r="H1959" i="1"/>
  <c r="H1958" i="1"/>
  <c r="H1957" i="1"/>
  <c r="H1956" i="1"/>
  <c r="H1955" i="1"/>
  <c r="H1954" i="1"/>
  <c r="H1953" i="1"/>
  <c r="H1952" i="1"/>
  <c r="F1960" i="1"/>
  <c r="D1960" i="1"/>
  <c r="F1959" i="1"/>
  <c r="D1959" i="1"/>
  <c r="F1958" i="1"/>
  <c r="D1958" i="1"/>
  <c r="F1957" i="1"/>
  <c r="D1957" i="1"/>
  <c r="F1956" i="1"/>
  <c r="D1956" i="1"/>
  <c r="F1955" i="1"/>
  <c r="D1955" i="1"/>
  <c r="F1954" i="1"/>
  <c r="D1954" i="1"/>
  <c r="F1953" i="1"/>
  <c r="D1953" i="1"/>
  <c r="F1952" i="1"/>
  <c r="D1952" i="1"/>
  <c r="H1951" i="1" l="1"/>
  <c r="H1950" i="1"/>
  <c r="H1949" i="1"/>
  <c r="H1948" i="1"/>
  <c r="H1947" i="1"/>
  <c r="H1946" i="1"/>
  <c r="H1945" i="1"/>
  <c r="H1944" i="1"/>
  <c r="H1943" i="1"/>
  <c r="F1951" i="1"/>
  <c r="D1951" i="1"/>
  <c r="F1950" i="1"/>
  <c r="D1950" i="1"/>
  <c r="F1949" i="1"/>
  <c r="D1949" i="1"/>
  <c r="F1948" i="1"/>
  <c r="D1948" i="1"/>
  <c r="F1947" i="1"/>
  <c r="D1947" i="1"/>
  <c r="F1946" i="1"/>
  <c r="D1946" i="1"/>
  <c r="F1945" i="1"/>
  <c r="D1945" i="1"/>
  <c r="F1944" i="1"/>
  <c r="D1944" i="1"/>
  <c r="F1943" i="1"/>
  <c r="D1943" i="1"/>
  <c r="H1942" i="1" l="1"/>
  <c r="H1941" i="1"/>
  <c r="H1940" i="1"/>
  <c r="H1939" i="1"/>
  <c r="H1938" i="1"/>
  <c r="H1937" i="1"/>
  <c r="H1936" i="1"/>
  <c r="H1935" i="1"/>
  <c r="H1934" i="1"/>
  <c r="F1942" i="1"/>
  <c r="D1942" i="1"/>
  <c r="F1941" i="1"/>
  <c r="D1941" i="1"/>
  <c r="F1940" i="1"/>
  <c r="D1940" i="1"/>
  <c r="F1939" i="1"/>
  <c r="D1939" i="1"/>
  <c r="F1938" i="1"/>
  <c r="D1938" i="1"/>
  <c r="F1937" i="1"/>
  <c r="D1937" i="1"/>
  <c r="F1936" i="1"/>
  <c r="D1936" i="1"/>
  <c r="F1935" i="1"/>
  <c r="D1935" i="1"/>
  <c r="F1934" i="1"/>
  <c r="D1934" i="1"/>
  <c r="H1933" i="1" l="1"/>
  <c r="F1933" i="1"/>
  <c r="D1933" i="1"/>
  <c r="H1932" i="1"/>
  <c r="F1932" i="1"/>
  <c r="D1932" i="1"/>
  <c r="H1931" i="1"/>
  <c r="F1931" i="1"/>
  <c r="D1931" i="1"/>
  <c r="H1930" i="1"/>
  <c r="F1930" i="1"/>
  <c r="D1930" i="1"/>
  <c r="H1929" i="1"/>
  <c r="F1929" i="1"/>
  <c r="D1929" i="1"/>
  <c r="H1928" i="1"/>
  <c r="F1928" i="1"/>
  <c r="D1928" i="1"/>
  <c r="H1927" i="1"/>
  <c r="F1927" i="1"/>
  <c r="D1927" i="1"/>
  <c r="H1926" i="1"/>
  <c r="F1926" i="1"/>
  <c r="D1926" i="1"/>
  <c r="H1925" i="1"/>
  <c r="F1925" i="1"/>
  <c r="D1925" i="1"/>
  <c r="H1924" i="1"/>
  <c r="F1924" i="1"/>
  <c r="D1924" i="1"/>
  <c r="H1923" i="1"/>
  <c r="F1923" i="1"/>
  <c r="D1923" i="1"/>
  <c r="H1922" i="1"/>
  <c r="F1922" i="1"/>
  <c r="D1922" i="1"/>
  <c r="H1921" i="1"/>
  <c r="F1921" i="1"/>
  <c r="D1921" i="1"/>
  <c r="H1920" i="1"/>
  <c r="F1920" i="1"/>
  <c r="D1920" i="1"/>
  <c r="H1919" i="1"/>
  <c r="F1919" i="1"/>
  <c r="D1919" i="1"/>
  <c r="H1918" i="1"/>
  <c r="F1918" i="1"/>
  <c r="D1918" i="1"/>
  <c r="H1917" i="1"/>
  <c r="F1917" i="1"/>
  <c r="D1917" i="1"/>
  <c r="H1916" i="1"/>
  <c r="F1916" i="1"/>
  <c r="D1916" i="1"/>
  <c r="H1915" i="1"/>
  <c r="F1915" i="1"/>
  <c r="D1915" i="1"/>
  <c r="H1914" i="1"/>
  <c r="F1914" i="1"/>
  <c r="D1914" i="1"/>
  <c r="H1913" i="1" l="1"/>
  <c r="H1912" i="1"/>
  <c r="H1911" i="1"/>
  <c r="H1910" i="1"/>
  <c r="H1909" i="1"/>
  <c r="H1908" i="1"/>
  <c r="H1907" i="1"/>
  <c r="H1906" i="1"/>
  <c r="H1905" i="1"/>
  <c r="F1913" i="1"/>
  <c r="D1913" i="1"/>
  <c r="F1912" i="1"/>
  <c r="D1912" i="1"/>
  <c r="F1911" i="1"/>
  <c r="D1911" i="1"/>
  <c r="F1910" i="1"/>
  <c r="D1910" i="1"/>
  <c r="F1909" i="1"/>
  <c r="D1909" i="1"/>
  <c r="F1908" i="1"/>
  <c r="D1908" i="1"/>
  <c r="F1907" i="1"/>
  <c r="D1907" i="1"/>
  <c r="F1906" i="1"/>
  <c r="D1906" i="1"/>
  <c r="F1905" i="1"/>
  <c r="D1905" i="1"/>
  <c r="H1904" i="1" l="1"/>
  <c r="H1903" i="1"/>
  <c r="H1902" i="1"/>
  <c r="H1901" i="1"/>
  <c r="H1900" i="1"/>
  <c r="H1899" i="1"/>
  <c r="H1898" i="1"/>
  <c r="H1897" i="1"/>
  <c r="H1896" i="1"/>
  <c r="F1904" i="1"/>
  <c r="D1904" i="1"/>
  <c r="F1903" i="1"/>
  <c r="D1903" i="1"/>
  <c r="F1902" i="1"/>
  <c r="D1902" i="1"/>
  <c r="F1901" i="1"/>
  <c r="D1901" i="1"/>
  <c r="F1900" i="1"/>
  <c r="D1900" i="1"/>
  <c r="F1899" i="1"/>
  <c r="D1899" i="1"/>
  <c r="F1898" i="1"/>
  <c r="D1898" i="1"/>
  <c r="F1897" i="1"/>
  <c r="D1897" i="1"/>
  <c r="F1896" i="1"/>
  <c r="D1896" i="1"/>
  <c r="H1895" i="1" l="1"/>
  <c r="H1894" i="1"/>
  <c r="H1893" i="1"/>
  <c r="H1892" i="1"/>
  <c r="H1891" i="1"/>
  <c r="H1890" i="1"/>
  <c r="H1889" i="1"/>
  <c r="H1888" i="1"/>
  <c r="H1887" i="1"/>
  <c r="F1895" i="1"/>
  <c r="D1895" i="1"/>
  <c r="F1894" i="1"/>
  <c r="D1894" i="1"/>
  <c r="F1893" i="1"/>
  <c r="D1893" i="1"/>
  <c r="F1892" i="1"/>
  <c r="D1892" i="1"/>
  <c r="F1891" i="1"/>
  <c r="D1891" i="1"/>
  <c r="F1890" i="1"/>
  <c r="D1890" i="1"/>
  <c r="F1889" i="1"/>
  <c r="D1889" i="1"/>
  <c r="F1888" i="1"/>
  <c r="D1888" i="1"/>
  <c r="F1887" i="1"/>
  <c r="D1887" i="1"/>
  <c r="H1886" i="1" l="1"/>
  <c r="H1885" i="1"/>
  <c r="H1884" i="1"/>
  <c r="H1883" i="1"/>
  <c r="H1882" i="1"/>
  <c r="H1881" i="1"/>
  <c r="H1880" i="1"/>
  <c r="H1879" i="1"/>
  <c r="H1878" i="1"/>
  <c r="H1877" i="1"/>
  <c r="H1876" i="1"/>
  <c r="F1886" i="1"/>
  <c r="D1886" i="1"/>
  <c r="F1885" i="1"/>
  <c r="D1885" i="1"/>
  <c r="F1884" i="1"/>
  <c r="D1884" i="1"/>
  <c r="F1883" i="1"/>
  <c r="D1883" i="1"/>
  <c r="F1882" i="1"/>
  <c r="D1882" i="1"/>
  <c r="F1881" i="1"/>
  <c r="D1881" i="1"/>
  <c r="F1880" i="1"/>
  <c r="D1880" i="1"/>
  <c r="F1879" i="1"/>
  <c r="D1879" i="1"/>
  <c r="F1878" i="1"/>
  <c r="D1878" i="1"/>
  <c r="F1877" i="1"/>
  <c r="D1877" i="1"/>
  <c r="F1876" i="1"/>
  <c r="D1876" i="1"/>
  <c r="H1875" i="1" l="1"/>
  <c r="H1874" i="1"/>
  <c r="H1873" i="1"/>
  <c r="H1872" i="1"/>
  <c r="H1871" i="1"/>
  <c r="H1870" i="1"/>
  <c r="H1869" i="1"/>
  <c r="H1868" i="1"/>
  <c r="H1867" i="1"/>
  <c r="F1875" i="1"/>
  <c r="D1875" i="1"/>
  <c r="F1874" i="1"/>
  <c r="D1874" i="1"/>
  <c r="F1873" i="1"/>
  <c r="D1873" i="1"/>
  <c r="F1872" i="1"/>
  <c r="D1872" i="1"/>
  <c r="F1871" i="1"/>
  <c r="D1871" i="1"/>
  <c r="F1870" i="1"/>
  <c r="D1870" i="1"/>
  <c r="F1869" i="1"/>
  <c r="D1869" i="1"/>
  <c r="F1868" i="1"/>
  <c r="D1868" i="1"/>
  <c r="F1867" i="1"/>
  <c r="D1867" i="1"/>
  <c r="H1866" i="1"/>
  <c r="H1865" i="1"/>
  <c r="H1864" i="1"/>
  <c r="H1863" i="1"/>
  <c r="H1862" i="1"/>
  <c r="H1861" i="1"/>
  <c r="H1860" i="1"/>
  <c r="H1859" i="1"/>
  <c r="H1858" i="1"/>
  <c r="F1866" i="1"/>
  <c r="D1866" i="1"/>
  <c r="F1865" i="1"/>
  <c r="D1865" i="1"/>
  <c r="F1864" i="1"/>
  <c r="D1864" i="1"/>
  <c r="F1863" i="1"/>
  <c r="D1863" i="1"/>
  <c r="F1862" i="1"/>
  <c r="D1862" i="1"/>
  <c r="F1861" i="1"/>
  <c r="D1861" i="1"/>
  <c r="F1860" i="1"/>
  <c r="D1860" i="1"/>
  <c r="F1859" i="1"/>
  <c r="D1859" i="1"/>
  <c r="F1858" i="1"/>
  <c r="D1858" i="1"/>
  <c r="H1857" i="1"/>
  <c r="H1856" i="1"/>
  <c r="H1855" i="1"/>
  <c r="H1854" i="1"/>
  <c r="H1853" i="1"/>
  <c r="H1852" i="1"/>
  <c r="H1851" i="1"/>
  <c r="H1850" i="1"/>
  <c r="H1849" i="1"/>
  <c r="F1857" i="1"/>
  <c r="D1857" i="1"/>
  <c r="F1856" i="1"/>
  <c r="D1856" i="1"/>
  <c r="F1855" i="1"/>
  <c r="D1855" i="1"/>
  <c r="F1854" i="1"/>
  <c r="D1854" i="1"/>
  <c r="F1853" i="1"/>
  <c r="D1853" i="1"/>
  <c r="F1852" i="1"/>
  <c r="D1852" i="1"/>
  <c r="F1851" i="1"/>
  <c r="D1851" i="1"/>
  <c r="F1850" i="1"/>
  <c r="D1850" i="1"/>
  <c r="F1849" i="1"/>
  <c r="D1849" i="1"/>
  <c r="H1848" i="1" l="1"/>
  <c r="F1848" i="1"/>
  <c r="D1848" i="1"/>
  <c r="H1847" i="1"/>
  <c r="F1847" i="1"/>
  <c r="D1847" i="1"/>
  <c r="H1846" i="1"/>
  <c r="F1846" i="1"/>
  <c r="D1846" i="1"/>
  <c r="H1845" i="1"/>
  <c r="F1845" i="1"/>
  <c r="D1845" i="1"/>
  <c r="H1844" i="1"/>
  <c r="F1844" i="1"/>
  <c r="D1844" i="1"/>
  <c r="H1843" i="1"/>
  <c r="F1843" i="1"/>
  <c r="D1843" i="1"/>
  <c r="H1842" i="1"/>
  <c r="F1842" i="1"/>
  <c r="D1842" i="1"/>
  <c r="H1841" i="1"/>
  <c r="F1841" i="1"/>
  <c r="D1841" i="1"/>
  <c r="H1840" i="1"/>
  <c r="F1840" i="1"/>
  <c r="D1840" i="1"/>
  <c r="H1839" i="1" l="1"/>
  <c r="H1838" i="1"/>
  <c r="H1837" i="1"/>
  <c r="H1836" i="1"/>
  <c r="H1835" i="1"/>
  <c r="H1834" i="1"/>
  <c r="H1833" i="1"/>
  <c r="H1832" i="1"/>
  <c r="H1831" i="1"/>
  <c r="F1839" i="1"/>
  <c r="D1839" i="1"/>
  <c r="F1838" i="1"/>
  <c r="D1838" i="1"/>
  <c r="F1837" i="1"/>
  <c r="D1837" i="1"/>
  <c r="F1836" i="1"/>
  <c r="D1836" i="1"/>
  <c r="F1835" i="1"/>
  <c r="D1835" i="1"/>
  <c r="F1834" i="1"/>
  <c r="D1834" i="1"/>
  <c r="F1833" i="1"/>
  <c r="D1833" i="1"/>
  <c r="F1832" i="1"/>
  <c r="D1832" i="1"/>
  <c r="F1831" i="1"/>
  <c r="D1831" i="1"/>
  <c r="H1830" i="1" l="1"/>
  <c r="H1829" i="1"/>
  <c r="H1828" i="1"/>
  <c r="H1827" i="1"/>
  <c r="H1826" i="1"/>
  <c r="H1825" i="1"/>
  <c r="H1824" i="1"/>
  <c r="H1823" i="1"/>
  <c r="H1822" i="1"/>
  <c r="F1830" i="1"/>
  <c r="D1830" i="1"/>
  <c r="F1829" i="1"/>
  <c r="D1829" i="1"/>
  <c r="F1828" i="1"/>
  <c r="D1828" i="1"/>
  <c r="F1827" i="1"/>
  <c r="D1827" i="1"/>
  <c r="F1826" i="1"/>
  <c r="D1826" i="1"/>
  <c r="F1825" i="1"/>
  <c r="D1825" i="1"/>
  <c r="F1824" i="1"/>
  <c r="D1824" i="1"/>
  <c r="F1823" i="1"/>
  <c r="D1823" i="1"/>
  <c r="F1822" i="1"/>
  <c r="D1822" i="1"/>
  <c r="H1821" i="1" l="1"/>
  <c r="H1820" i="1"/>
  <c r="H1819" i="1"/>
  <c r="H1818" i="1"/>
  <c r="H1817" i="1"/>
  <c r="H1816" i="1"/>
  <c r="H1815" i="1"/>
  <c r="H1814" i="1"/>
  <c r="H1813" i="1"/>
  <c r="F1821" i="1"/>
  <c r="D1821" i="1"/>
  <c r="F1820" i="1"/>
  <c r="D1820" i="1"/>
  <c r="F1819" i="1"/>
  <c r="D1819" i="1"/>
  <c r="F1818" i="1"/>
  <c r="D1818" i="1"/>
  <c r="F1817" i="1"/>
  <c r="D1817" i="1"/>
  <c r="F1816" i="1"/>
  <c r="D1816" i="1"/>
  <c r="F1815" i="1"/>
  <c r="D1815" i="1"/>
  <c r="F1814" i="1"/>
  <c r="D1814" i="1"/>
  <c r="F1813" i="1"/>
  <c r="D1813" i="1"/>
  <c r="H1812" i="1" l="1"/>
  <c r="H1811" i="1"/>
  <c r="H1810" i="1"/>
  <c r="H1809" i="1"/>
  <c r="H1808" i="1"/>
  <c r="H1807" i="1"/>
  <c r="H1806" i="1"/>
  <c r="H1805" i="1"/>
  <c r="H1804" i="1"/>
  <c r="F1812" i="1"/>
  <c r="D1812" i="1"/>
  <c r="F1811" i="1"/>
  <c r="D1811" i="1"/>
  <c r="F1810" i="1"/>
  <c r="D1810" i="1"/>
  <c r="F1809" i="1"/>
  <c r="D1809" i="1"/>
  <c r="F1808" i="1"/>
  <c r="D1808" i="1"/>
  <c r="F1807" i="1"/>
  <c r="D1807" i="1"/>
  <c r="F1806" i="1"/>
  <c r="D1806" i="1"/>
  <c r="F1805" i="1"/>
  <c r="D1805" i="1"/>
  <c r="F1804" i="1"/>
  <c r="D1804" i="1"/>
  <c r="H1803" i="1" l="1"/>
  <c r="H1802" i="1"/>
  <c r="H1801" i="1"/>
  <c r="H1800" i="1"/>
  <c r="H1799" i="1"/>
  <c r="H1798" i="1"/>
  <c r="H1797" i="1"/>
  <c r="H1796" i="1"/>
  <c r="H1795" i="1"/>
  <c r="F1803" i="1"/>
  <c r="D1803" i="1"/>
  <c r="F1802" i="1"/>
  <c r="D1802" i="1"/>
  <c r="F1801" i="1"/>
  <c r="D1801" i="1"/>
  <c r="F1800" i="1"/>
  <c r="D1800" i="1"/>
  <c r="F1799" i="1"/>
  <c r="D1799" i="1"/>
  <c r="F1798" i="1"/>
  <c r="D1798" i="1"/>
  <c r="F1797" i="1"/>
  <c r="D1797" i="1"/>
  <c r="F1796" i="1"/>
  <c r="D1796" i="1"/>
  <c r="F1795" i="1"/>
  <c r="D1795" i="1"/>
  <c r="H1794" i="1" l="1"/>
  <c r="H1793" i="1"/>
  <c r="H1792" i="1"/>
  <c r="H1791" i="1"/>
  <c r="H1790" i="1"/>
  <c r="H1789" i="1"/>
  <c r="H1788" i="1"/>
  <c r="H1787" i="1"/>
  <c r="H1786" i="1"/>
  <c r="F1794" i="1"/>
  <c r="D1794" i="1"/>
  <c r="F1793" i="1"/>
  <c r="D1793" i="1"/>
  <c r="F1792" i="1"/>
  <c r="D1792" i="1"/>
  <c r="F1791" i="1"/>
  <c r="D1791" i="1"/>
  <c r="F1790" i="1"/>
  <c r="D1790" i="1"/>
  <c r="F1789" i="1"/>
  <c r="D1789" i="1"/>
  <c r="F1788" i="1"/>
  <c r="D1788" i="1"/>
  <c r="F1787" i="1"/>
  <c r="D1787" i="1"/>
  <c r="F1786" i="1"/>
  <c r="D1786" i="1"/>
  <c r="H1785" i="1" l="1"/>
  <c r="H1784" i="1"/>
  <c r="H1783" i="1"/>
  <c r="H1782" i="1"/>
  <c r="H1781" i="1"/>
  <c r="H1780" i="1"/>
  <c r="H1779" i="1"/>
  <c r="H1778" i="1"/>
  <c r="H1777" i="1"/>
  <c r="F1785" i="1"/>
  <c r="D1785" i="1"/>
  <c r="F1784" i="1"/>
  <c r="D1784" i="1"/>
  <c r="F1783" i="1"/>
  <c r="D1783" i="1"/>
  <c r="F1782" i="1"/>
  <c r="D1782" i="1"/>
  <c r="F1781" i="1"/>
  <c r="D1781" i="1"/>
  <c r="F1780" i="1"/>
  <c r="D1780" i="1"/>
  <c r="F1779" i="1"/>
  <c r="D1779" i="1"/>
  <c r="F1778" i="1"/>
  <c r="D1778" i="1"/>
  <c r="F1777" i="1"/>
  <c r="D1777" i="1"/>
  <c r="H1776" i="1" l="1"/>
  <c r="H1775" i="1"/>
  <c r="H1774" i="1"/>
  <c r="H1773" i="1"/>
  <c r="H1772" i="1"/>
  <c r="H1771" i="1"/>
  <c r="H1770" i="1"/>
  <c r="H1769" i="1"/>
  <c r="H1768" i="1"/>
  <c r="F1776" i="1"/>
  <c r="D1776" i="1"/>
  <c r="F1775" i="1"/>
  <c r="D1775" i="1"/>
  <c r="F1774" i="1"/>
  <c r="D1774" i="1"/>
  <c r="F1773" i="1"/>
  <c r="D1773" i="1"/>
  <c r="F1772" i="1"/>
  <c r="D1772" i="1"/>
  <c r="F1771" i="1"/>
  <c r="D1771" i="1"/>
  <c r="F1770" i="1"/>
  <c r="D1770" i="1"/>
  <c r="F1769" i="1"/>
  <c r="D1769" i="1"/>
  <c r="F1768" i="1"/>
  <c r="D1768" i="1"/>
  <c r="H1767" i="1" l="1"/>
  <c r="H1766" i="1"/>
  <c r="H1765" i="1"/>
  <c r="H1764" i="1"/>
  <c r="H1763" i="1"/>
  <c r="H1762" i="1"/>
  <c r="H1761" i="1"/>
  <c r="H1760" i="1"/>
  <c r="H1759" i="1"/>
  <c r="F1767" i="1"/>
  <c r="D1767" i="1"/>
  <c r="F1766" i="1"/>
  <c r="D1766" i="1"/>
  <c r="F1765" i="1"/>
  <c r="D1765" i="1"/>
  <c r="F1764" i="1"/>
  <c r="D1764" i="1"/>
  <c r="F1763" i="1"/>
  <c r="D1763" i="1"/>
  <c r="F1762" i="1"/>
  <c r="D1762" i="1"/>
  <c r="F1761" i="1"/>
  <c r="D1761" i="1"/>
  <c r="F1760" i="1"/>
  <c r="D1760" i="1"/>
  <c r="F1759" i="1"/>
  <c r="D1759" i="1"/>
  <c r="H1758" i="1" l="1"/>
  <c r="H1757" i="1"/>
  <c r="H1756" i="1"/>
  <c r="H1755" i="1"/>
  <c r="H1754" i="1"/>
  <c r="H1753" i="1"/>
  <c r="H1752" i="1"/>
  <c r="H1751" i="1"/>
  <c r="H1750" i="1"/>
  <c r="F1758" i="1"/>
  <c r="D1758" i="1"/>
  <c r="F1757" i="1"/>
  <c r="D1757" i="1"/>
  <c r="F1756" i="1"/>
  <c r="D1756" i="1"/>
  <c r="F1755" i="1"/>
  <c r="D1755" i="1"/>
  <c r="F1754" i="1"/>
  <c r="D1754" i="1"/>
  <c r="F1753" i="1"/>
  <c r="D1753" i="1"/>
  <c r="F1752" i="1"/>
  <c r="D1752" i="1"/>
  <c r="F1751" i="1"/>
  <c r="D1751" i="1"/>
  <c r="F1750" i="1"/>
  <c r="D1750" i="1"/>
  <c r="H1749" i="1" l="1"/>
  <c r="H1748" i="1"/>
  <c r="H1747" i="1"/>
  <c r="H1746" i="1"/>
  <c r="H1745" i="1"/>
  <c r="H1744" i="1"/>
  <c r="H1743" i="1"/>
  <c r="H1742" i="1"/>
  <c r="H1741" i="1"/>
  <c r="F1749" i="1"/>
  <c r="D1749" i="1"/>
  <c r="F1748" i="1"/>
  <c r="D1748" i="1"/>
  <c r="F1747" i="1"/>
  <c r="D1747" i="1"/>
  <c r="F1746" i="1"/>
  <c r="D1746" i="1"/>
  <c r="F1745" i="1"/>
  <c r="D1745" i="1"/>
  <c r="F1744" i="1"/>
  <c r="D1744" i="1"/>
  <c r="F1743" i="1"/>
  <c r="D1743" i="1"/>
  <c r="F1742" i="1"/>
  <c r="D1742" i="1"/>
  <c r="F1741" i="1"/>
  <c r="D1741" i="1"/>
  <c r="H1740" i="1" l="1"/>
  <c r="H1739" i="1"/>
  <c r="H1738" i="1"/>
  <c r="H1737" i="1"/>
  <c r="H1736" i="1"/>
  <c r="H1735" i="1"/>
  <c r="H1734" i="1"/>
  <c r="H1733" i="1"/>
  <c r="H1732" i="1"/>
  <c r="F1740" i="1"/>
  <c r="D1740" i="1"/>
  <c r="F1739" i="1"/>
  <c r="D1739" i="1"/>
  <c r="F1738" i="1"/>
  <c r="D1738" i="1"/>
  <c r="F1737" i="1"/>
  <c r="D1737" i="1"/>
  <c r="F1736" i="1"/>
  <c r="D1736" i="1"/>
  <c r="F1735" i="1"/>
  <c r="D1735" i="1"/>
  <c r="F1734" i="1"/>
  <c r="D1734" i="1"/>
  <c r="F1733" i="1"/>
  <c r="D1733" i="1"/>
  <c r="F1732" i="1"/>
  <c r="D1732" i="1"/>
  <c r="H1731" i="1" l="1"/>
  <c r="H1730" i="1"/>
  <c r="H1729" i="1"/>
  <c r="H1728" i="1"/>
  <c r="H1727" i="1"/>
  <c r="H1726" i="1"/>
  <c r="H1725" i="1"/>
  <c r="H1724" i="1"/>
  <c r="H1723" i="1"/>
  <c r="F1731" i="1"/>
  <c r="D1731" i="1"/>
  <c r="F1730" i="1"/>
  <c r="D1730" i="1"/>
  <c r="F1729" i="1"/>
  <c r="D1729" i="1"/>
  <c r="F1728" i="1"/>
  <c r="D1728" i="1"/>
  <c r="F1727" i="1"/>
  <c r="D1727" i="1"/>
  <c r="F1726" i="1"/>
  <c r="D1726" i="1"/>
  <c r="F1725" i="1"/>
  <c r="D1725" i="1"/>
  <c r="F1724" i="1"/>
  <c r="D1724" i="1"/>
  <c r="F1723" i="1"/>
  <c r="D1723" i="1"/>
  <c r="H1722" i="1" l="1"/>
  <c r="F1722" i="1"/>
  <c r="D1722" i="1"/>
  <c r="H1721" i="1"/>
  <c r="F1721" i="1"/>
  <c r="D1721" i="1"/>
  <c r="H1720" i="1"/>
  <c r="F1720" i="1"/>
  <c r="D1720" i="1"/>
  <c r="H1719" i="1"/>
  <c r="F1719" i="1"/>
  <c r="D1719" i="1"/>
  <c r="H1718" i="1"/>
  <c r="F1718" i="1"/>
  <c r="D1718" i="1"/>
  <c r="H1717" i="1"/>
  <c r="F1717" i="1"/>
  <c r="D1717" i="1"/>
  <c r="H1716" i="1"/>
  <c r="F1716" i="1"/>
  <c r="D1716" i="1"/>
  <c r="H1715" i="1"/>
  <c r="F1715" i="1"/>
  <c r="D1715" i="1"/>
  <c r="H1714" i="1"/>
  <c r="F1714" i="1"/>
  <c r="D1714" i="1"/>
  <c r="H1713" i="1" l="1"/>
  <c r="F1713" i="1"/>
  <c r="D1713" i="1"/>
  <c r="H1712" i="1"/>
  <c r="F1712" i="1"/>
  <c r="D1712" i="1"/>
  <c r="H1711" i="1"/>
  <c r="F1711" i="1"/>
  <c r="D1711" i="1"/>
  <c r="H1710" i="1"/>
  <c r="F1710" i="1"/>
  <c r="D1710" i="1"/>
  <c r="H1709" i="1"/>
  <c r="F1709" i="1"/>
  <c r="D1709" i="1"/>
  <c r="H1708" i="1"/>
  <c r="F1708" i="1"/>
  <c r="D1708" i="1"/>
  <c r="H1707" i="1"/>
  <c r="F1707" i="1"/>
  <c r="D1707" i="1"/>
  <c r="H1706" i="1"/>
  <c r="F1706" i="1"/>
  <c r="D1706" i="1"/>
  <c r="H1705" i="1"/>
  <c r="F1705" i="1"/>
  <c r="D1705" i="1"/>
  <c r="H1704" i="1" l="1"/>
  <c r="F1704" i="1"/>
  <c r="D1704" i="1"/>
  <c r="H1703" i="1"/>
  <c r="F1703" i="1"/>
  <c r="D1703" i="1"/>
  <c r="H1702" i="1"/>
  <c r="F1702" i="1"/>
  <c r="D1702" i="1"/>
  <c r="H1701" i="1"/>
  <c r="F1701" i="1"/>
  <c r="D1701" i="1"/>
  <c r="H1700" i="1"/>
  <c r="F1700" i="1"/>
  <c r="D1700" i="1"/>
  <c r="H1699" i="1"/>
  <c r="F1699" i="1"/>
  <c r="D1699" i="1"/>
  <c r="H1698" i="1"/>
  <c r="F1698" i="1"/>
  <c r="D1698" i="1"/>
  <c r="H1697" i="1"/>
  <c r="F1697" i="1"/>
  <c r="D1697" i="1"/>
  <c r="H1696" i="1"/>
  <c r="F1696" i="1"/>
  <c r="D1696" i="1"/>
  <c r="H1695" i="1" l="1"/>
  <c r="F1695" i="1"/>
  <c r="D1695" i="1"/>
  <c r="H1694" i="1"/>
  <c r="F1694" i="1"/>
  <c r="D1694" i="1"/>
  <c r="H1693" i="1"/>
  <c r="F1693" i="1"/>
  <c r="D1693" i="1"/>
  <c r="H1692" i="1"/>
  <c r="F1692" i="1"/>
  <c r="D1692" i="1"/>
  <c r="H1691" i="1"/>
  <c r="F1691" i="1"/>
  <c r="D1691" i="1"/>
  <c r="H1690" i="1"/>
  <c r="F1690" i="1"/>
  <c r="D1690" i="1"/>
  <c r="H1689" i="1"/>
  <c r="F1689" i="1"/>
  <c r="D1689" i="1"/>
  <c r="H1688" i="1"/>
  <c r="F1688" i="1"/>
  <c r="D1688" i="1"/>
  <c r="H1687" i="1"/>
  <c r="F1687" i="1"/>
  <c r="D1687" i="1"/>
  <c r="H1686" i="1" l="1"/>
  <c r="H1685" i="1"/>
  <c r="H1684" i="1"/>
  <c r="H1683" i="1"/>
  <c r="H1682" i="1"/>
  <c r="H1681" i="1"/>
  <c r="H1680" i="1"/>
  <c r="H1679" i="1"/>
  <c r="H1678" i="1"/>
  <c r="D1686" i="1"/>
  <c r="F1685" i="1"/>
  <c r="D1685" i="1"/>
  <c r="F1684" i="1"/>
  <c r="D1684" i="1"/>
  <c r="F1683" i="1"/>
  <c r="D1683" i="1"/>
  <c r="F1682" i="1"/>
  <c r="D1682" i="1"/>
  <c r="F1681" i="1"/>
  <c r="D1681" i="1"/>
  <c r="F1680" i="1"/>
  <c r="D1680" i="1"/>
  <c r="F1679" i="1"/>
  <c r="D1679" i="1"/>
  <c r="F1678" i="1"/>
  <c r="D1678" i="1"/>
  <c r="H1677" i="1"/>
  <c r="F1677" i="1"/>
  <c r="D1677" i="1"/>
  <c r="H1676" i="1" l="1"/>
  <c r="H1675" i="1"/>
  <c r="H1674" i="1"/>
  <c r="H1673" i="1"/>
  <c r="H1672" i="1"/>
  <c r="H1671" i="1"/>
  <c r="H1670" i="1"/>
  <c r="H1669" i="1"/>
  <c r="H1668" i="1"/>
  <c r="F1676" i="1"/>
  <c r="D1676" i="1"/>
  <c r="F1675" i="1"/>
  <c r="D1675" i="1"/>
  <c r="F1674" i="1"/>
  <c r="D1674" i="1"/>
  <c r="F1673" i="1"/>
  <c r="D1673" i="1"/>
  <c r="F1672" i="1"/>
  <c r="D1672" i="1"/>
  <c r="F1671" i="1"/>
  <c r="D1671" i="1"/>
  <c r="F1670" i="1"/>
  <c r="D1670" i="1"/>
  <c r="F1669" i="1"/>
  <c r="D1669" i="1"/>
  <c r="F1668" i="1"/>
  <c r="D1668" i="1"/>
  <c r="H1667" i="1" l="1"/>
  <c r="H1666" i="1"/>
  <c r="H1665" i="1"/>
  <c r="H1664" i="1"/>
  <c r="H1663" i="1"/>
  <c r="H1662" i="1"/>
  <c r="H1661" i="1"/>
  <c r="H1660" i="1"/>
  <c r="H1659" i="1"/>
  <c r="F1667" i="1"/>
  <c r="D1667" i="1"/>
  <c r="F1666" i="1"/>
  <c r="D1666" i="1"/>
  <c r="F1665" i="1"/>
  <c r="D1665" i="1"/>
  <c r="F1664" i="1"/>
  <c r="D1664" i="1"/>
  <c r="F1663" i="1"/>
  <c r="D1663" i="1"/>
  <c r="F1662" i="1"/>
  <c r="D1662" i="1"/>
  <c r="F1661" i="1"/>
  <c r="D1661" i="1"/>
  <c r="F1660" i="1"/>
  <c r="D1660" i="1"/>
  <c r="F1659" i="1"/>
  <c r="D1659" i="1"/>
  <c r="H1658" i="1" l="1"/>
  <c r="H1657" i="1"/>
  <c r="H1656" i="1"/>
  <c r="H1655" i="1"/>
  <c r="H1654" i="1"/>
  <c r="H1653" i="1"/>
  <c r="H1652" i="1"/>
  <c r="H1651" i="1"/>
  <c r="H1650" i="1"/>
  <c r="F1658" i="1"/>
  <c r="D1658" i="1"/>
  <c r="F1657" i="1"/>
  <c r="D1657" i="1"/>
  <c r="F1656" i="1"/>
  <c r="D1656" i="1"/>
  <c r="F1655" i="1"/>
  <c r="D1655" i="1"/>
  <c r="F1654" i="1"/>
  <c r="D1654" i="1"/>
  <c r="F1653" i="1"/>
  <c r="D1653" i="1"/>
  <c r="F1652" i="1"/>
  <c r="D1652" i="1"/>
  <c r="F1651" i="1"/>
  <c r="D1651" i="1"/>
  <c r="F1650" i="1"/>
  <c r="D1650" i="1"/>
  <c r="H1649" i="1" l="1"/>
  <c r="H1648" i="1"/>
  <c r="H1647" i="1"/>
  <c r="H1646" i="1"/>
  <c r="H1645" i="1"/>
  <c r="H1644" i="1"/>
  <c r="H1643" i="1"/>
  <c r="H1642" i="1"/>
  <c r="H1641" i="1"/>
  <c r="F1649" i="1"/>
  <c r="D1649" i="1"/>
  <c r="F1648" i="1"/>
  <c r="D1648" i="1"/>
  <c r="F1647" i="1"/>
  <c r="D1647" i="1"/>
  <c r="F1646" i="1"/>
  <c r="D1646" i="1"/>
  <c r="F1645" i="1"/>
  <c r="D1645" i="1"/>
  <c r="F1644" i="1"/>
  <c r="D1644" i="1"/>
  <c r="F1643" i="1"/>
  <c r="D1643" i="1"/>
  <c r="F1642" i="1"/>
  <c r="D1642" i="1"/>
  <c r="F1641" i="1"/>
  <c r="D1641" i="1"/>
  <c r="H1640" i="1" l="1"/>
  <c r="F1640" i="1"/>
  <c r="D1640" i="1"/>
  <c r="H1639" i="1"/>
  <c r="F1639" i="1"/>
  <c r="D1639" i="1"/>
  <c r="H1638" i="1"/>
  <c r="F1638" i="1"/>
  <c r="D1638" i="1"/>
  <c r="H1637" i="1"/>
  <c r="F1637" i="1"/>
  <c r="D1637" i="1"/>
  <c r="H1636" i="1"/>
  <c r="F1636" i="1"/>
  <c r="D1636" i="1"/>
  <c r="H1635" i="1"/>
  <c r="F1635" i="1"/>
  <c r="D1635" i="1"/>
  <c r="H1634" i="1"/>
  <c r="F1634" i="1"/>
  <c r="D1634" i="1"/>
  <c r="H1633" i="1"/>
  <c r="F1633" i="1"/>
  <c r="D1633" i="1"/>
  <c r="H1632" i="1"/>
  <c r="F1632" i="1"/>
  <c r="D1632" i="1"/>
  <c r="H1631" i="1"/>
  <c r="F1631" i="1"/>
  <c r="D1631" i="1"/>
  <c r="H1630" i="1"/>
  <c r="F1630" i="1"/>
  <c r="D1630" i="1"/>
  <c r="H1629" i="1"/>
  <c r="F1629" i="1"/>
  <c r="D1629" i="1"/>
  <c r="H1628" i="1"/>
  <c r="F1628" i="1"/>
  <c r="D1628" i="1"/>
  <c r="H1627" i="1"/>
  <c r="F1627" i="1"/>
  <c r="D1627" i="1"/>
  <c r="H1626" i="1"/>
  <c r="F1626" i="1"/>
  <c r="D1626" i="1"/>
  <c r="H1625" i="1"/>
  <c r="F1625" i="1"/>
  <c r="D1625" i="1"/>
  <c r="H1624" i="1"/>
  <c r="F1624" i="1"/>
  <c r="D1624" i="1"/>
  <c r="H1623" i="1"/>
  <c r="F1623" i="1"/>
  <c r="D1623" i="1"/>
  <c r="H1622" i="1"/>
  <c r="F1622" i="1"/>
  <c r="D1622" i="1"/>
  <c r="H1621" i="1" l="1"/>
  <c r="F1621" i="1"/>
  <c r="D1621" i="1"/>
  <c r="H1620" i="1" l="1"/>
  <c r="H1619" i="1"/>
  <c r="H1618" i="1"/>
  <c r="H1617" i="1"/>
  <c r="H1616" i="1"/>
  <c r="H1615" i="1"/>
  <c r="H1614" i="1"/>
  <c r="H1613" i="1"/>
  <c r="H1612" i="1"/>
  <c r="F1620" i="1"/>
  <c r="D1620" i="1"/>
  <c r="F1619" i="1"/>
  <c r="D1619" i="1"/>
  <c r="F1618" i="1"/>
  <c r="D1618" i="1"/>
  <c r="F1617" i="1"/>
  <c r="D1617" i="1"/>
  <c r="F1616" i="1"/>
  <c r="D1616" i="1"/>
  <c r="F1615" i="1"/>
  <c r="D1615" i="1"/>
  <c r="F1614" i="1"/>
  <c r="D1614" i="1"/>
  <c r="F1613" i="1"/>
  <c r="D1613" i="1"/>
  <c r="F1612" i="1"/>
  <c r="D1612" i="1"/>
  <c r="H1611" i="1" l="1"/>
  <c r="H1610" i="1"/>
  <c r="H1609" i="1"/>
  <c r="H1608" i="1"/>
  <c r="H1607" i="1"/>
  <c r="H1606" i="1"/>
  <c r="H1605" i="1"/>
  <c r="H1604" i="1"/>
  <c r="H1603" i="1"/>
  <c r="F1611" i="1"/>
  <c r="D1611" i="1"/>
  <c r="F1610" i="1"/>
  <c r="D1610" i="1"/>
  <c r="F1609" i="1"/>
  <c r="D1609" i="1"/>
  <c r="F1608" i="1"/>
  <c r="D1608" i="1"/>
  <c r="F1607" i="1"/>
  <c r="D1607" i="1"/>
  <c r="F1606" i="1"/>
  <c r="D1606" i="1"/>
  <c r="F1605" i="1"/>
  <c r="D1605" i="1"/>
  <c r="F1604" i="1"/>
  <c r="D1604" i="1"/>
  <c r="F1603" i="1"/>
  <c r="D1603" i="1"/>
  <c r="H1602" i="1" l="1"/>
  <c r="H1601" i="1"/>
  <c r="H1600" i="1"/>
  <c r="H1599" i="1"/>
  <c r="H1598" i="1"/>
  <c r="H1597" i="1"/>
  <c r="H1596" i="1"/>
  <c r="H1595" i="1"/>
  <c r="H1594" i="1"/>
  <c r="F1602" i="1"/>
  <c r="D1602" i="1"/>
  <c r="F1601" i="1"/>
  <c r="D1601" i="1"/>
  <c r="F1600" i="1"/>
  <c r="D1600" i="1"/>
  <c r="F1599" i="1"/>
  <c r="D1599" i="1"/>
  <c r="F1598" i="1"/>
  <c r="D1598" i="1"/>
  <c r="F1597" i="1"/>
  <c r="D1597" i="1"/>
  <c r="F1596" i="1"/>
  <c r="D1596" i="1"/>
  <c r="F1595" i="1"/>
  <c r="D1595" i="1"/>
  <c r="F1594" i="1"/>
  <c r="D1594" i="1"/>
  <c r="H1593" i="1" l="1"/>
  <c r="H1592" i="1"/>
  <c r="H1591" i="1"/>
  <c r="H1590" i="1"/>
  <c r="H1589" i="1"/>
  <c r="H1588" i="1"/>
  <c r="H1587" i="1"/>
  <c r="H1586" i="1"/>
  <c r="H1585" i="1"/>
  <c r="F1593" i="1"/>
  <c r="D1593" i="1"/>
  <c r="F1592" i="1"/>
  <c r="D1592" i="1"/>
  <c r="F1591" i="1"/>
  <c r="D1591" i="1"/>
  <c r="F1590" i="1"/>
  <c r="D1590" i="1"/>
  <c r="F1589" i="1"/>
  <c r="D1589" i="1"/>
  <c r="F1588" i="1"/>
  <c r="D1588" i="1"/>
  <c r="F1587" i="1"/>
  <c r="D1587" i="1"/>
  <c r="F1586" i="1"/>
  <c r="D1586" i="1"/>
  <c r="F1585" i="1"/>
  <c r="D1585" i="1"/>
  <c r="H1584" i="1" l="1"/>
  <c r="H1583" i="1"/>
  <c r="H1582" i="1"/>
  <c r="H1581" i="1"/>
  <c r="H1580" i="1"/>
  <c r="H1579" i="1"/>
  <c r="H1578" i="1"/>
  <c r="H1577" i="1"/>
  <c r="H1576" i="1"/>
  <c r="F1584" i="1"/>
  <c r="D1584" i="1"/>
  <c r="F1583" i="1"/>
  <c r="D1583" i="1"/>
  <c r="F1582" i="1"/>
  <c r="D1582" i="1"/>
  <c r="F1581" i="1"/>
  <c r="D1581" i="1"/>
  <c r="F1580" i="1"/>
  <c r="D1580" i="1"/>
  <c r="F1579" i="1"/>
  <c r="D1579" i="1"/>
  <c r="F1578" i="1"/>
  <c r="D1578" i="1"/>
  <c r="F1577" i="1"/>
  <c r="D1577" i="1"/>
  <c r="F1576" i="1"/>
  <c r="D1576" i="1"/>
  <c r="H1575" i="1" l="1"/>
  <c r="H1574" i="1"/>
  <c r="H1573" i="1"/>
  <c r="H1572" i="1"/>
  <c r="H1571" i="1"/>
  <c r="H1570" i="1"/>
  <c r="H1569" i="1"/>
  <c r="H1568" i="1"/>
  <c r="H1567" i="1"/>
  <c r="F1575" i="1"/>
  <c r="D1575" i="1"/>
  <c r="F1574" i="1"/>
  <c r="D1574" i="1"/>
  <c r="F1573" i="1"/>
  <c r="D1573" i="1"/>
  <c r="F1572" i="1"/>
  <c r="D1572" i="1"/>
  <c r="F1571" i="1"/>
  <c r="D1571" i="1"/>
  <c r="F1570" i="1"/>
  <c r="D1570" i="1"/>
  <c r="F1569" i="1"/>
  <c r="D1569" i="1"/>
  <c r="F1568" i="1"/>
  <c r="D1568" i="1"/>
  <c r="F1567" i="1"/>
  <c r="D1567" i="1"/>
  <c r="H1566" i="1" l="1"/>
  <c r="H1565" i="1"/>
  <c r="H1564" i="1"/>
  <c r="H1563" i="1"/>
  <c r="H1562" i="1"/>
  <c r="H1561" i="1"/>
  <c r="H1560" i="1"/>
  <c r="H1559" i="1"/>
  <c r="H1558" i="1"/>
  <c r="H1557" i="1"/>
  <c r="H1556" i="1"/>
  <c r="F1566" i="1"/>
  <c r="D1566" i="1"/>
  <c r="F1565" i="1"/>
  <c r="D1565" i="1"/>
  <c r="F1564" i="1"/>
  <c r="D1564" i="1"/>
  <c r="F1563" i="1"/>
  <c r="D1563" i="1"/>
  <c r="F1562" i="1"/>
  <c r="D1562" i="1"/>
  <c r="F1561" i="1"/>
  <c r="D1561" i="1"/>
  <c r="F1560" i="1"/>
  <c r="D1560" i="1"/>
  <c r="F1559" i="1"/>
  <c r="D1559" i="1"/>
  <c r="F1558" i="1"/>
  <c r="D1558" i="1"/>
  <c r="F1557" i="1"/>
  <c r="D1557" i="1"/>
  <c r="F1556" i="1"/>
  <c r="D1556" i="1"/>
  <c r="H1555" i="1" l="1"/>
  <c r="F1555" i="1"/>
  <c r="D1555" i="1"/>
  <c r="H1554" i="1" l="1"/>
  <c r="H1553" i="1"/>
  <c r="H1552" i="1"/>
  <c r="H1551" i="1"/>
  <c r="H1550" i="1"/>
  <c r="H1549" i="1"/>
  <c r="H1548" i="1"/>
  <c r="H1547" i="1"/>
  <c r="H1546" i="1"/>
  <c r="F1554" i="1"/>
  <c r="D1554" i="1"/>
  <c r="F1553" i="1"/>
  <c r="D1553" i="1"/>
  <c r="F1552" i="1"/>
  <c r="D1552" i="1"/>
  <c r="F1551" i="1"/>
  <c r="D1551" i="1"/>
  <c r="F1550" i="1"/>
  <c r="D1550" i="1"/>
  <c r="F1549" i="1"/>
  <c r="D1549" i="1"/>
  <c r="F1548" i="1"/>
  <c r="D1548" i="1"/>
  <c r="F1547" i="1"/>
  <c r="D1547" i="1"/>
  <c r="F1546" i="1"/>
  <c r="D1546" i="1"/>
  <c r="H1545" i="1" l="1"/>
  <c r="H1544" i="1"/>
  <c r="H1543" i="1"/>
  <c r="H1542" i="1"/>
  <c r="H1541" i="1"/>
  <c r="H1540" i="1"/>
  <c r="H1539" i="1"/>
  <c r="H1538" i="1"/>
  <c r="H1537" i="1"/>
  <c r="H1536" i="1"/>
  <c r="F1545" i="1"/>
  <c r="D1545" i="1"/>
  <c r="F1544" i="1"/>
  <c r="D1544" i="1"/>
  <c r="F1543" i="1"/>
  <c r="D1543" i="1"/>
  <c r="F1542" i="1"/>
  <c r="D1542" i="1"/>
  <c r="F1541" i="1"/>
  <c r="D1541" i="1"/>
  <c r="F1540" i="1"/>
  <c r="D1540" i="1"/>
  <c r="F1539" i="1"/>
  <c r="D1539" i="1"/>
  <c r="F1538" i="1"/>
  <c r="D1538" i="1"/>
  <c r="F1537" i="1"/>
  <c r="D1537" i="1"/>
  <c r="F1536" i="1"/>
  <c r="D1536" i="1"/>
  <c r="H1535" i="1" l="1"/>
  <c r="H1534" i="1"/>
  <c r="H1533" i="1"/>
  <c r="H1532" i="1"/>
  <c r="H1531" i="1"/>
  <c r="H1530" i="1"/>
  <c r="H1529" i="1"/>
  <c r="H1528" i="1"/>
  <c r="H1527" i="1"/>
  <c r="H1526" i="1"/>
  <c r="F1535" i="1"/>
  <c r="D1535" i="1"/>
  <c r="F1534" i="1"/>
  <c r="D1534" i="1"/>
  <c r="F1533" i="1"/>
  <c r="D1533" i="1"/>
  <c r="F1532" i="1"/>
  <c r="D1532" i="1"/>
  <c r="F1531" i="1"/>
  <c r="D1531" i="1"/>
  <c r="F1530" i="1"/>
  <c r="D1530" i="1"/>
  <c r="F1529" i="1"/>
  <c r="D1529" i="1"/>
  <c r="F1528" i="1"/>
  <c r="D1528" i="1"/>
  <c r="F1527" i="1"/>
  <c r="D1527" i="1"/>
  <c r="F1526" i="1"/>
  <c r="D1526" i="1"/>
  <c r="H1525" i="1" l="1"/>
  <c r="H1524" i="1"/>
  <c r="H1523" i="1"/>
  <c r="H1522" i="1"/>
  <c r="H1521" i="1"/>
  <c r="H1520" i="1"/>
  <c r="H1519" i="1"/>
  <c r="H1518" i="1"/>
  <c r="H1517" i="1"/>
  <c r="F1525" i="1"/>
  <c r="D1525" i="1"/>
  <c r="F1524" i="1"/>
  <c r="D1524" i="1"/>
  <c r="F1523" i="1"/>
  <c r="D1523" i="1"/>
  <c r="F1522" i="1"/>
  <c r="D1522" i="1"/>
  <c r="F1521" i="1"/>
  <c r="D1521" i="1"/>
  <c r="F1520" i="1"/>
  <c r="D1520" i="1"/>
  <c r="F1519" i="1"/>
  <c r="D1519" i="1"/>
  <c r="F1518" i="1"/>
  <c r="D1518" i="1"/>
  <c r="F1517" i="1"/>
  <c r="D1517" i="1"/>
  <c r="H1516" i="1" l="1"/>
  <c r="F1516" i="1"/>
  <c r="D1516" i="1"/>
  <c r="H1515" i="1"/>
  <c r="F1515" i="1"/>
  <c r="D1515" i="1"/>
  <c r="H1514" i="1"/>
  <c r="F1514" i="1"/>
  <c r="D1514" i="1"/>
  <c r="H1513" i="1"/>
  <c r="F1513" i="1"/>
  <c r="D1513" i="1"/>
  <c r="H1512" i="1"/>
  <c r="F1512" i="1"/>
  <c r="D1512" i="1"/>
  <c r="H1511" i="1"/>
  <c r="F1511" i="1"/>
  <c r="D1511" i="1"/>
  <c r="H1510" i="1"/>
  <c r="F1510" i="1"/>
  <c r="D1510" i="1"/>
  <c r="H1509" i="1"/>
  <c r="F1509" i="1"/>
  <c r="D1509" i="1"/>
  <c r="H1508" i="1"/>
  <c r="F1508" i="1"/>
  <c r="D1508" i="1"/>
  <c r="F1507" i="1"/>
  <c r="F1506" i="1"/>
  <c r="F1505" i="1"/>
  <c r="F1504" i="1"/>
  <c r="F1503" i="1"/>
  <c r="F1502" i="1"/>
  <c r="F1501" i="1"/>
  <c r="F1500" i="1"/>
  <c r="D1507" i="1"/>
  <c r="D1506" i="1"/>
  <c r="D1505" i="1"/>
  <c r="D1504" i="1"/>
  <c r="D1503" i="1"/>
  <c r="D1502" i="1"/>
  <c r="D1501" i="1"/>
  <c r="D1500" i="1"/>
  <c r="H1499" i="1"/>
  <c r="F1499" i="1"/>
  <c r="D1499" i="1"/>
  <c r="H1498" i="1"/>
  <c r="F1498" i="1"/>
  <c r="D1498" i="1"/>
  <c r="H1497" i="1"/>
  <c r="F1497" i="1"/>
  <c r="D1497" i="1"/>
  <c r="H1496" i="1"/>
  <c r="F1496" i="1"/>
  <c r="D1496" i="1"/>
  <c r="H1495" i="1"/>
  <c r="F1495" i="1"/>
  <c r="D1495" i="1"/>
  <c r="H1494" i="1"/>
  <c r="F1494" i="1"/>
  <c r="D1494" i="1"/>
  <c r="H1493" i="1"/>
  <c r="F1493" i="1"/>
  <c r="D1493" i="1"/>
  <c r="H1492" i="1"/>
  <c r="F1492" i="1"/>
  <c r="D1492" i="1"/>
  <c r="H1491" i="1"/>
  <c r="F1491" i="1"/>
  <c r="D1491" i="1"/>
  <c r="H1490" i="1" l="1"/>
  <c r="H1489" i="1"/>
  <c r="H1488" i="1"/>
  <c r="H1487" i="1"/>
  <c r="H1486" i="1"/>
  <c r="H1485" i="1"/>
  <c r="H1484" i="1"/>
  <c r="H1483" i="1"/>
  <c r="H1482" i="1"/>
  <c r="F1490" i="1"/>
  <c r="D1490" i="1"/>
  <c r="F1489" i="1"/>
  <c r="D1489" i="1"/>
  <c r="F1488" i="1"/>
  <c r="D1488" i="1"/>
  <c r="F1487" i="1"/>
  <c r="D1487" i="1"/>
  <c r="F1486" i="1"/>
  <c r="D1486" i="1"/>
  <c r="F1485" i="1"/>
  <c r="D1485" i="1"/>
  <c r="F1484" i="1"/>
  <c r="D1484" i="1"/>
  <c r="F1483" i="1"/>
  <c r="D1483" i="1"/>
  <c r="F1482" i="1"/>
  <c r="D1482" i="1"/>
  <c r="H1481" i="1"/>
  <c r="H1480" i="1"/>
  <c r="H1479" i="1"/>
  <c r="H1478" i="1"/>
  <c r="H1477" i="1"/>
  <c r="H1476" i="1"/>
  <c r="H1475" i="1"/>
  <c r="H1474" i="1"/>
  <c r="H1473" i="1"/>
  <c r="F1481" i="1"/>
  <c r="D1481" i="1"/>
  <c r="F1480" i="1"/>
  <c r="D1480" i="1"/>
  <c r="F1479" i="1"/>
  <c r="D1479" i="1"/>
  <c r="F1478" i="1"/>
  <c r="D1478" i="1"/>
  <c r="F1477" i="1"/>
  <c r="D1477" i="1"/>
  <c r="F1476" i="1"/>
  <c r="D1476" i="1"/>
  <c r="F1475" i="1"/>
  <c r="D1475" i="1"/>
  <c r="F1474" i="1"/>
  <c r="D1474" i="1"/>
  <c r="F1473" i="1"/>
  <c r="D1473" i="1"/>
  <c r="H1472" i="1"/>
  <c r="H1471" i="1"/>
  <c r="H1470" i="1"/>
  <c r="H1469" i="1"/>
  <c r="H1468" i="1"/>
  <c r="H1467" i="1"/>
  <c r="H1466" i="1"/>
  <c r="H1465" i="1"/>
  <c r="H1464" i="1"/>
  <c r="F1472" i="1"/>
  <c r="D1472" i="1"/>
  <c r="F1471" i="1"/>
  <c r="D1471" i="1"/>
  <c r="F1470" i="1"/>
  <c r="D1470" i="1"/>
  <c r="F1469" i="1"/>
  <c r="D1469" i="1"/>
  <c r="F1468" i="1"/>
  <c r="D1468" i="1"/>
  <c r="F1467" i="1"/>
  <c r="D1467" i="1"/>
  <c r="F1466" i="1"/>
  <c r="D1466" i="1"/>
  <c r="F1465" i="1"/>
  <c r="D1465" i="1"/>
  <c r="F1464" i="1"/>
  <c r="D1464" i="1"/>
  <c r="H1463" i="1" l="1"/>
  <c r="H1462" i="1"/>
  <c r="H1461" i="1"/>
  <c r="H1460" i="1"/>
  <c r="H1459" i="1"/>
  <c r="H1458" i="1"/>
  <c r="H1457" i="1"/>
  <c r="H1456" i="1"/>
  <c r="H1455" i="1"/>
  <c r="F1463" i="1"/>
  <c r="D1463" i="1"/>
  <c r="F1462" i="1"/>
  <c r="D1462" i="1"/>
  <c r="F1461" i="1"/>
  <c r="D1461" i="1"/>
  <c r="F1460" i="1"/>
  <c r="D1460" i="1"/>
  <c r="F1459" i="1"/>
  <c r="D1459" i="1"/>
  <c r="F1458" i="1"/>
  <c r="D1458" i="1"/>
  <c r="F1457" i="1"/>
  <c r="D1457" i="1"/>
  <c r="F1456" i="1"/>
  <c r="D1456" i="1"/>
  <c r="F1455" i="1"/>
  <c r="D1455" i="1"/>
  <c r="H1454" i="1" l="1"/>
  <c r="H1453" i="1"/>
  <c r="H1452" i="1"/>
  <c r="H1451" i="1"/>
  <c r="H1450" i="1"/>
  <c r="H1449" i="1"/>
  <c r="H1448" i="1"/>
  <c r="H1447" i="1"/>
  <c r="H1446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F1454" i="1"/>
  <c r="F1453" i="1"/>
  <c r="F1452" i="1"/>
  <c r="F1451" i="1"/>
  <c r="F1450" i="1"/>
  <c r="F1449" i="1"/>
  <c r="F1448" i="1"/>
  <c r="F1447" i="1"/>
  <c r="F1446" i="1"/>
  <c r="H1444" i="1" l="1"/>
  <c r="H1439" i="1"/>
  <c r="H1438" i="1"/>
  <c r="H1443" i="1"/>
  <c r="H1442" i="1"/>
  <c r="H1441" i="1"/>
  <c r="F1441" i="1"/>
  <c r="H1440" i="1"/>
  <c r="F1440" i="1"/>
  <c r="H1437" i="1"/>
  <c r="H1445" i="1"/>
  <c r="F1445" i="1"/>
  <c r="F1444" i="1"/>
  <c r="F1443" i="1"/>
  <c r="F1442" i="1"/>
  <c r="F1439" i="1"/>
  <c r="F1438" i="1"/>
  <c r="F1437" i="1"/>
  <c r="H1436" i="1" l="1"/>
  <c r="H1435" i="1"/>
  <c r="H1434" i="1"/>
  <c r="H1433" i="1"/>
  <c r="H1432" i="1"/>
  <c r="H1431" i="1"/>
  <c r="F1436" i="1"/>
  <c r="F1435" i="1"/>
  <c r="F1434" i="1"/>
  <c r="F1433" i="1"/>
  <c r="F1432" i="1"/>
  <c r="F1431" i="1"/>
  <c r="H1430" i="1" l="1"/>
  <c r="H1429" i="1"/>
  <c r="H1428" i="1"/>
  <c r="H1427" i="1"/>
  <c r="H1426" i="1"/>
  <c r="H1425" i="1"/>
  <c r="H1424" i="1"/>
  <c r="H1423" i="1"/>
  <c r="H1422" i="1"/>
  <c r="F1430" i="1"/>
  <c r="F1429" i="1"/>
  <c r="F1428" i="1"/>
  <c r="F1427" i="1"/>
  <c r="F1426" i="1"/>
  <c r="F1425" i="1"/>
  <c r="F1424" i="1"/>
  <c r="F1423" i="1"/>
  <c r="F1422" i="1"/>
  <c r="H1421" i="1" l="1"/>
  <c r="H1420" i="1"/>
  <c r="H1419" i="1"/>
  <c r="H1418" i="1"/>
  <c r="H1417" i="1"/>
  <c r="H1416" i="1"/>
  <c r="H1415" i="1"/>
  <c r="H1414" i="1"/>
  <c r="H1413" i="1"/>
  <c r="H1412" i="1"/>
  <c r="F1421" i="1"/>
  <c r="F1420" i="1"/>
  <c r="F1419" i="1"/>
  <c r="F1418" i="1"/>
  <c r="F1417" i="1"/>
  <c r="F1416" i="1"/>
  <c r="F1415" i="1"/>
  <c r="F1414" i="1"/>
  <c r="F1413" i="1"/>
  <c r="F1412" i="1"/>
  <c r="H1411" i="1" l="1"/>
  <c r="H1410" i="1"/>
  <c r="H1409" i="1"/>
  <c r="H1408" i="1"/>
  <c r="H1407" i="1"/>
  <c r="H1406" i="1"/>
  <c r="H1405" i="1"/>
  <c r="H1404" i="1"/>
  <c r="H1403" i="1"/>
  <c r="F1411" i="1"/>
  <c r="F1410" i="1"/>
  <c r="F1409" i="1"/>
  <c r="F1408" i="1"/>
  <c r="F1407" i="1"/>
  <c r="F1406" i="1"/>
  <c r="F1405" i="1"/>
  <c r="F1404" i="1"/>
  <c r="F1403" i="1"/>
  <c r="H1402" i="1" l="1"/>
  <c r="H1401" i="1"/>
  <c r="H1400" i="1"/>
  <c r="H1399" i="1"/>
  <c r="H1398" i="1"/>
  <c r="H1397" i="1"/>
  <c r="H1396" i="1"/>
  <c r="H1395" i="1"/>
  <c r="H1394" i="1"/>
  <c r="H1393" i="1"/>
  <c r="F1402" i="1"/>
  <c r="F1401" i="1"/>
  <c r="F1400" i="1"/>
  <c r="F1399" i="1"/>
  <c r="F1398" i="1"/>
  <c r="F1397" i="1"/>
  <c r="F1396" i="1"/>
  <c r="F1395" i="1"/>
  <c r="F1394" i="1"/>
  <c r="F1393" i="1"/>
  <c r="H1392" i="1" l="1"/>
  <c r="H1391" i="1"/>
  <c r="H1390" i="1"/>
  <c r="H1389" i="1"/>
  <c r="H1388" i="1"/>
  <c r="H1387" i="1"/>
  <c r="H1386" i="1"/>
  <c r="H1385" i="1"/>
  <c r="H1384" i="1"/>
  <c r="F1392" i="1"/>
  <c r="F1391" i="1"/>
  <c r="F1390" i="1"/>
  <c r="F1389" i="1"/>
  <c r="F1388" i="1"/>
  <c r="F1387" i="1"/>
  <c r="F1386" i="1"/>
  <c r="F1385" i="1"/>
  <c r="F1384" i="1"/>
  <c r="H1383" i="1" l="1"/>
  <c r="H1382" i="1"/>
  <c r="H1381" i="1"/>
  <c r="H1380" i="1"/>
  <c r="H1379" i="1"/>
  <c r="H1378" i="1"/>
  <c r="H1377" i="1"/>
  <c r="H1376" i="1"/>
  <c r="H1375" i="1"/>
  <c r="F1383" i="1"/>
  <c r="F1382" i="1"/>
  <c r="F1381" i="1"/>
  <c r="F1380" i="1"/>
  <c r="F1379" i="1"/>
  <c r="F1378" i="1"/>
  <c r="F1377" i="1"/>
  <c r="F1376" i="1"/>
  <c r="F1375" i="1"/>
  <c r="H1374" i="1" l="1"/>
  <c r="F1374" i="1"/>
  <c r="H1373" i="1"/>
  <c r="F1373" i="1"/>
  <c r="H1372" i="1"/>
  <c r="F1372" i="1"/>
  <c r="H1371" i="1"/>
  <c r="F1371" i="1"/>
  <c r="H1370" i="1"/>
  <c r="F1370" i="1"/>
  <c r="H1369" i="1"/>
  <c r="F1369" i="1"/>
  <c r="H1368" i="1"/>
  <c r="F1368" i="1"/>
  <c r="H1367" i="1"/>
  <c r="F1367" i="1"/>
  <c r="H1366" i="1"/>
  <c r="F1366" i="1"/>
  <c r="H1365" i="1" l="1"/>
  <c r="H1364" i="1"/>
  <c r="H1363" i="1"/>
  <c r="H1362" i="1"/>
  <c r="H1361" i="1"/>
  <c r="F1365" i="1"/>
  <c r="F1364" i="1"/>
  <c r="F1363" i="1"/>
  <c r="F1362" i="1"/>
  <c r="F1361" i="1"/>
  <c r="H1360" i="1" l="1"/>
  <c r="H1359" i="1"/>
  <c r="H1358" i="1"/>
  <c r="H1357" i="1"/>
  <c r="H1356" i="1"/>
  <c r="F1360" i="1"/>
  <c r="F1359" i="1"/>
  <c r="F1358" i="1"/>
  <c r="F1357" i="1"/>
  <c r="F1356" i="1"/>
  <c r="F1355" i="1"/>
  <c r="F1354" i="1"/>
  <c r="F1353" i="1"/>
  <c r="F1352" i="1"/>
  <c r="F1351" i="1"/>
  <c r="H1355" i="1"/>
  <c r="H1354" i="1"/>
  <c r="H1353" i="1"/>
  <c r="H1352" i="1"/>
  <c r="H1351" i="1"/>
  <c r="H1350" i="1"/>
  <c r="H1349" i="1"/>
  <c r="H1348" i="1"/>
  <c r="H1347" i="1"/>
  <c r="H1346" i="1"/>
  <c r="F1350" i="1"/>
  <c r="D1350" i="1"/>
  <c r="F1349" i="1"/>
  <c r="D1349" i="1"/>
  <c r="F1348" i="1"/>
  <c r="D1348" i="1"/>
  <c r="F1347" i="1"/>
  <c r="D1347" i="1"/>
  <c r="F1346" i="1"/>
  <c r="D1346" i="1"/>
  <c r="H1345" i="1" l="1"/>
  <c r="H1344" i="1"/>
  <c r="H1343" i="1"/>
  <c r="H1342" i="1"/>
  <c r="H1341" i="1"/>
  <c r="H1340" i="1"/>
  <c r="H1338" i="1"/>
  <c r="H1337" i="1"/>
  <c r="F1345" i="1"/>
  <c r="D1345" i="1"/>
  <c r="F1344" i="1"/>
  <c r="D1344" i="1"/>
  <c r="F1343" i="1"/>
  <c r="D1343" i="1"/>
  <c r="F1342" i="1"/>
  <c r="D1342" i="1"/>
  <c r="F1341" i="1"/>
  <c r="D1341" i="1"/>
  <c r="F1340" i="1"/>
  <c r="D1340" i="1"/>
  <c r="H1339" i="1"/>
  <c r="F1339" i="1"/>
  <c r="D1339" i="1"/>
  <c r="F1338" i="1"/>
  <c r="D1338" i="1"/>
  <c r="F1337" i="1"/>
  <c r="D1337" i="1"/>
  <c r="H1336" i="1" l="1"/>
  <c r="H1335" i="1"/>
  <c r="H1334" i="1"/>
  <c r="H1333" i="1"/>
  <c r="H1332" i="1"/>
  <c r="F1336" i="1"/>
  <c r="D1336" i="1"/>
  <c r="F1335" i="1"/>
  <c r="D1335" i="1"/>
  <c r="F1334" i="1"/>
  <c r="D1334" i="1"/>
  <c r="F1333" i="1"/>
  <c r="D1333" i="1"/>
  <c r="F1332" i="1"/>
  <c r="D1332" i="1"/>
  <c r="H1331" i="1" l="1"/>
  <c r="H1330" i="1"/>
  <c r="H1329" i="1"/>
  <c r="H1328" i="1"/>
  <c r="H1327" i="1"/>
  <c r="H1326" i="1"/>
  <c r="H1325" i="1"/>
  <c r="H1324" i="1"/>
  <c r="H1323" i="1"/>
  <c r="F1331" i="1"/>
  <c r="D1331" i="1"/>
  <c r="F1330" i="1"/>
  <c r="D1330" i="1"/>
  <c r="F1329" i="1"/>
  <c r="D1329" i="1"/>
  <c r="F1328" i="1"/>
  <c r="D1328" i="1"/>
  <c r="F1327" i="1"/>
  <c r="D1327" i="1"/>
  <c r="F1326" i="1"/>
  <c r="D1326" i="1"/>
  <c r="F1325" i="1"/>
  <c r="D1325" i="1"/>
  <c r="F1324" i="1"/>
  <c r="D1324" i="1"/>
  <c r="F1323" i="1"/>
  <c r="D1323" i="1"/>
  <c r="H1322" i="1" l="1"/>
  <c r="H1321" i="1"/>
  <c r="H1320" i="1"/>
  <c r="H1319" i="1"/>
  <c r="H1318" i="1"/>
  <c r="H1317" i="1"/>
  <c r="H1315" i="1"/>
  <c r="H1316" i="1"/>
  <c r="F1322" i="1"/>
  <c r="D1322" i="1"/>
  <c r="F1321" i="1"/>
  <c r="D1321" i="1"/>
  <c r="F1320" i="1"/>
  <c r="D1320" i="1"/>
  <c r="F1319" i="1"/>
  <c r="D1319" i="1"/>
  <c r="F1318" i="1"/>
  <c r="D1318" i="1"/>
  <c r="F1317" i="1"/>
  <c r="D1317" i="1"/>
  <c r="F1316" i="1"/>
  <c r="D1316" i="1"/>
  <c r="F1315" i="1"/>
  <c r="D1315" i="1"/>
  <c r="H1314" i="1"/>
  <c r="F1314" i="1"/>
  <c r="D1314" i="1"/>
  <c r="H1313" i="1" l="1"/>
  <c r="F1313" i="1"/>
  <c r="D1313" i="1"/>
  <c r="H1312" i="1"/>
  <c r="F1312" i="1"/>
  <c r="D1312" i="1"/>
  <c r="H1311" i="1"/>
  <c r="F1311" i="1"/>
  <c r="D1311" i="1"/>
  <c r="H1310" i="1"/>
  <c r="F1310" i="1"/>
  <c r="D1310" i="1"/>
  <c r="H1309" i="1"/>
  <c r="F1309" i="1"/>
  <c r="D1309" i="1"/>
  <c r="H1308" i="1"/>
  <c r="F1308" i="1"/>
  <c r="D1308" i="1"/>
  <c r="H1307" i="1"/>
  <c r="F1307" i="1"/>
  <c r="D1307" i="1"/>
  <c r="H1306" i="1"/>
  <c r="F1306" i="1"/>
  <c r="D1306" i="1"/>
  <c r="H1305" i="1"/>
  <c r="F1305" i="1"/>
  <c r="D1305" i="1"/>
  <c r="H1304" i="1" l="1"/>
  <c r="H1303" i="1"/>
  <c r="H1302" i="1"/>
  <c r="H1301" i="1"/>
  <c r="H1300" i="1"/>
  <c r="H1299" i="1"/>
  <c r="H1298" i="1"/>
  <c r="H1297" i="1"/>
  <c r="H1296" i="1"/>
  <c r="F1304" i="1"/>
  <c r="D1304" i="1"/>
  <c r="F1303" i="1"/>
  <c r="D1303" i="1"/>
  <c r="F1302" i="1"/>
  <c r="D1302" i="1"/>
  <c r="F1301" i="1"/>
  <c r="D1301" i="1"/>
  <c r="F1300" i="1"/>
  <c r="D1300" i="1"/>
  <c r="F1299" i="1"/>
  <c r="D1299" i="1"/>
  <c r="F1298" i="1"/>
  <c r="D1298" i="1"/>
  <c r="F1297" i="1"/>
  <c r="D1297" i="1"/>
  <c r="F1296" i="1"/>
  <c r="D1296" i="1"/>
  <c r="H173" i="1" l="1"/>
  <c r="F173" i="1"/>
  <c r="D173" i="1"/>
  <c r="H1258" i="1"/>
  <c r="F1258" i="1"/>
  <c r="D1258" i="1"/>
  <c r="H1279" i="1"/>
  <c r="F1279" i="1"/>
  <c r="D1279" i="1"/>
  <c r="H1271" i="1"/>
  <c r="F1271" i="1"/>
  <c r="D1271" i="1"/>
  <c r="H1088" i="1"/>
  <c r="F1088" i="1"/>
  <c r="D1088" i="1"/>
  <c r="H308" i="1" l="1"/>
  <c r="H183" i="1"/>
  <c r="H1128" i="1"/>
  <c r="H248" i="1"/>
  <c r="H641" i="1"/>
  <c r="H834" i="1"/>
  <c r="H1042" i="1"/>
  <c r="H542" i="1"/>
  <c r="H767" i="1"/>
  <c r="H128" i="1"/>
  <c r="H1127" i="1"/>
  <c r="H1247" i="1"/>
  <c r="H1202" i="1"/>
  <c r="H826" i="1"/>
  <c r="F308" i="1"/>
  <c r="D308" i="1"/>
  <c r="F183" i="1"/>
  <c r="D183" i="1"/>
  <c r="F1128" i="1"/>
  <c r="D1128" i="1"/>
  <c r="F248" i="1"/>
  <c r="D248" i="1"/>
  <c r="F641" i="1"/>
  <c r="D641" i="1"/>
  <c r="F834" i="1"/>
  <c r="D834" i="1"/>
  <c r="F1042" i="1"/>
  <c r="D1042" i="1"/>
  <c r="F542" i="1"/>
  <c r="D542" i="1"/>
  <c r="F767" i="1"/>
  <c r="D767" i="1"/>
  <c r="F128" i="1"/>
  <c r="D128" i="1"/>
  <c r="F1127" i="1"/>
  <c r="D1127" i="1"/>
  <c r="F1247" i="1"/>
  <c r="D1247" i="1"/>
  <c r="F1202" i="1"/>
  <c r="D1202" i="1"/>
  <c r="F826" i="1"/>
  <c r="D826" i="1"/>
  <c r="H1114" i="1" l="1"/>
  <c r="F1114" i="1"/>
  <c r="D1114" i="1"/>
  <c r="H414" i="1"/>
  <c r="F414" i="1"/>
  <c r="D414" i="1"/>
  <c r="H15" i="1"/>
  <c r="F15" i="1"/>
  <c r="D15" i="1"/>
  <c r="H375" i="1"/>
  <c r="F375" i="1"/>
  <c r="D375" i="1"/>
  <c r="H123" i="1"/>
  <c r="F123" i="1"/>
  <c r="D123" i="1"/>
  <c r="H222" i="1"/>
  <c r="F222" i="1"/>
  <c r="D222" i="1"/>
  <c r="H178" i="1"/>
  <c r="F178" i="1"/>
  <c r="D178" i="1"/>
  <c r="H317" i="1"/>
  <c r="F317" i="1"/>
  <c r="D317" i="1"/>
  <c r="H88" i="1"/>
  <c r="F88" i="1"/>
  <c r="D88" i="1"/>
  <c r="H589" i="1"/>
  <c r="F589" i="1"/>
  <c r="D589" i="1"/>
  <c r="H62" i="1"/>
  <c r="F62" i="1"/>
  <c r="D62" i="1"/>
  <c r="H146" i="1"/>
  <c r="F146" i="1"/>
  <c r="D146" i="1"/>
  <c r="H48" i="1"/>
  <c r="F48" i="1"/>
  <c r="D48" i="1"/>
  <c r="H80" i="1"/>
  <c r="F80" i="1"/>
  <c r="D80" i="1"/>
  <c r="H172" i="1"/>
  <c r="F172" i="1"/>
  <c r="D172" i="1"/>
  <c r="H39" i="1"/>
  <c r="F39" i="1"/>
  <c r="D39" i="1"/>
  <c r="H182" i="1"/>
  <c r="F182" i="1"/>
  <c r="D182" i="1"/>
  <c r="H229" i="1"/>
  <c r="F229" i="1"/>
  <c r="D229" i="1"/>
  <c r="H100" i="1"/>
  <c r="F100" i="1"/>
  <c r="D100" i="1"/>
  <c r="H22" i="1"/>
  <c r="H841" i="1"/>
  <c r="H1016" i="1"/>
  <c r="H946" i="1"/>
  <c r="H409" i="1"/>
  <c r="H19" i="1"/>
  <c r="H810" i="1"/>
  <c r="H1033" i="1"/>
  <c r="H927" i="1"/>
  <c r="H360" i="1"/>
  <c r="F22" i="1"/>
  <c r="D22" i="1"/>
  <c r="F841" i="1"/>
  <c r="D841" i="1"/>
  <c r="F1016" i="1"/>
  <c r="D1016" i="1"/>
  <c r="F946" i="1"/>
  <c r="D946" i="1"/>
  <c r="F409" i="1"/>
  <c r="D409" i="1"/>
  <c r="F19" i="1"/>
  <c r="D19" i="1"/>
  <c r="F810" i="1"/>
  <c r="D810" i="1"/>
  <c r="F1033" i="1"/>
  <c r="D1033" i="1"/>
  <c r="F927" i="1"/>
  <c r="D927" i="1"/>
  <c r="F360" i="1"/>
  <c r="D360" i="1"/>
  <c r="H1032" i="1" l="1"/>
  <c r="F1032" i="1"/>
  <c r="D1032" i="1"/>
  <c r="H1062" i="1"/>
  <c r="F1062" i="1"/>
  <c r="D1062" i="1"/>
  <c r="H1105" i="1"/>
  <c r="F1105" i="1"/>
  <c r="D1105" i="1"/>
  <c r="H1262" i="1"/>
  <c r="F1262" i="1"/>
  <c r="D1262" i="1"/>
  <c r="H640" i="1"/>
  <c r="F640" i="1"/>
  <c r="D640" i="1"/>
  <c r="H1097" i="1"/>
  <c r="F1097" i="1"/>
  <c r="D1097" i="1"/>
  <c r="H809" i="1"/>
  <c r="F809" i="1"/>
  <c r="D809" i="1"/>
  <c r="H955" i="1"/>
  <c r="F955" i="1"/>
  <c r="D955" i="1"/>
  <c r="H527" i="1"/>
  <c r="F527" i="1"/>
  <c r="D527" i="1"/>
  <c r="H506" i="1"/>
  <c r="F506" i="1"/>
  <c r="D506" i="1"/>
  <c r="H450" i="1" l="1"/>
  <c r="H906" i="1"/>
  <c r="H808" i="1"/>
  <c r="H899" i="1"/>
  <c r="H840" i="1"/>
  <c r="H464" i="1"/>
  <c r="H193" i="1"/>
  <c r="H807" i="1"/>
  <c r="H739" i="1"/>
  <c r="H747" i="1"/>
  <c r="F450" i="1"/>
  <c r="D450" i="1"/>
  <c r="F906" i="1"/>
  <c r="D906" i="1"/>
  <c r="F808" i="1"/>
  <c r="D808" i="1"/>
  <c r="F899" i="1"/>
  <c r="D899" i="1"/>
  <c r="F840" i="1"/>
  <c r="D840" i="1"/>
  <c r="F464" i="1"/>
  <c r="D464" i="1"/>
  <c r="F193" i="1"/>
  <c r="D193" i="1"/>
  <c r="F807" i="1"/>
  <c r="D807" i="1"/>
  <c r="F739" i="1"/>
  <c r="D739" i="1"/>
  <c r="F747" i="1"/>
  <c r="D747" i="1"/>
  <c r="H97" i="1" l="1"/>
  <c r="H1166" i="1"/>
  <c r="H1182" i="1"/>
  <c r="H1174" i="1"/>
  <c r="H905" i="1"/>
  <c r="H413" i="1"/>
  <c r="H819" i="1"/>
  <c r="H292" i="1"/>
  <c r="H588" i="1"/>
  <c r="H697" i="1"/>
  <c r="F97" i="1"/>
  <c r="D97" i="1"/>
  <c r="F1166" i="1"/>
  <c r="D1166" i="1"/>
  <c r="F1182" i="1"/>
  <c r="D1182" i="1"/>
  <c r="F1174" i="1"/>
  <c r="D1174" i="1"/>
  <c r="F905" i="1"/>
  <c r="D905" i="1"/>
  <c r="F413" i="1"/>
  <c r="D413" i="1"/>
  <c r="F819" i="1"/>
  <c r="D819" i="1"/>
  <c r="F292" i="1"/>
  <c r="D292" i="1"/>
  <c r="F588" i="1"/>
  <c r="D588" i="1"/>
  <c r="F697" i="1"/>
  <c r="D697" i="1"/>
  <c r="H1050" i="1" l="1"/>
  <c r="H833" i="1"/>
  <c r="H425" i="1"/>
  <c r="H389" i="1"/>
  <c r="H785" i="1"/>
  <c r="H1087" i="1"/>
  <c r="H784" i="1"/>
  <c r="F1050" i="1"/>
  <c r="D1050" i="1"/>
  <c r="F833" i="1"/>
  <c r="D833" i="1"/>
  <c r="F425" i="1"/>
  <c r="D425" i="1"/>
  <c r="F389" i="1"/>
  <c r="D389" i="1"/>
  <c r="F785" i="1"/>
  <c r="D785" i="1"/>
  <c r="F1087" i="1"/>
  <c r="D1087" i="1"/>
  <c r="F784" i="1"/>
  <c r="D784" i="1"/>
  <c r="H145" i="1"/>
  <c r="H1137" i="1"/>
  <c r="H1201" i="1"/>
  <c r="H1173" i="1"/>
  <c r="H920" i="1"/>
  <c r="F145" i="1"/>
  <c r="D145" i="1"/>
  <c r="F1137" i="1"/>
  <c r="D1137" i="1"/>
  <c r="F1201" i="1"/>
  <c r="D1201" i="1"/>
  <c r="F1173" i="1"/>
  <c r="D1173" i="1"/>
  <c r="F920" i="1"/>
  <c r="D920" i="1"/>
  <c r="H921" i="1"/>
  <c r="H171" i="1"/>
  <c r="H738" i="1"/>
  <c r="H349" i="1"/>
  <c r="H639" i="1"/>
  <c r="F921" i="1"/>
  <c r="D921" i="1"/>
  <c r="F171" i="1"/>
  <c r="D171" i="1"/>
  <c r="F738" i="1"/>
  <c r="D738" i="1"/>
  <c r="F349" i="1"/>
  <c r="D349" i="1"/>
  <c r="F639" i="1"/>
  <c r="D639" i="1"/>
  <c r="H505" i="1" l="1"/>
  <c r="H981" i="1"/>
  <c r="H181" i="1"/>
  <c r="H818" i="1"/>
  <c r="H273" i="1"/>
  <c r="H587" i="1"/>
  <c r="H121" i="1"/>
  <c r="H667" i="1"/>
  <c r="H572" i="1"/>
  <c r="F505" i="1"/>
  <c r="D505" i="1"/>
  <c r="F981" i="1"/>
  <c r="D981" i="1"/>
  <c r="F181" i="1"/>
  <c r="D181" i="1"/>
  <c r="F818" i="1"/>
  <c r="D818" i="1"/>
  <c r="F273" i="1"/>
  <c r="D273" i="1"/>
  <c r="F587" i="1"/>
  <c r="D587" i="1"/>
  <c r="F121" i="1"/>
  <c r="D121" i="1"/>
  <c r="F667" i="1"/>
  <c r="D667" i="1"/>
  <c r="F572" i="1"/>
  <c r="D572" i="1"/>
  <c r="H1086" i="1" l="1"/>
  <c r="H170" i="1"/>
  <c r="H79" i="1"/>
  <c r="H489" i="1"/>
  <c r="H66" i="1"/>
  <c r="H36" i="1"/>
  <c r="H723" i="1"/>
  <c r="H272" i="1"/>
  <c r="H209" i="1"/>
  <c r="F1086" i="1"/>
  <c r="D1086" i="1"/>
  <c r="F170" i="1"/>
  <c r="D170" i="1"/>
  <c r="F79" i="1"/>
  <c r="D79" i="1"/>
  <c r="F489" i="1"/>
  <c r="D489" i="1"/>
  <c r="F66" i="1"/>
  <c r="D66" i="1"/>
  <c r="F36" i="1"/>
  <c r="D36" i="1"/>
  <c r="F723" i="1"/>
  <c r="D723" i="1"/>
  <c r="F272" i="1"/>
  <c r="D272" i="1"/>
  <c r="F209" i="1"/>
  <c r="D209" i="1"/>
  <c r="H33" i="1" l="1"/>
  <c r="H120" i="1"/>
  <c r="H369" i="1"/>
  <c r="H285" i="1"/>
  <c r="H228" i="1"/>
  <c r="H104" i="1"/>
  <c r="H479" i="1"/>
  <c r="H566" i="1"/>
  <c r="H169" i="1"/>
  <c r="H263" i="1"/>
  <c r="F33" i="1"/>
  <c r="D33" i="1"/>
  <c r="F120" i="1"/>
  <c r="D120" i="1"/>
  <c r="F369" i="1"/>
  <c r="D369" i="1"/>
  <c r="F285" i="1"/>
  <c r="D285" i="1"/>
  <c r="F228" i="1"/>
  <c r="D228" i="1"/>
  <c r="F104" i="1"/>
  <c r="D104" i="1"/>
  <c r="F479" i="1"/>
  <c r="D479" i="1"/>
  <c r="F566" i="1"/>
  <c r="D566" i="1"/>
  <c r="F169" i="1"/>
  <c r="D169" i="1"/>
  <c r="F263" i="1"/>
  <c r="D263" i="1"/>
  <c r="H130" i="1" l="1"/>
  <c r="H32" i="1"/>
  <c r="H119" i="1"/>
  <c r="H283" i="1"/>
  <c r="H284" i="1"/>
  <c r="H148" i="1"/>
  <c r="H449" i="1"/>
  <c r="H271" i="1"/>
  <c r="H240" i="1"/>
  <c r="F130" i="1"/>
  <c r="D130" i="1"/>
  <c r="F32" i="1"/>
  <c r="D32" i="1"/>
  <c r="F119" i="1"/>
  <c r="D119" i="1"/>
  <c r="F283" i="1"/>
  <c r="D283" i="1"/>
  <c r="F284" i="1"/>
  <c r="D284" i="1"/>
  <c r="F148" i="1"/>
  <c r="D148" i="1"/>
  <c r="F449" i="1"/>
  <c r="D449" i="1"/>
  <c r="F271" i="1"/>
  <c r="D271" i="1"/>
  <c r="F240" i="1"/>
  <c r="D240" i="1"/>
  <c r="H44" i="1" l="1"/>
  <c r="H583" i="1"/>
  <c r="H1237" i="1"/>
  <c r="H1071" i="1"/>
  <c r="H478" i="1"/>
  <c r="H208" i="1"/>
  <c r="H192" i="1"/>
  <c r="H50" i="1"/>
  <c r="H496" i="1"/>
  <c r="H227" i="1"/>
  <c r="F44" i="1"/>
  <c r="D44" i="1"/>
  <c r="F583" i="1"/>
  <c r="D583" i="1"/>
  <c r="F1237" i="1"/>
  <c r="D1237" i="1"/>
  <c r="F1071" i="1"/>
  <c r="D1071" i="1"/>
  <c r="F478" i="1"/>
  <c r="D478" i="1"/>
  <c r="F208" i="1"/>
  <c r="D208" i="1"/>
  <c r="F192" i="1"/>
  <c r="D192" i="1"/>
  <c r="F50" i="1"/>
  <c r="D50" i="1"/>
  <c r="F496" i="1"/>
  <c r="D496" i="1"/>
  <c r="F227" i="1"/>
  <c r="D227" i="1"/>
  <c r="H722" i="1" l="1"/>
  <c r="H1110" i="1"/>
  <c r="H1058" i="1"/>
  <c r="H1283" i="1"/>
  <c r="H721" i="1"/>
  <c r="F722" i="1"/>
  <c r="D722" i="1"/>
  <c r="F1110" i="1"/>
  <c r="D1110" i="1"/>
  <c r="F1058" i="1"/>
  <c r="D1058" i="1"/>
  <c r="F1283" i="1"/>
  <c r="D1283" i="1"/>
  <c r="F721" i="1"/>
  <c r="D721" i="1"/>
  <c r="H1236" i="1" l="1"/>
  <c r="F1236" i="1"/>
  <c r="D1236" i="1"/>
  <c r="H435" i="1"/>
  <c r="F435" i="1"/>
  <c r="D435" i="1"/>
  <c r="H766" i="1"/>
  <c r="F766" i="1"/>
  <c r="D766" i="1"/>
  <c r="H282" i="1"/>
  <c r="F282" i="1"/>
  <c r="D282" i="1"/>
  <c r="H709" i="1"/>
  <c r="F709" i="1"/>
  <c r="D709" i="1"/>
  <c r="H307" i="1"/>
  <c r="F307" i="1"/>
  <c r="D307" i="1"/>
  <c r="H141" i="1"/>
  <c r="F141" i="1"/>
  <c r="D141" i="1"/>
  <c r="H972" i="1"/>
  <c r="F972" i="1"/>
  <c r="D972" i="1"/>
  <c r="H885" i="1"/>
  <c r="F885" i="1"/>
  <c r="D885" i="1"/>
  <c r="H666" i="1"/>
  <c r="F666" i="1"/>
  <c r="D666" i="1"/>
  <c r="H168" i="1"/>
  <c r="F168" i="1"/>
  <c r="D168" i="1"/>
  <c r="H474" i="1"/>
  <c r="F474" i="1"/>
  <c r="D474" i="1"/>
  <c r="H553" i="1"/>
  <c r="F553" i="1"/>
  <c r="D553" i="1"/>
  <c r="H638" i="1"/>
  <c r="F638" i="1"/>
  <c r="D638" i="1"/>
  <c r="H631" i="1"/>
  <c r="F631" i="1"/>
  <c r="D631" i="1"/>
  <c r="H23" i="1" l="1"/>
  <c r="H40" i="1"/>
  <c r="H65" i="1"/>
  <c r="H207" i="1"/>
  <c r="H299" i="1"/>
  <c r="H59" i="1"/>
  <c r="H368" i="1"/>
  <c r="H211" i="1"/>
  <c r="H161" i="1"/>
  <c r="F23" i="1"/>
  <c r="D23" i="1"/>
  <c r="F40" i="1"/>
  <c r="D40" i="1"/>
  <c r="F65" i="1"/>
  <c r="D65" i="1"/>
  <c r="F207" i="1"/>
  <c r="D207" i="1"/>
  <c r="F299" i="1"/>
  <c r="D299" i="1"/>
  <c r="F59" i="1"/>
  <c r="D59" i="1"/>
  <c r="F368" i="1"/>
  <c r="D368" i="1"/>
  <c r="F211" i="1"/>
  <c r="D211" i="1"/>
  <c r="F161" i="1"/>
  <c r="D161" i="1"/>
  <c r="H17" i="1" l="1"/>
  <c r="F17" i="1"/>
  <c r="D17" i="1"/>
  <c r="H103" i="1" l="1"/>
  <c r="H155" i="1"/>
  <c r="H660" i="1"/>
  <c r="H874" i="1"/>
  <c r="H459" i="1"/>
  <c r="H680" i="1"/>
  <c r="H1157" i="1"/>
  <c r="H541" i="1"/>
  <c r="H737" i="1"/>
  <c r="F103" i="1"/>
  <c r="D103" i="1"/>
  <c r="F155" i="1"/>
  <c r="D155" i="1"/>
  <c r="F660" i="1"/>
  <c r="D660" i="1"/>
  <c r="F874" i="1"/>
  <c r="D874" i="1"/>
  <c r="F459" i="1"/>
  <c r="D459" i="1"/>
  <c r="F680" i="1"/>
  <c r="D680" i="1"/>
  <c r="F1157" i="1"/>
  <c r="D1157" i="1"/>
  <c r="F541" i="1"/>
  <c r="D541" i="1"/>
  <c r="F737" i="1"/>
  <c r="D737" i="1"/>
  <c r="H281" i="1" l="1"/>
  <c r="H1038" i="1"/>
  <c r="H424" i="1"/>
  <c r="H806" i="1"/>
  <c r="H1070" i="1"/>
  <c r="H1031" i="1"/>
  <c r="H303" i="1"/>
  <c r="H758" i="1"/>
  <c r="H805" i="1"/>
  <c r="F281" i="1"/>
  <c r="D281" i="1"/>
  <c r="F1038" i="1"/>
  <c r="D1038" i="1"/>
  <c r="F424" i="1"/>
  <c r="D424" i="1"/>
  <c r="F806" i="1"/>
  <c r="D806" i="1"/>
  <c r="F1070" i="1"/>
  <c r="D1070" i="1"/>
  <c r="F1031" i="1"/>
  <c r="D1031" i="1"/>
  <c r="F303" i="1"/>
  <c r="D303" i="1"/>
  <c r="F758" i="1"/>
  <c r="D758" i="1"/>
  <c r="F805" i="1"/>
  <c r="D805" i="1"/>
  <c r="H127" i="1" l="1"/>
  <c r="H604" i="1"/>
  <c r="F127" i="1"/>
  <c r="D127" i="1"/>
  <c r="F604" i="1"/>
  <c r="D604" i="1"/>
  <c r="H31" i="1"/>
  <c r="F31" i="1"/>
  <c r="D31" i="1"/>
  <c r="H43" i="1"/>
  <c r="F43" i="1"/>
  <c r="D43" i="1"/>
  <c r="H24" i="1"/>
  <c r="F24" i="1"/>
  <c r="D24" i="1"/>
  <c r="H87" i="1"/>
  <c r="F87" i="1"/>
  <c r="D87" i="1"/>
  <c r="H216" i="1"/>
  <c r="F216" i="1"/>
  <c r="D216" i="1"/>
  <c r="H16" i="1"/>
  <c r="F16" i="1"/>
  <c r="D16" i="1"/>
  <c r="H334" i="1"/>
  <c r="F334" i="1"/>
  <c r="D334" i="1"/>
  <c r="H90" i="1"/>
  <c r="F90" i="1"/>
  <c r="D90" i="1"/>
  <c r="H107" i="1"/>
  <c r="F107" i="1"/>
  <c r="D107" i="1"/>
  <c r="H1096" i="1" l="1"/>
  <c r="H565" i="1"/>
  <c r="H765" i="1"/>
  <c r="H382" i="1"/>
  <c r="H736" i="1"/>
  <c r="F1096" i="1"/>
  <c r="D1096" i="1"/>
  <c r="F565" i="1"/>
  <c r="D565" i="1"/>
  <c r="F765" i="1"/>
  <c r="D765" i="1"/>
  <c r="F382" i="1"/>
  <c r="D382" i="1"/>
  <c r="F736" i="1"/>
  <c r="D736" i="1"/>
  <c r="H1104" i="1" l="1"/>
  <c r="H945" i="1"/>
  <c r="H1026" i="1"/>
  <c r="H275" i="1"/>
  <c r="H316" i="1"/>
  <c r="F1104" i="1"/>
  <c r="D1104" i="1"/>
  <c r="F945" i="1"/>
  <c r="D945" i="1"/>
  <c r="F1026" i="1"/>
  <c r="D1026" i="1"/>
  <c r="F275" i="1"/>
  <c r="D275" i="1"/>
  <c r="F316" i="1"/>
  <c r="D316" i="1"/>
  <c r="H256" i="1" l="1"/>
  <c r="F256" i="1"/>
  <c r="D256" i="1"/>
  <c r="H1180" i="1"/>
  <c r="F1180" i="1"/>
  <c r="D1180" i="1"/>
  <c r="H280" i="1"/>
  <c r="F280" i="1"/>
  <c r="D280" i="1"/>
  <c r="H1103" i="1"/>
  <c r="F1103" i="1"/>
  <c r="D1103" i="1"/>
  <c r="H167" i="1"/>
  <c r="F167" i="1"/>
  <c r="D167" i="1"/>
  <c r="H735" i="1"/>
  <c r="F735" i="1"/>
  <c r="D735" i="1"/>
  <c r="H306" i="1"/>
  <c r="F306" i="1"/>
  <c r="D306" i="1"/>
  <c r="H623" i="1"/>
  <c r="F623" i="1"/>
  <c r="D623" i="1"/>
  <c r="H926" i="1"/>
  <c r="F926" i="1"/>
  <c r="D926" i="1"/>
  <c r="H798" i="1"/>
  <c r="H1178" i="1"/>
  <c r="H637" i="1"/>
  <c r="H1280" i="1"/>
  <c r="H963" i="1"/>
  <c r="F798" i="1"/>
  <c r="D798" i="1"/>
  <c r="F1178" i="1"/>
  <c r="D1178" i="1"/>
  <c r="F637" i="1"/>
  <c r="D637" i="1"/>
  <c r="F1280" i="1"/>
  <c r="D1280" i="1"/>
  <c r="F963" i="1"/>
  <c r="D963" i="1"/>
  <c r="H1136" i="1"/>
  <c r="H1289" i="1"/>
  <c r="H1250" i="1"/>
  <c r="H1269" i="1"/>
  <c r="H1243" i="1"/>
  <c r="F1136" i="1"/>
  <c r="D1136" i="1"/>
  <c r="F1289" i="1"/>
  <c r="D1289" i="1"/>
  <c r="F1250" i="1"/>
  <c r="D1250" i="1"/>
  <c r="F1269" i="1"/>
  <c r="D1269" i="1"/>
  <c r="F1243" i="1"/>
  <c r="D1243" i="1"/>
  <c r="H140" i="1" l="1"/>
  <c r="F140" i="1"/>
  <c r="D140" i="1"/>
  <c r="H473" i="1"/>
  <c r="F473" i="1"/>
  <c r="D473" i="1"/>
  <c r="H999" i="1"/>
  <c r="F999" i="1"/>
  <c r="D999" i="1"/>
  <c r="H262" i="1"/>
  <c r="F262" i="1"/>
  <c r="D262" i="1"/>
  <c r="H135" i="1"/>
  <c r="F135" i="1"/>
  <c r="D135" i="1"/>
  <c r="H218" i="1"/>
  <c r="F218" i="1"/>
  <c r="D218" i="1"/>
  <c r="H201" i="1"/>
  <c r="F201" i="1"/>
  <c r="D201" i="1"/>
  <c r="H367" i="1"/>
  <c r="F367" i="1"/>
  <c r="D367" i="1"/>
  <c r="H564" i="1"/>
  <c r="F564" i="1"/>
  <c r="D564" i="1"/>
  <c r="H333" i="1"/>
  <c r="F333" i="1"/>
  <c r="D333" i="1"/>
  <c r="H757" i="1" l="1"/>
  <c r="H512" i="1"/>
  <c r="H47" i="1"/>
  <c r="H27" i="1"/>
  <c r="H348" i="1"/>
  <c r="F757" i="1"/>
  <c r="D757" i="1"/>
  <c r="F512" i="1"/>
  <c r="D512" i="1"/>
  <c r="F47" i="1"/>
  <c r="D47" i="1"/>
  <c r="F27" i="1"/>
  <c r="D27" i="1"/>
  <c r="F348" i="1"/>
  <c r="D348" i="1"/>
  <c r="H332" i="1"/>
  <c r="H154" i="1"/>
  <c r="F332" i="1"/>
  <c r="D332" i="1"/>
  <c r="F154" i="1"/>
  <c r="D154" i="1"/>
  <c r="H337" i="1"/>
  <c r="H381" i="1"/>
  <c r="F381" i="1"/>
  <c r="D381" i="1"/>
  <c r="H1069" i="1"/>
  <c r="H210" i="1"/>
  <c r="H106" i="1"/>
  <c r="H200" i="1"/>
  <c r="F337" i="1"/>
  <c r="D337" i="1"/>
  <c r="F1069" i="1"/>
  <c r="D1069" i="1"/>
  <c r="F210" i="1"/>
  <c r="D210" i="1"/>
  <c r="F106" i="1"/>
  <c r="D106" i="1"/>
  <c r="F200" i="1"/>
  <c r="D200" i="1"/>
  <c r="H783" i="1"/>
  <c r="H1090" i="1"/>
  <c r="H1126" i="1"/>
  <c r="H540" i="1"/>
  <c r="H582" i="1"/>
  <c r="F783" i="1"/>
  <c r="D783" i="1"/>
  <c r="F1090" i="1"/>
  <c r="D1090" i="1"/>
  <c r="F1126" i="1"/>
  <c r="D1126" i="1"/>
  <c r="F540" i="1"/>
  <c r="D540" i="1"/>
  <c r="F582" i="1"/>
  <c r="D582" i="1"/>
  <c r="H539" i="1"/>
  <c r="H255" i="1"/>
  <c r="H925" i="1"/>
  <c r="H898" i="1"/>
  <c r="H679" i="1"/>
  <c r="F539" i="1"/>
  <c r="D539" i="1"/>
  <c r="F255" i="1"/>
  <c r="D255" i="1"/>
  <c r="F925" i="1"/>
  <c r="D925" i="1"/>
  <c r="F898" i="1"/>
  <c r="D898" i="1"/>
  <c r="F679" i="1"/>
  <c r="D679" i="1"/>
  <c r="H68" i="1" l="1"/>
  <c r="H323" i="1"/>
  <c r="H67" i="1"/>
  <c r="H239" i="1"/>
  <c r="H652" i="1"/>
  <c r="F68" i="1"/>
  <c r="D68" i="1"/>
  <c r="F323" i="1"/>
  <c r="D323" i="1"/>
  <c r="F67" i="1"/>
  <c r="D67" i="1"/>
  <c r="F239" i="1"/>
  <c r="D239" i="1"/>
  <c r="F652" i="1"/>
  <c r="D652" i="1"/>
  <c r="H1089" i="1" l="1"/>
  <c r="H1170" i="1"/>
  <c r="H746" i="1"/>
  <c r="H862" i="1"/>
  <c r="H734" i="1"/>
  <c r="F1089" i="1"/>
  <c r="D1089" i="1"/>
  <c r="F1170" i="1"/>
  <c r="D1170" i="1"/>
  <c r="F746" i="1"/>
  <c r="D746" i="1"/>
  <c r="F862" i="1"/>
  <c r="D862" i="1"/>
  <c r="F734" i="1"/>
  <c r="D734" i="1"/>
  <c r="H463" i="1" l="1"/>
  <c r="F463" i="1"/>
  <c r="D463" i="1"/>
  <c r="H1204" i="1"/>
  <c r="F1204" i="1"/>
  <c r="D1204" i="1"/>
  <c r="H1197" i="1"/>
  <c r="F1197" i="1"/>
  <c r="D1197" i="1"/>
  <c r="H1177" i="1"/>
  <c r="F1177" i="1"/>
  <c r="D1177" i="1"/>
  <c r="H1095" i="1"/>
  <c r="F1095" i="1"/>
  <c r="D1095" i="1"/>
  <c r="H1146" i="1"/>
  <c r="F1146" i="1"/>
  <c r="D1146" i="1"/>
  <c r="H238" i="1"/>
  <c r="F238" i="1"/>
  <c r="D238" i="1"/>
  <c r="H839" i="1"/>
  <c r="F839" i="1"/>
  <c r="D839" i="1"/>
  <c r="H720" i="1"/>
  <c r="F720" i="1"/>
  <c r="D720" i="1"/>
  <c r="H919" i="1"/>
  <c r="F919" i="1"/>
  <c r="D919" i="1"/>
  <c r="H1109" i="1"/>
  <c r="F1109" i="1"/>
  <c r="D1109" i="1"/>
  <c r="H1049" i="1"/>
  <c r="F1049" i="1"/>
  <c r="D1049" i="1"/>
  <c r="H1061" i="1"/>
  <c r="F1061" i="1"/>
  <c r="D1061" i="1"/>
  <c r="H719" i="1"/>
  <c r="F719" i="1"/>
  <c r="D719" i="1"/>
  <c r="H552" i="1" l="1"/>
  <c r="H1195" i="1"/>
  <c r="H472" i="1"/>
  <c r="H1153" i="1"/>
  <c r="H488" i="1"/>
  <c r="F552" i="1"/>
  <c r="D552" i="1"/>
  <c r="F1195" i="1"/>
  <c r="D1195" i="1"/>
  <c r="F472" i="1"/>
  <c r="D472" i="1"/>
  <c r="F1153" i="1"/>
  <c r="D1153" i="1"/>
  <c r="F488" i="1"/>
  <c r="D488" i="1"/>
  <c r="H1057" i="1" l="1"/>
  <c r="F1057" i="1"/>
  <c r="D1057" i="1"/>
  <c r="H571" i="1"/>
  <c r="F571" i="1"/>
  <c r="D571" i="1"/>
  <c r="H630" i="1"/>
  <c r="F630" i="1"/>
  <c r="D630" i="1"/>
  <c r="H191" i="1"/>
  <c r="F191" i="1"/>
  <c r="D191" i="1"/>
  <c r="H511" i="1"/>
  <c r="F511" i="1"/>
  <c r="D511" i="1"/>
  <c r="H873" i="1"/>
  <c r="F873" i="1"/>
  <c r="D873" i="1"/>
  <c r="H804" i="1"/>
  <c r="F804" i="1"/>
  <c r="D804" i="1"/>
  <c r="H861" i="1"/>
  <c r="F861" i="1"/>
  <c r="D861" i="1"/>
  <c r="H126" i="1"/>
  <c r="F126" i="1"/>
  <c r="D126" i="1"/>
  <c r="H331" i="1"/>
  <c r="F331" i="1"/>
  <c r="D331" i="1"/>
  <c r="H471" i="1"/>
  <c r="F471" i="1"/>
  <c r="D471" i="1"/>
  <c r="H434" i="1"/>
  <c r="F434" i="1"/>
  <c r="D434" i="1"/>
  <c r="H137" i="1"/>
  <c r="F137" i="1"/>
  <c r="D137" i="1"/>
  <c r="H613" i="1"/>
  <c r="F613" i="1"/>
  <c r="D613" i="1"/>
  <c r="H247" i="1"/>
  <c r="F247" i="1"/>
  <c r="D247" i="1"/>
  <c r="H116" i="1"/>
  <c r="F116" i="1"/>
  <c r="D116" i="1"/>
  <c r="H703" i="1"/>
  <c r="F703" i="1"/>
  <c r="D703" i="1"/>
  <c r="H343" i="1"/>
  <c r="F343" i="1"/>
  <c r="D343" i="1"/>
  <c r="H408" i="1"/>
  <c r="F408" i="1"/>
  <c r="D408" i="1"/>
  <c r="H659" i="1"/>
  <c r="F659" i="1"/>
  <c r="D659" i="1"/>
  <c r="H99" i="1" l="1"/>
  <c r="H86" i="1"/>
  <c r="H92" i="1"/>
  <c r="H60" i="1"/>
  <c r="H56" i="1"/>
  <c r="F99" i="1"/>
  <c r="F86" i="1"/>
  <c r="F92" i="1"/>
  <c r="F60" i="1"/>
  <c r="F56" i="1"/>
  <c r="H1135" i="1" l="1"/>
  <c r="H524" i="1"/>
  <c r="H1134" i="1"/>
  <c r="H1068" i="1"/>
  <c r="H897" i="1"/>
  <c r="H954" i="1"/>
  <c r="H1041" i="1"/>
  <c r="H336" i="1"/>
  <c r="H953" i="1"/>
  <c r="H793" i="1"/>
  <c r="F1135" i="1"/>
  <c r="F524" i="1"/>
  <c r="F1134" i="1"/>
  <c r="F1068" i="1"/>
  <c r="F897" i="1"/>
  <c r="F954" i="1"/>
  <c r="F1041" i="1"/>
  <c r="F336" i="1"/>
  <c r="F953" i="1"/>
  <c r="F793" i="1"/>
  <c r="F852" i="1"/>
  <c r="F1169" i="1"/>
  <c r="F733" i="1"/>
  <c r="F433" i="1"/>
  <c r="F658" i="1"/>
  <c r="H852" i="1"/>
  <c r="H1169" i="1"/>
  <c r="H733" i="1"/>
  <c r="H433" i="1"/>
  <c r="H658" i="1"/>
  <c r="H636" i="1" l="1"/>
  <c r="F636" i="1"/>
  <c r="D636" i="1"/>
  <c r="H388" i="1"/>
  <c r="F388" i="1"/>
  <c r="D388" i="1"/>
  <c r="H1278" i="1"/>
  <c r="F1278" i="1"/>
  <c r="D1278" i="1"/>
  <c r="H1152" i="1"/>
  <c r="F1152" i="1"/>
  <c r="D1152" i="1"/>
  <c r="H1171" i="1"/>
  <c r="F1171" i="1"/>
  <c r="D1171" i="1"/>
  <c r="H1085" i="1"/>
  <c r="F1085" i="1"/>
  <c r="D1085" i="1"/>
  <c r="H1048" i="1"/>
  <c r="F1048" i="1"/>
  <c r="D1048" i="1"/>
  <c r="H477" i="1"/>
  <c r="F477" i="1"/>
  <c r="D477" i="1"/>
  <c r="H1120" i="1"/>
  <c r="F1120" i="1"/>
  <c r="D1120" i="1"/>
  <c r="H523" i="1"/>
  <c r="F523" i="1"/>
  <c r="D523" i="1"/>
  <c r="H359" i="1"/>
  <c r="F359" i="1"/>
  <c r="D359" i="1"/>
  <c r="H595" i="1"/>
  <c r="F595" i="1"/>
  <c r="D595" i="1"/>
  <c r="H30" i="1" l="1"/>
  <c r="H78" i="1"/>
  <c r="H82" i="1"/>
  <c r="H651" i="1"/>
  <c r="H650" i="1"/>
  <c r="H551" i="1"/>
  <c r="H217" i="1"/>
  <c r="H180" i="1"/>
  <c r="H41" i="1"/>
  <c r="F41" i="1"/>
  <c r="D41" i="1"/>
  <c r="F30" i="1"/>
  <c r="D30" i="1"/>
  <c r="F78" i="1"/>
  <c r="D78" i="1"/>
  <c r="F82" i="1"/>
  <c r="D82" i="1"/>
  <c r="F651" i="1"/>
  <c r="D651" i="1"/>
  <c r="F650" i="1"/>
  <c r="D650" i="1"/>
  <c r="F551" i="1"/>
  <c r="D551" i="1"/>
  <c r="F217" i="1"/>
  <c r="D217" i="1"/>
  <c r="F180" i="1"/>
  <c r="D180" i="1"/>
  <c r="H1190" i="1" l="1"/>
  <c r="F1190" i="1"/>
  <c r="D1190" i="1"/>
  <c r="H756" i="1"/>
  <c r="F756" i="1"/>
  <c r="D756" i="1"/>
  <c r="H1011" i="1"/>
  <c r="F1011" i="1"/>
  <c r="D1011" i="1"/>
  <c r="H1219" i="1"/>
  <c r="F1219" i="1"/>
  <c r="D1219" i="1"/>
  <c r="H407" i="1"/>
  <c r="F407" i="1"/>
  <c r="D407" i="1"/>
  <c r="H49" i="1"/>
  <c r="F49" i="1"/>
  <c r="D49" i="1"/>
  <c r="H635" i="1"/>
  <c r="F635" i="1"/>
  <c r="D635" i="1"/>
  <c r="H1165" i="1"/>
  <c r="F1165" i="1"/>
  <c r="D1165" i="1"/>
  <c r="H1025" i="1"/>
  <c r="F1025" i="1"/>
  <c r="D1025" i="1"/>
  <c r="H1094" i="1"/>
  <c r="F1094" i="1"/>
  <c r="D1094" i="1"/>
  <c r="H718" i="1"/>
  <c r="F718" i="1"/>
  <c r="D718" i="1"/>
  <c r="H1101" i="1"/>
  <c r="F1101" i="1"/>
  <c r="D1101" i="1"/>
  <c r="H1024" i="1"/>
  <c r="F1024" i="1"/>
  <c r="D1024" i="1"/>
  <c r="H708" i="1"/>
  <c r="F708" i="1"/>
  <c r="D708" i="1"/>
  <c r="H872" i="1"/>
  <c r="F872" i="1"/>
  <c r="D872" i="1"/>
  <c r="H177" i="1"/>
  <c r="F177" i="1"/>
  <c r="D177" i="1"/>
  <c r="H526" i="1"/>
  <c r="F526" i="1"/>
  <c r="D526" i="1"/>
  <c r="H387" i="1"/>
  <c r="F387" i="1"/>
  <c r="D387" i="1"/>
  <c r="H176" i="1"/>
  <c r="F176" i="1"/>
  <c r="D176" i="1"/>
  <c r="H254" i="1"/>
  <c r="F254" i="1"/>
  <c r="D254" i="1"/>
  <c r="H179" i="1" l="1"/>
  <c r="F179" i="1"/>
  <c r="D179" i="1"/>
  <c r="H330" i="1"/>
  <c r="F330" i="1"/>
  <c r="D330" i="1"/>
  <c r="H237" i="1"/>
  <c r="F237" i="1"/>
  <c r="D237" i="1"/>
  <c r="H77" i="1"/>
  <c r="F77" i="1"/>
  <c r="D77" i="1"/>
  <c r="H274" i="1"/>
  <c r="F274" i="1"/>
  <c r="D274" i="1"/>
  <c r="H732" i="1"/>
  <c r="F732" i="1"/>
  <c r="D732" i="1"/>
  <c r="H199" i="1"/>
  <c r="F199" i="1"/>
  <c r="D199" i="1"/>
  <c r="H1133" i="1"/>
  <c r="F1133" i="1"/>
  <c r="D1133" i="1"/>
  <c r="H896" i="1"/>
  <c r="F896" i="1"/>
  <c r="D896" i="1"/>
  <c r="H246" i="1"/>
  <c r="F246" i="1"/>
  <c r="D246" i="1"/>
  <c r="H329" i="1"/>
  <c r="F329" i="1"/>
  <c r="D329" i="1"/>
  <c r="H1040" i="1"/>
  <c r="F1040" i="1"/>
  <c r="D1040" i="1"/>
  <c r="H1047" i="1"/>
  <c r="F1047" i="1"/>
  <c r="D1047" i="1"/>
  <c r="H1084" i="1"/>
  <c r="F1084" i="1"/>
  <c r="D1084" i="1"/>
  <c r="H586" i="1"/>
  <c r="F586" i="1"/>
  <c r="D586" i="1"/>
  <c r="H877" i="1"/>
  <c r="F877" i="1"/>
  <c r="D877" i="1"/>
  <c r="H1187" i="1"/>
  <c r="F1187" i="1"/>
  <c r="D1187" i="1"/>
  <c r="H687" i="1"/>
  <c r="F687" i="1"/>
  <c r="D687" i="1"/>
  <c r="H991" i="1"/>
  <c r="F991" i="1"/>
  <c r="D991" i="1"/>
  <c r="H1006" i="1"/>
  <c r="F1006" i="1"/>
  <c r="D1006" i="1"/>
  <c r="H797" i="1"/>
  <c r="F797" i="1"/>
  <c r="D797" i="1"/>
  <c r="H380" i="1"/>
  <c r="F380" i="1"/>
  <c r="D380" i="1"/>
  <c r="H236" i="1"/>
  <c r="F236" i="1"/>
  <c r="D236" i="1"/>
  <c r="H261" i="1"/>
  <c r="F261" i="1"/>
  <c r="D261" i="1"/>
  <c r="H431" i="1"/>
  <c r="F431" i="1"/>
  <c r="D431" i="1"/>
  <c r="H876" i="1"/>
  <c r="F876" i="1"/>
  <c r="D876" i="1"/>
  <c r="H58" i="1"/>
  <c r="F58" i="1"/>
  <c r="D58" i="1"/>
  <c r="H89" i="1"/>
  <c r="F89" i="1"/>
  <c r="D89" i="1"/>
  <c r="H76" i="1"/>
  <c r="F76" i="1"/>
  <c r="D76" i="1"/>
  <c r="H29" i="1"/>
  <c r="F29" i="1"/>
  <c r="D29" i="1"/>
  <c r="H46" i="1"/>
  <c r="F46" i="1"/>
  <c r="D46" i="1"/>
  <c r="H226" i="1" l="1"/>
  <c r="F226" i="1"/>
  <c r="D226" i="1"/>
  <c r="H522" i="1"/>
  <c r="F522" i="1"/>
  <c r="D522" i="1"/>
  <c r="H1144" i="1"/>
  <c r="F1144" i="1"/>
  <c r="D1144" i="1"/>
  <c r="H1194" i="1"/>
  <c r="F1194" i="1"/>
  <c r="D1194" i="1"/>
  <c r="H1176" i="1"/>
  <c r="F1176" i="1"/>
  <c r="D1176" i="1"/>
  <c r="H1143" i="1"/>
  <c r="F1143" i="1"/>
  <c r="D1143" i="1"/>
  <c r="H904" i="1"/>
  <c r="F904" i="1"/>
  <c r="D904" i="1"/>
  <c r="H1193" i="1"/>
  <c r="F1193" i="1"/>
  <c r="D1193" i="1"/>
  <c r="H1261" i="1"/>
  <c r="F1261" i="1"/>
  <c r="D1261" i="1"/>
  <c r="H1207" i="1"/>
  <c r="F1207" i="1"/>
  <c r="D1207" i="1"/>
  <c r="H1015" i="1"/>
  <c r="F1015" i="1"/>
  <c r="D1015" i="1"/>
  <c r="H792" i="1"/>
  <c r="F792" i="1"/>
  <c r="D792" i="1"/>
  <c r="H581" i="1"/>
  <c r="F581" i="1"/>
  <c r="D581" i="1"/>
  <c r="H328" i="1"/>
  <c r="F328" i="1"/>
  <c r="D328" i="1"/>
  <c r="H358" i="1"/>
  <c r="F358" i="1"/>
  <c r="D358" i="1"/>
  <c r="H406" i="1"/>
  <c r="F406" i="1"/>
  <c r="D406" i="1"/>
  <c r="H918" i="1"/>
  <c r="F918" i="1"/>
  <c r="D918" i="1"/>
  <c r="H291" i="1"/>
  <c r="F291" i="1"/>
  <c r="D291" i="1"/>
  <c r="H315" i="1"/>
  <c r="F315" i="1"/>
  <c r="D315" i="1"/>
  <c r="H166" i="1"/>
  <c r="F166" i="1"/>
  <c r="D166" i="1"/>
  <c r="H234" i="1"/>
  <c r="F234" i="1"/>
  <c r="D234" i="1"/>
  <c r="H1214" i="1"/>
  <c r="F1214" i="1"/>
  <c r="D1214" i="1"/>
  <c r="H1230" i="1"/>
  <c r="F1230" i="1"/>
  <c r="D1230" i="1"/>
  <c r="H851" i="1"/>
  <c r="F851" i="1"/>
  <c r="D851" i="1"/>
  <c r="H1254" i="1"/>
  <c r="F1254" i="1"/>
  <c r="D1254" i="1"/>
  <c r="H1142" i="1"/>
  <c r="F1142" i="1"/>
  <c r="D1142" i="1"/>
  <c r="H825" i="1"/>
  <c r="F825" i="1"/>
  <c r="D825" i="1"/>
  <c r="H525" i="1"/>
  <c r="F525" i="1"/>
  <c r="D525" i="1"/>
  <c r="H357" i="1"/>
  <c r="F357" i="1"/>
  <c r="D357" i="1"/>
  <c r="H495" i="1"/>
  <c r="F495" i="1"/>
  <c r="D495" i="1"/>
  <c r="H603" i="1"/>
  <c r="F603" i="1"/>
  <c r="D603" i="1"/>
  <c r="H379" i="1" l="1"/>
  <c r="F379" i="1"/>
  <c r="D379" i="1"/>
  <c r="H998" i="1"/>
  <c r="H782" i="1"/>
  <c r="H796" i="1"/>
  <c r="H412" i="1"/>
  <c r="H423" i="1"/>
  <c r="F998" i="1"/>
  <c r="D998" i="1"/>
  <c r="F782" i="1"/>
  <c r="D782" i="1"/>
  <c r="F796" i="1"/>
  <c r="D796" i="1"/>
  <c r="F412" i="1"/>
  <c r="D412" i="1"/>
  <c r="F423" i="1"/>
  <c r="D423" i="1"/>
  <c r="H629" i="1"/>
  <c r="H448" i="1"/>
  <c r="H521" i="1"/>
  <c r="H111" i="1"/>
  <c r="H366" i="1"/>
  <c r="F629" i="1"/>
  <c r="D629" i="1"/>
  <c r="F448" i="1"/>
  <c r="D448" i="1"/>
  <c r="F521" i="1"/>
  <c r="D521" i="1"/>
  <c r="F111" i="1"/>
  <c r="D111" i="1"/>
  <c r="F366" i="1"/>
  <c r="D366" i="1"/>
  <c r="H1005" i="1"/>
  <c r="F1005" i="1"/>
  <c r="D1005" i="1"/>
  <c r="H717" i="1"/>
  <c r="H327" i="1"/>
  <c r="H634" i="1"/>
  <c r="H917" i="1"/>
  <c r="H504" i="1"/>
  <c r="F717" i="1"/>
  <c r="D717" i="1"/>
  <c r="F327" i="1"/>
  <c r="D327" i="1"/>
  <c r="F634" i="1"/>
  <c r="D634" i="1"/>
  <c r="F917" i="1"/>
  <c r="D917" i="1"/>
  <c r="F504" i="1"/>
  <c r="D504" i="1"/>
  <c r="H1189" i="1" l="1"/>
  <c r="F1189" i="1"/>
  <c r="D1189" i="1"/>
  <c r="H895" i="1"/>
  <c r="F895" i="1"/>
  <c r="D895" i="1"/>
  <c r="H447" i="1"/>
  <c r="F447" i="1"/>
  <c r="D447" i="1"/>
  <c r="H1291" i="1"/>
  <c r="F1291" i="1"/>
  <c r="D1291" i="1"/>
  <c r="H980" i="1"/>
  <c r="F980" i="1"/>
  <c r="D980" i="1"/>
  <c r="H115" i="1"/>
  <c r="F115" i="1"/>
  <c r="D115" i="1"/>
  <c r="H270" i="1"/>
  <c r="F270" i="1"/>
  <c r="D270" i="1"/>
  <c r="H392" i="1"/>
  <c r="F392" i="1"/>
  <c r="D392" i="1"/>
  <c r="H696" i="1"/>
  <c r="F696" i="1"/>
  <c r="D696" i="1"/>
  <c r="H440" i="1"/>
  <c r="F440" i="1"/>
  <c r="D440" i="1"/>
  <c r="H494" i="1"/>
  <c r="F494" i="1"/>
  <c r="D494" i="1"/>
  <c r="H824" i="1"/>
  <c r="F824" i="1"/>
  <c r="D824" i="1"/>
  <c r="H422" i="1"/>
  <c r="F422" i="1"/>
  <c r="D422" i="1"/>
  <c r="H823" i="1"/>
  <c r="F823" i="1"/>
  <c r="D823" i="1"/>
  <c r="H695" i="1"/>
  <c r="F695" i="1"/>
  <c r="D695" i="1"/>
  <c r="H755" i="1"/>
  <c r="F755" i="1"/>
  <c r="D755" i="1"/>
  <c r="H1288" i="1"/>
  <c r="F1288" i="1"/>
  <c r="D1288" i="1"/>
  <c r="H421" i="1"/>
  <c r="F421" i="1"/>
  <c r="D421" i="1"/>
  <c r="H260" i="1"/>
  <c r="F260" i="1"/>
  <c r="D260" i="1"/>
  <c r="H550" i="1"/>
  <c r="F550" i="1"/>
  <c r="D550" i="1"/>
  <c r="H754" i="1"/>
  <c r="F754" i="1"/>
  <c r="D754" i="1"/>
  <c r="H753" i="1"/>
  <c r="F753" i="1"/>
  <c r="D753" i="1"/>
  <c r="H602" i="1"/>
  <c r="F602" i="1"/>
  <c r="D602" i="1"/>
  <c r="H269" i="1"/>
  <c r="F269" i="1"/>
  <c r="D269" i="1"/>
  <c r="H365" i="1"/>
  <c r="F365" i="1"/>
  <c r="D365" i="1"/>
  <c r="H537" i="1" l="1"/>
  <c r="F537" i="1"/>
  <c r="D537" i="1"/>
  <c r="H411" i="1"/>
  <c r="H702" i="1"/>
  <c r="H701" i="1"/>
  <c r="H198" i="1"/>
  <c r="H305" i="1"/>
  <c r="F411" i="1"/>
  <c r="D411" i="1"/>
  <c r="F702" i="1"/>
  <c r="D702" i="1"/>
  <c r="F701" i="1"/>
  <c r="D701" i="1"/>
  <c r="F198" i="1"/>
  <c r="D198" i="1"/>
  <c r="F305" i="1"/>
  <c r="D305" i="1"/>
  <c r="H594" i="1"/>
  <c r="F594" i="1"/>
  <c r="D594" i="1"/>
  <c r="H134" i="1"/>
  <c r="H1067" i="1"/>
  <c r="H377" i="1"/>
  <c r="H347" i="1"/>
  <c r="H915" i="1"/>
  <c r="F134" i="1"/>
  <c r="D134" i="1"/>
  <c r="F1067" i="1"/>
  <c r="D1067" i="1"/>
  <c r="F377" i="1"/>
  <c r="D377" i="1"/>
  <c r="F347" i="1"/>
  <c r="D347" i="1"/>
  <c r="F915" i="1"/>
  <c r="D915" i="1"/>
  <c r="H469" i="1"/>
  <c r="H1196" i="1"/>
  <c r="H764" i="1"/>
  <c r="H930" i="1"/>
  <c r="H1246" i="1"/>
  <c r="F469" i="1"/>
  <c r="D469" i="1"/>
  <c r="F1196" i="1"/>
  <c r="D1196" i="1"/>
  <c r="F764" i="1"/>
  <c r="D764" i="1"/>
  <c r="F930" i="1"/>
  <c r="D930" i="1"/>
  <c r="F1246" i="1"/>
  <c r="D1246" i="1"/>
  <c r="H694" i="1"/>
  <c r="F694" i="1"/>
  <c r="D694" i="1"/>
  <c r="H1037" i="1"/>
  <c r="F1037" i="1"/>
  <c r="D1037" i="1"/>
  <c r="H731" i="1"/>
  <c r="H1192" i="1"/>
  <c r="H1141" i="1"/>
  <c r="H346" i="1"/>
  <c r="H716" i="1"/>
  <c r="F731" i="1"/>
  <c r="D731" i="1"/>
  <c r="F1192" i="1"/>
  <c r="D1192" i="1"/>
  <c r="F1141" i="1"/>
  <c r="D1141" i="1"/>
  <c r="F346" i="1"/>
  <c r="D346" i="1"/>
  <c r="F716" i="1"/>
  <c r="D716" i="1"/>
  <c r="H34" i="1"/>
  <c r="F34" i="1"/>
  <c r="D34" i="1"/>
  <c r="H102" i="1"/>
  <c r="H85" i="1"/>
  <c r="H139" i="1"/>
  <c r="H57" i="1"/>
  <c r="H96" i="1"/>
  <c r="F102" i="1"/>
  <c r="D102" i="1"/>
  <c r="F85" i="1"/>
  <c r="D85" i="1"/>
  <c r="F139" i="1"/>
  <c r="D139" i="1"/>
  <c r="F57" i="1"/>
  <c r="D57" i="1"/>
  <c r="F96" i="1"/>
  <c r="D96" i="1"/>
  <c r="H298" i="1"/>
  <c r="H745" i="1"/>
  <c r="H914" i="1"/>
  <c r="H233" i="1"/>
  <c r="H356" i="1"/>
  <c r="F298" i="1"/>
  <c r="D298" i="1"/>
  <c r="F745" i="1"/>
  <c r="D745" i="1"/>
  <c r="F914" i="1"/>
  <c r="D914" i="1"/>
  <c r="F233" i="1"/>
  <c r="D233" i="1"/>
  <c r="F356" i="1"/>
  <c r="D356" i="1"/>
  <c r="H446" i="1"/>
  <c r="H476" i="1"/>
  <c r="H297" i="1"/>
  <c r="H430" i="1"/>
  <c r="H355" i="1"/>
  <c r="F355" i="1"/>
  <c r="F446" i="1"/>
  <c r="D446" i="1"/>
  <c r="F476" i="1"/>
  <c r="D476" i="1"/>
  <c r="F297" i="1"/>
  <c r="D297" i="1"/>
  <c r="F430" i="1"/>
  <c r="D430" i="1"/>
  <c r="D355" i="1"/>
  <c r="H354" i="1"/>
  <c r="H376" i="1"/>
  <c r="H510" i="1"/>
  <c r="H296" i="1"/>
  <c r="H410" i="1"/>
  <c r="F354" i="1"/>
  <c r="D354" i="1"/>
  <c r="F376" i="1"/>
  <c r="D376" i="1"/>
  <c r="F510" i="1"/>
  <c r="D510" i="1"/>
  <c r="F296" i="1"/>
  <c r="D296" i="1"/>
  <c r="F410" i="1"/>
  <c r="D410" i="1"/>
  <c r="H225" i="1"/>
  <c r="H1200" i="1"/>
  <c r="H848" i="1"/>
  <c r="H165" i="1"/>
  <c r="H364" i="1"/>
  <c r="F225" i="1"/>
  <c r="D225" i="1"/>
  <c r="F1200" i="1"/>
  <c r="D1200" i="1"/>
  <c r="F848" i="1"/>
  <c r="D848" i="1"/>
  <c r="F165" i="1"/>
  <c r="D165" i="1"/>
  <c r="F364" i="1"/>
  <c r="D364" i="1"/>
  <c r="H6" i="1" l="1"/>
  <c r="H462" i="1"/>
  <c r="H693" i="1"/>
  <c r="H700" i="1"/>
  <c r="H678" i="1"/>
  <c r="H894" i="1"/>
  <c r="H1257" i="1"/>
  <c r="H1227" i="1"/>
  <c r="H1168" i="1"/>
  <c r="H1268" i="1"/>
  <c r="H1235" i="1"/>
  <c r="H493" i="1"/>
  <c r="H405" i="1"/>
  <c r="H520" i="1"/>
  <c r="H404" i="1"/>
  <c r="H445" i="1"/>
  <c r="H791" i="1"/>
  <c r="H1036" i="1"/>
  <c r="H1151" i="1"/>
  <c r="H403" i="1"/>
  <c r="F462" i="1"/>
  <c r="D462" i="1"/>
  <c r="F693" i="1"/>
  <c r="D693" i="1"/>
  <c r="F700" i="1"/>
  <c r="D700" i="1"/>
  <c r="F678" i="1"/>
  <c r="D678" i="1"/>
  <c r="F894" i="1"/>
  <c r="D894" i="1"/>
  <c r="F1257" i="1"/>
  <c r="D1257" i="1"/>
  <c r="F1227" i="1"/>
  <c r="D1227" i="1"/>
  <c r="F1168" i="1"/>
  <c r="D1168" i="1"/>
  <c r="F1268" i="1"/>
  <c r="D1268" i="1"/>
  <c r="F1235" i="1"/>
  <c r="D1235" i="1"/>
  <c r="F493" i="1"/>
  <c r="D493" i="1"/>
  <c r="F405" i="1"/>
  <c r="D405" i="1"/>
  <c r="F520" i="1"/>
  <c r="D520" i="1"/>
  <c r="F404" i="1"/>
  <c r="D404" i="1"/>
  <c r="F445" i="1"/>
  <c r="D445" i="1"/>
  <c r="F791" i="1"/>
  <c r="D791" i="1"/>
  <c r="F1036" i="1"/>
  <c r="D1036" i="1"/>
  <c r="F1151" i="1"/>
  <c r="D1151" i="1"/>
  <c r="F6" i="1"/>
  <c r="D6" i="1"/>
  <c r="F403" i="1"/>
  <c r="D403" i="1"/>
  <c r="H649" i="1"/>
  <c r="H847" i="1"/>
  <c r="H790" i="1"/>
  <c r="H444" i="1"/>
  <c r="H929" i="1"/>
  <c r="H846" i="1"/>
  <c r="F847" i="1"/>
  <c r="D847" i="1"/>
  <c r="F790" i="1"/>
  <c r="D790" i="1"/>
  <c r="F444" i="1"/>
  <c r="D444" i="1"/>
  <c r="F929" i="1"/>
  <c r="D929" i="1"/>
  <c r="F846" i="1"/>
  <c r="D846" i="1"/>
  <c r="H71" i="1"/>
  <c r="H243" i="1"/>
  <c r="H665" i="1"/>
  <c r="H279" i="1"/>
  <c r="F71" i="1"/>
  <c r="D71" i="1"/>
  <c r="F243" i="1"/>
  <c r="D243" i="1"/>
  <c r="F665" i="1"/>
  <c r="D665" i="1"/>
  <c r="F279" i="1"/>
  <c r="D279" i="1"/>
  <c r="F649" i="1"/>
  <c r="D649" i="1"/>
  <c r="H1253" i="1"/>
  <c r="H1276" i="1"/>
  <c r="H1175" i="1"/>
  <c r="H1083" i="1"/>
  <c r="H502" i="1"/>
  <c r="H1226" i="1"/>
  <c r="H913" i="1"/>
  <c r="D913" i="1"/>
  <c r="H1172" i="1"/>
  <c r="H752" i="1"/>
  <c r="H686" i="1"/>
  <c r="F1253" i="1"/>
  <c r="D1253" i="1"/>
  <c r="F1276" i="1"/>
  <c r="D1276" i="1"/>
  <c r="F1175" i="1"/>
  <c r="D1175" i="1"/>
  <c r="F1083" i="1"/>
  <c r="D1083" i="1"/>
  <c r="F502" i="1"/>
  <c r="D502" i="1"/>
  <c r="F1226" i="1"/>
  <c r="D1226" i="1"/>
  <c r="F913" i="1"/>
  <c r="F1172" i="1"/>
  <c r="D1172" i="1"/>
  <c r="F752" i="1"/>
  <c r="D752" i="1"/>
  <c r="F686" i="1"/>
  <c r="D686" i="1"/>
  <c r="H129" i="1" l="1"/>
  <c r="F129" i="1"/>
  <c r="D129" i="1"/>
  <c r="H893" i="1" l="1"/>
  <c r="H763" i="1"/>
  <c r="H563" i="1"/>
  <c r="H304" i="1"/>
  <c r="H715" i="1"/>
  <c r="F893" i="1"/>
  <c r="D893" i="1"/>
  <c r="F763" i="1"/>
  <c r="D763" i="1"/>
  <c r="F563" i="1"/>
  <c r="D563" i="1"/>
  <c r="F304" i="1"/>
  <c r="D304" i="1"/>
  <c r="F715" i="1"/>
  <c r="D715" i="1"/>
  <c r="H290" i="1"/>
  <c r="H912" i="1"/>
  <c r="H884" i="1"/>
  <c r="H664" i="1"/>
  <c r="H458" i="1"/>
  <c r="F290" i="1"/>
  <c r="D290" i="1"/>
  <c r="F912" i="1"/>
  <c r="D912" i="1"/>
  <c r="F884" i="1"/>
  <c r="D884" i="1"/>
  <c r="F664" i="1"/>
  <c r="D664" i="1"/>
  <c r="F458" i="1"/>
  <c r="D458" i="1"/>
  <c r="H549" i="1"/>
  <c r="H892" i="1"/>
  <c r="H860" i="1"/>
  <c r="H341" i="1"/>
  <c r="H492" i="1"/>
  <c r="F549" i="1"/>
  <c r="D549" i="1"/>
  <c r="F892" i="1"/>
  <c r="D892" i="1"/>
  <c r="F860" i="1"/>
  <c r="D860" i="1"/>
  <c r="F341" i="1"/>
  <c r="D341" i="1"/>
  <c r="F492" i="1"/>
  <c r="D492" i="1"/>
  <c r="H439" i="1"/>
  <c r="H391" i="1"/>
  <c r="H242" i="1"/>
  <c r="H118" i="1"/>
  <c r="H475" i="1"/>
  <c r="F439" i="1"/>
  <c r="D439" i="1"/>
  <c r="F391" i="1"/>
  <c r="D391" i="1"/>
  <c r="F242" i="1"/>
  <c r="D242" i="1"/>
  <c r="F118" i="1"/>
  <c r="D118" i="1"/>
  <c r="F475" i="1"/>
  <c r="D475" i="1"/>
  <c r="H295" i="1" l="1"/>
  <c r="H487" i="1"/>
  <c r="H795" i="1"/>
  <c r="H363" i="1"/>
  <c r="H593" i="1"/>
  <c r="F593" i="1"/>
  <c r="F295" i="1"/>
  <c r="D295" i="1"/>
  <c r="F487" i="1"/>
  <c r="D487" i="1"/>
  <c r="F795" i="1"/>
  <c r="D795" i="1"/>
  <c r="F363" i="1"/>
  <c r="D363" i="1"/>
  <c r="D593" i="1"/>
  <c r="H622" i="1"/>
  <c r="H773" i="1"/>
  <c r="H189" i="1"/>
  <c r="H420" i="1"/>
  <c r="H677" i="1"/>
  <c r="F189" i="1"/>
  <c r="D189" i="1"/>
  <c r="F773" i="1"/>
  <c r="D773" i="1"/>
  <c r="F622" i="1"/>
  <c r="D622" i="1"/>
  <c r="F420" i="1"/>
  <c r="D420" i="1"/>
  <c r="F677" i="1"/>
  <c r="D677" i="1"/>
  <c r="H1265" i="1"/>
  <c r="H1213" i="1"/>
  <c r="H1156" i="1"/>
  <c r="H1082" i="1"/>
  <c r="H1223" i="1"/>
  <c r="F1265" i="1"/>
  <c r="D1265" i="1"/>
  <c r="F1213" i="1"/>
  <c r="D1213" i="1"/>
  <c r="F1156" i="1"/>
  <c r="D1156" i="1"/>
  <c r="F1082" i="1"/>
  <c r="D1082" i="1"/>
  <c r="F1223" i="1"/>
  <c r="D1223" i="1"/>
  <c r="H1076" i="1"/>
  <c r="H1212" i="1"/>
  <c r="H374" i="1"/>
  <c r="H562" i="1"/>
  <c r="H1282" i="1"/>
  <c r="F1076" i="1"/>
  <c r="D1076" i="1"/>
  <c r="F1212" i="1"/>
  <c r="D1212" i="1"/>
  <c r="F374" i="1"/>
  <c r="D374" i="1"/>
  <c r="F562" i="1"/>
  <c r="D562" i="1"/>
  <c r="F1282" i="1"/>
  <c r="D1282" i="1"/>
  <c r="H144" i="1"/>
  <c r="H188" i="1"/>
  <c r="H20" i="1"/>
  <c r="H54" i="1"/>
  <c r="H817" i="1"/>
  <c r="H628" i="1"/>
  <c r="H224" i="1"/>
  <c r="H72" i="1"/>
  <c r="H53" i="1"/>
  <c r="H822" i="1"/>
  <c r="F144" i="1"/>
  <c r="D144" i="1"/>
  <c r="F188" i="1"/>
  <c r="D188" i="1"/>
  <c r="F20" i="1"/>
  <c r="D20" i="1"/>
  <c r="F54" i="1"/>
  <c r="D54" i="1"/>
  <c r="F817" i="1"/>
  <c r="D817" i="1"/>
  <c r="F628" i="1"/>
  <c r="D628" i="1"/>
  <c r="F224" i="1"/>
  <c r="D224" i="1"/>
  <c r="F72" i="1"/>
  <c r="D72" i="1"/>
  <c r="F53" i="1"/>
  <c r="D53" i="1"/>
  <c r="F822" i="1"/>
  <c r="D822" i="1"/>
  <c r="H911" i="1"/>
  <c r="H402" i="1"/>
  <c r="F402" i="1"/>
  <c r="D402" i="1"/>
  <c r="F911" i="1"/>
  <c r="D911" i="1"/>
  <c r="H1108" i="1" l="1"/>
  <c r="H1119" i="1"/>
  <c r="H944" i="1"/>
  <c r="H744" i="1"/>
  <c r="H612" i="1"/>
  <c r="H206" i="1"/>
  <c r="H461" i="1"/>
  <c r="H491" i="1"/>
  <c r="H164" i="1"/>
  <c r="H345" i="1"/>
  <c r="F1108" i="1"/>
  <c r="D1108" i="1"/>
  <c r="F1119" i="1"/>
  <c r="D1119" i="1"/>
  <c r="F944" i="1"/>
  <c r="D944" i="1"/>
  <c r="F744" i="1"/>
  <c r="D744" i="1"/>
  <c r="F612" i="1"/>
  <c r="D612" i="1"/>
  <c r="F206" i="1"/>
  <c r="D206" i="1"/>
  <c r="F461" i="1"/>
  <c r="D461" i="1"/>
  <c r="F491" i="1"/>
  <c r="D491" i="1"/>
  <c r="F164" i="1"/>
  <c r="D164" i="1"/>
  <c r="F345" i="1"/>
  <c r="D345" i="1"/>
  <c r="H160" i="1" l="1"/>
  <c r="F160" i="1"/>
  <c r="D160" i="1"/>
  <c r="H648" i="1"/>
  <c r="F648" i="1"/>
  <c r="D648" i="1"/>
  <c r="H457" i="1"/>
  <c r="F457" i="1"/>
  <c r="D457" i="1"/>
  <c r="H548" i="1"/>
  <c r="F548" i="1"/>
  <c r="D548" i="1"/>
  <c r="H429" i="1"/>
  <c r="F429" i="1"/>
  <c r="D429" i="1"/>
  <c r="H362" i="1"/>
  <c r="F362" i="1"/>
  <c r="D362" i="1"/>
  <c r="H971" i="1"/>
  <c r="F971" i="1"/>
  <c r="D971" i="1"/>
  <c r="H11" i="1"/>
  <c r="F11" i="1"/>
  <c r="D11" i="1"/>
  <c r="H8" i="1"/>
  <c r="F8" i="1"/>
  <c r="D8" i="1"/>
  <c r="H9" i="1"/>
  <c r="F9" i="1"/>
  <c r="D9" i="1"/>
  <c r="H910" i="1"/>
  <c r="F910" i="1"/>
  <c r="D910" i="1"/>
  <c r="H1167" i="1"/>
  <c r="F1167" i="1"/>
  <c r="D1167" i="1"/>
  <c r="H1113" i="1"/>
  <c r="F1113" i="1"/>
  <c r="D1113" i="1"/>
  <c r="H730" i="1"/>
  <c r="F730" i="1"/>
  <c r="D730" i="1"/>
  <c r="H970" i="1"/>
  <c r="F970" i="1"/>
  <c r="D970" i="1"/>
  <c r="H585" i="1" l="1"/>
  <c r="F585" i="1"/>
  <c r="D585" i="1"/>
  <c r="H344" i="1"/>
  <c r="F344" i="1"/>
  <c r="D344" i="1"/>
  <c r="H1272" i="1"/>
  <c r="F1272" i="1"/>
  <c r="D1272" i="1"/>
  <c r="H1140" i="1"/>
  <c r="F1140" i="1"/>
  <c r="D1140" i="1"/>
  <c r="H1014" i="1"/>
  <c r="F1014" i="1"/>
  <c r="D1014" i="1"/>
  <c r="H159" i="1" l="1"/>
  <c r="F159" i="1"/>
  <c r="D159" i="1"/>
  <c r="H561" i="1" l="1"/>
  <c r="F561" i="1"/>
  <c r="D561" i="1"/>
  <c r="H1209" i="1"/>
  <c r="F1209" i="1"/>
  <c r="D1209" i="1"/>
  <c r="H875" i="1"/>
  <c r="F875" i="1"/>
  <c r="D875" i="1"/>
  <c r="H1150" i="1"/>
  <c r="F1150" i="1"/>
  <c r="D1150" i="1"/>
  <c r="H859" i="1"/>
  <c r="F859" i="1"/>
  <c r="D859" i="1"/>
  <c r="H1284" i="1"/>
  <c r="F1284" i="1"/>
  <c r="D1284" i="1"/>
  <c r="H772" i="1"/>
  <c r="F772" i="1"/>
  <c r="D772" i="1"/>
  <c r="H61" i="1"/>
  <c r="F61" i="1"/>
  <c r="D61" i="1"/>
  <c r="H580" i="1"/>
  <c r="F580" i="1"/>
  <c r="D580" i="1"/>
  <c r="H803" i="1"/>
  <c r="F803" i="1"/>
  <c r="D803" i="1"/>
  <c r="H569" i="1" l="1"/>
  <c r="H1013" i="1"/>
  <c r="H997" i="1"/>
  <c r="H1004" i="1"/>
  <c r="H1075" i="1"/>
  <c r="F569" i="1"/>
  <c r="D569" i="1"/>
  <c r="F1013" i="1"/>
  <c r="D1013" i="1"/>
  <c r="F997" i="1"/>
  <c r="D997" i="1"/>
  <c r="F1004" i="1"/>
  <c r="D1004" i="1"/>
  <c r="F1075" i="1"/>
  <c r="D1075" i="1"/>
  <c r="H419" i="1" l="1"/>
  <c r="F419" i="1"/>
  <c r="D419" i="1"/>
  <c r="H990" i="1"/>
  <c r="F990" i="1"/>
  <c r="D990" i="1"/>
  <c r="H903" i="1"/>
  <c r="F903" i="1"/>
  <c r="D903" i="1"/>
  <c r="H952" i="1"/>
  <c r="F952" i="1"/>
  <c r="D952" i="1"/>
  <c r="H996" i="1"/>
  <c r="F996" i="1"/>
  <c r="D996" i="1"/>
  <c r="H438" i="1"/>
  <c r="F438" i="1"/>
  <c r="D438" i="1"/>
  <c r="H951" i="1"/>
  <c r="F951" i="1"/>
  <c r="D951" i="1"/>
  <c r="H891" i="1"/>
  <c r="F891" i="1"/>
  <c r="D891" i="1"/>
  <c r="H456" i="1"/>
  <c r="F456" i="1"/>
  <c r="D456" i="1"/>
  <c r="H560" i="1"/>
  <c r="F560" i="1"/>
  <c r="D560" i="1"/>
  <c r="H547" i="1" l="1"/>
  <c r="F547" i="1"/>
  <c r="D547" i="1"/>
  <c r="H158" i="1"/>
  <c r="F158" i="1"/>
  <c r="D158" i="1"/>
  <c r="H989" i="1"/>
  <c r="F989" i="1"/>
  <c r="D989" i="1"/>
  <c r="H84" i="1"/>
  <c r="F84" i="1"/>
  <c r="D84" i="1"/>
  <c r="H1224" i="1"/>
  <c r="F1224" i="1"/>
  <c r="D1224" i="1"/>
  <c r="H455" i="1"/>
  <c r="F455" i="1"/>
  <c r="D455" i="1"/>
  <c r="H771" i="1"/>
  <c r="F771" i="1"/>
  <c r="D771" i="1"/>
  <c r="H1164" i="1"/>
  <c r="F1164" i="1"/>
  <c r="D1164" i="1"/>
  <c r="H151" i="1"/>
  <c r="F151" i="1"/>
  <c r="D151" i="1"/>
  <c r="H1066" i="1"/>
  <c r="F1066" i="1"/>
  <c r="D1066" i="1"/>
  <c r="H536" i="1" l="1"/>
  <c r="H871" i="1"/>
  <c r="H685" i="1"/>
  <c r="H361" i="1"/>
  <c r="H437" i="1"/>
  <c r="F536" i="1"/>
  <c r="D536" i="1"/>
  <c r="F871" i="1"/>
  <c r="D871" i="1"/>
  <c r="F685" i="1"/>
  <c r="D685" i="1"/>
  <c r="F361" i="1"/>
  <c r="D361" i="1"/>
  <c r="F437" i="1"/>
  <c r="D437" i="1"/>
  <c r="H579" i="1" l="1"/>
  <c r="F579" i="1"/>
  <c r="D579" i="1"/>
  <c r="H962" i="1"/>
  <c r="F962" i="1"/>
  <c r="D962" i="1"/>
  <c r="H546" i="1"/>
  <c r="F546" i="1"/>
  <c r="D546" i="1"/>
  <c r="H278" i="1"/>
  <c r="F278" i="1"/>
  <c r="D278" i="1"/>
  <c r="H535" i="1"/>
  <c r="F535" i="1"/>
  <c r="D535" i="1"/>
  <c r="H534" i="1" l="1"/>
  <c r="F534" i="1"/>
  <c r="D534" i="1"/>
  <c r="H845" i="1"/>
  <c r="F845" i="1"/>
  <c r="D845" i="1"/>
  <c r="H743" i="1"/>
  <c r="F743" i="1"/>
  <c r="D743" i="1"/>
  <c r="H729" i="1"/>
  <c r="F729" i="1"/>
  <c r="D729" i="1"/>
  <c r="H988" i="1"/>
  <c r="F988" i="1"/>
  <c r="D988" i="1"/>
  <c r="H633" i="1" l="1"/>
  <c r="F633" i="1"/>
  <c r="D633" i="1"/>
  <c r="H883" i="1"/>
  <c r="F883" i="1"/>
  <c r="D883" i="1"/>
  <c r="H289" i="1"/>
  <c r="F289" i="1"/>
  <c r="D289" i="1"/>
  <c r="H995" i="1"/>
  <c r="F995" i="1"/>
  <c r="D995" i="1"/>
  <c r="H943" i="1"/>
  <c r="F943" i="1"/>
  <c r="D943" i="1"/>
  <c r="H1242" i="1" l="1"/>
  <c r="H454" i="1"/>
  <c r="H802" i="1"/>
  <c r="H453" i="1"/>
  <c r="H647" i="1"/>
  <c r="F1242" i="1"/>
  <c r="D1242" i="1"/>
  <c r="F454" i="1"/>
  <c r="D454" i="1"/>
  <c r="F802" i="1"/>
  <c r="D802" i="1"/>
  <c r="F453" i="1"/>
  <c r="D453" i="1"/>
  <c r="F647" i="1"/>
  <c r="D647" i="1"/>
  <c r="H133" i="1"/>
  <c r="F133" i="1"/>
  <c r="D133" i="1"/>
  <c r="H1030" i="1"/>
  <c r="F1030" i="1"/>
  <c r="D1030" i="1"/>
  <c r="H1206" i="1"/>
  <c r="F1206" i="1"/>
  <c r="D1206" i="1"/>
  <c r="H1228" i="1"/>
  <c r="F1228" i="1"/>
  <c r="D1228" i="1"/>
  <c r="H1188" i="1"/>
  <c r="F1188" i="1"/>
  <c r="D1188" i="1"/>
  <c r="H1234" i="1"/>
  <c r="F1234" i="1"/>
  <c r="D1234" i="1"/>
  <c r="H714" i="1" l="1"/>
  <c r="F714" i="1"/>
  <c r="D714" i="1"/>
  <c r="H1022" i="1"/>
  <c r="F1022" i="1"/>
  <c r="D1022" i="1"/>
  <c r="H831" i="1"/>
  <c r="F831" i="1"/>
  <c r="D831" i="1"/>
  <c r="H922" i="1"/>
  <c r="F922" i="1"/>
  <c r="D922" i="1"/>
  <c r="H1056" i="1"/>
  <c r="F1056" i="1"/>
  <c r="D1056" i="1"/>
  <c r="H288" i="1"/>
  <c r="F288" i="1"/>
  <c r="D288" i="1"/>
  <c r="H858" i="1"/>
  <c r="F858" i="1"/>
  <c r="D858" i="1"/>
  <c r="H101" i="1"/>
  <c r="F101" i="1"/>
  <c r="D101" i="1"/>
  <c r="H373" i="1"/>
  <c r="F373" i="1"/>
  <c r="D373" i="1"/>
  <c r="H676" i="1"/>
  <c r="F676" i="1"/>
  <c r="D676" i="1"/>
  <c r="H443" i="1"/>
  <c r="H987" i="1"/>
  <c r="H147" i="1"/>
  <c r="H509" i="1"/>
  <c r="H508" i="1"/>
  <c r="F443" i="1"/>
  <c r="D443" i="1"/>
  <c r="F987" i="1"/>
  <c r="D987" i="1"/>
  <c r="F147" i="1"/>
  <c r="D147" i="1"/>
  <c r="F509" i="1"/>
  <c r="D509" i="1"/>
  <c r="F508" i="1"/>
  <c r="D508" i="1"/>
  <c r="H870" i="1" l="1"/>
  <c r="F870" i="1"/>
  <c r="H559" i="1"/>
  <c r="H882" i="1"/>
  <c r="H442" i="1"/>
  <c r="H902" i="1"/>
  <c r="D870" i="1"/>
  <c r="F559" i="1"/>
  <c r="D559" i="1"/>
  <c r="F882" i="1"/>
  <c r="D882" i="1"/>
  <c r="F442" i="1"/>
  <c r="D442" i="1"/>
  <c r="F902" i="1"/>
  <c r="D902" i="1"/>
  <c r="H42" i="1"/>
  <c r="H1245" i="1"/>
  <c r="H98" i="1"/>
  <c r="H1221" i="1"/>
  <c r="H901" i="1"/>
  <c r="H153" i="1"/>
  <c r="H18" i="1"/>
  <c r="H52" i="1"/>
  <c r="H122" i="1"/>
  <c r="H51" i="1"/>
  <c r="H621" i="1"/>
  <c r="H1107" i="1"/>
  <c r="H646" i="1"/>
  <c r="H869" i="1"/>
  <c r="H1055" i="1"/>
  <c r="H428" i="1"/>
  <c r="H816" i="1"/>
  <c r="H545" i="1"/>
  <c r="H692" i="1"/>
  <c r="H789" i="1"/>
  <c r="F42" i="1"/>
  <c r="D42" i="1"/>
  <c r="F1245" i="1"/>
  <c r="D1245" i="1"/>
  <c r="F98" i="1"/>
  <c r="D98" i="1"/>
  <c r="F1221" i="1"/>
  <c r="D1221" i="1"/>
  <c r="F901" i="1"/>
  <c r="D901" i="1"/>
  <c r="F153" i="1"/>
  <c r="D153" i="1"/>
  <c r="F18" i="1"/>
  <c r="D18" i="1"/>
  <c r="F52" i="1"/>
  <c r="D52" i="1"/>
  <c r="F122" i="1"/>
  <c r="D122" i="1"/>
  <c r="F51" i="1"/>
  <c r="D51" i="1"/>
  <c r="F621" i="1"/>
  <c r="D621" i="1"/>
  <c r="F1107" i="1"/>
  <c r="D1107" i="1"/>
  <c r="F646" i="1"/>
  <c r="D646" i="1"/>
  <c r="F869" i="1"/>
  <c r="D869" i="1"/>
  <c r="F1055" i="1"/>
  <c r="D1055" i="1"/>
  <c r="F428" i="1"/>
  <c r="D428" i="1"/>
  <c r="F816" i="1"/>
  <c r="D816" i="1"/>
  <c r="F545" i="1"/>
  <c r="D545" i="1"/>
  <c r="F692" i="1"/>
  <c r="D692" i="1"/>
  <c r="F789" i="1"/>
  <c r="D789" i="1"/>
  <c r="H1155" i="1" l="1"/>
  <c r="H1148" i="1"/>
  <c r="H950" i="1"/>
  <c r="H259" i="1"/>
  <c r="H979" i="1"/>
  <c r="F1155" i="1"/>
  <c r="D1155" i="1"/>
  <c r="F1148" i="1"/>
  <c r="D1148" i="1"/>
  <c r="F950" i="1"/>
  <c r="D950" i="1"/>
  <c r="F259" i="1"/>
  <c r="D259" i="1"/>
  <c r="F979" i="1"/>
  <c r="D979" i="1"/>
  <c r="H190" i="1" l="1"/>
  <c r="H268" i="1"/>
  <c r="H287" i="1"/>
  <c r="H326" i="1"/>
  <c r="H675" i="1"/>
  <c r="F190" i="1"/>
  <c r="D190" i="1"/>
  <c r="F268" i="1"/>
  <c r="D268" i="1"/>
  <c r="F287" i="1"/>
  <c r="D287" i="1"/>
  <c r="F326" i="1"/>
  <c r="D326" i="1"/>
  <c r="F675" i="1"/>
  <c r="D675" i="1"/>
  <c r="H645" i="1" l="1"/>
  <c r="H781" i="1"/>
  <c r="H684" i="1"/>
  <c r="H418" i="1"/>
  <c r="H969" i="1"/>
  <c r="F645" i="1"/>
  <c r="D645" i="1"/>
  <c r="F781" i="1"/>
  <c r="D781" i="1"/>
  <c r="F684" i="1"/>
  <c r="D684" i="1"/>
  <c r="F418" i="1"/>
  <c r="D418" i="1"/>
  <c r="F969" i="1"/>
  <c r="D969" i="1"/>
  <c r="H143" i="1" l="1"/>
  <c r="F143" i="1"/>
  <c r="D143" i="1"/>
  <c r="H507" i="1"/>
  <c r="F507" i="1"/>
  <c r="D507" i="1"/>
  <c r="H277" i="1"/>
  <c r="F277" i="1"/>
  <c r="D277" i="1"/>
  <c r="H401" i="1"/>
  <c r="F401" i="1"/>
  <c r="D401" i="1"/>
  <c r="H436" i="1"/>
  <c r="F436" i="1"/>
  <c r="D436" i="1"/>
  <c r="H1218" i="1"/>
  <c r="F1218" i="1"/>
  <c r="D1218" i="1"/>
  <c r="H386" i="1" l="1"/>
  <c r="H627" i="1"/>
  <c r="F386" i="1"/>
  <c r="D386" i="1"/>
  <c r="F627" i="1"/>
  <c r="D627" i="1"/>
  <c r="H69" i="1" l="1"/>
  <c r="H620" i="1"/>
  <c r="H490" i="1"/>
  <c r="H197" i="1"/>
  <c r="H322" i="1"/>
  <c r="H968" i="1"/>
  <c r="H417" i="1"/>
  <c r="H460" i="1"/>
  <c r="H468" i="1"/>
  <c r="H868" i="1"/>
  <c r="F69" i="1"/>
  <c r="D69" i="1"/>
  <c r="F620" i="1"/>
  <c r="D620" i="1"/>
  <c r="F490" i="1"/>
  <c r="D490" i="1"/>
  <c r="F197" i="1"/>
  <c r="D197" i="1"/>
  <c r="F322" i="1"/>
  <c r="D322" i="1"/>
  <c r="F968" i="1"/>
  <c r="D968" i="1"/>
  <c r="F417" i="1"/>
  <c r="D417" i="1"/>
  <c r="F460" i="1"/>
  <c r="D460" i="1"/>
  <c r="F468" i="1"/>
  <c r="D468" i="1"/>
  <c r="F868" i="1"/>
  <c r="D868" i="1"/>
  <c r="H1217" i="1" l="1"/>
  <c r="H857" i="1"/>
  <c r="H1081" i="1"/>
  <c r="H909" i="1"/>
  <c r="H619" i="1"/>
  <c r="F1217" i="1"/>
  <c r="D1217" i="1"/>
  <c r="F857" i="1"/>
  <c r="D857" i="1"/>
  <c r="F1081" i="1"/>
  <c r="D1081" i="1"/>
  <c r="F909" i="1"/>
  <c r="D909" i="1"/>
  <c r="F619" i="1"/>
  <c r="D619" i="1"/>
  <c r="H1275" i="1"/>
  <c r="H867" i="1"/>
  <c r="H390" i="1"/>
  <c r="H856" i="1"/>
  <c r="H699" i="1"/>
  <c r="F1275" i="1"/>
  <c r="D1275" i="1"/>
  <c r="F867" i="1"/>
  <c r="D867" i="1"/>
  <c r="F390" i="1"/>
  <c r="D390" i="1"/>
  <c r="F856" i="1"/>
  <c r="D856" i="1"/>
  <c r="F699" i="1"/>
  <c r="D699" i="1"/>
  <c r="H441" i="1"/>
  <c r="H1132" i="1"/>
  <c r="H486" i="1"/>
  <c r="H890" i="1"/>
  <c r="H889" i="1"/>
  <c r="F441" i="1"/>
  <c r="D441" i="1"/>
  <c r="F1132" i="1"/>
  <c r="D1132" i="1"/>
  <c r="F486" i="1"/>
  <c r="D486" i="1"/>
  <c r="F890" i="1"/>
  <c r="D890" i="1"/>
  <c r="F889" i="1"/>
  <c r="D889" i="1"/>
  <c r="H427" i="1" l="1"/>
  <c r="H252" i="1"/>
  <c r="H235" i="1"/>
  <c r="H205" i="1"/>
  <c r="H251" i="1"/>
  <c r="H611" i="1"/>
  <c r="F427" i="1"/>
  <c r="D427" i="1"/>
  <c r="F252" i="1"/>
  <c r="D252" i="1"/>
  <c r="F235" i="1"/>
  <c r="D235" i="1"/>
  <c r="F205" i="1"/>
  <c r="D205" i="1"/>
  <c r="F251" i="1"/>
  <c r="D251" i="1"/>
  <c r="H942" i="1" l="1"/>
  <c r="H1012" i="1"/>
  <c r="F611" i="1"/>
  <c r="D611" i="1"/>
  <c r="F942" i="1"/>
  <c r="D942" i="1"/>
  <c r="F1012" i="1"/>
  <c r="D1012" i="1"/>
  <c r="H762" i="1"/>
  <c r="H544" i="1"/>
  <c r="H223" i="1"/>
  <c r="F223" i="1"/>
  <c r="H936" i="1"/>
  <c r="H1125" i="1"/>
  <c r="F762" i="1"/>
  <c r="D762" i="1"/>
  <c r="F544" i="1"/>
  <c r="D544" i="1"/>
  <c r="D223" i="1"/>
  <c r="F936" i="1"/>
  <c r="D936" i="1"/>
  <c r="F1125" i="1"/>
  <c r="D1125" i="1"/>
  <c r="H967" i="1" l="1"/>
  <c r="H908" i="1"/>
  <c r="H881" i="1"/>
  <c r="H1199" i="1"/>
  <c r="H1240" i="1"/>
  <c r="F967" i="1"/>
  <c r="D967" i="1"/>
  <c r="F908" i="1"/>
  <c r="D908" i="1"/>
  <c r="F881" i="1"/>
  <c r="D881" i="1"/>
  <c r="F1199" i="1"/>
  <c r="D1199" i="1"/>
  <c r="F1240" i="1"/>
  <c r="D1240" i="1"/>
  <c r="H1211" i="1" l="1"/>
  <c r="H1106" i="1"/>
  <c r="H1124" i="1"/>
  <c r="H1100" i="1"/>
  <c r="F1211" i="1"/>
  <c r="D1211" i="1"/>
  <c r="F1106" i="1"/>
  <c r="D1106" i="1"/>
  <c r="H1233" i="1"/>
  <c r="F1233" i="1"/>
  <c r="D1233" i="1"/>
  <c r="F1124" i="1"/>
  <c r="D1124" i="1"/>
  <c r="F1100" i="1"/>
  <c r="D1100" i="1"/>
  <c r="H728" i="1" l="1"/>
  <c r="H949" i="1"/>
  <c r="H232" i="1"/>
  <c r="H485" i="1"/>
  <c r="H215" i="1"/>
  <c r="F728" i="1"/>
  <c r="D728" i="1"/>
  <c r="F949" i="1"/>
  <c r="D949" i="1"/>
  <c r="F232" i="1"/>
  <c r="D232" i="1"/>
  <c r="F485" i="1"/>
  <c r="D485" i="1"/>
  <c r="F215" i="1"/>
  <c r="D215" i="1"/>
  <c r="H568" i="1" l="1"/>
  <c r="H888" i="1"/>
  <c r="H742" i="1"/>
  <c r="H532" i="1"/>
  <c r="F532" i="1"/>
  <c r="H844" i="1"/>
  <c r="H674" i="1"/>
  <c r="H657" i="1"/>
  <c r="H533" i="1"/>
  <c r="H610" i="1"/>
  <c r="F674" i="1"/>
  <c r="D674" i="1"/>
  <c r="F657" i="1"/>
  <c r="D657" i="1"/>
  <c r="F533" i="1"/>
  <c r="D533" i="1"/>
  <c r="F610" i="1"/>
  <c r="D610" i="1"/>
  <c r="F568" i="1"/>
  <c r="D568" i="1"/>
  <c r="F888" i="1"/>
  <c r="D888" i="1"/>
  <c r="F742" i="1"/>
  <c r="D742" i="1"/>
  <c r="D532" i="1"/>
  <c r="F844" i="1"/>
  <c r="D844" i="1"/>
  <c r="H644" i="1" l="1"/>
  <c r="H961" i="1" l="1"/>
  <c r="H928" i="1"/>
  <c r="H880" i="1"/>
  <c r="H838" i="1"/>
  <c r="H780" i="1"/>
  <c r="H1035" i="1"/>
  <c r="F928" i="1"/>
  <c r="D928" i="1"/>
  <c r="F880" i="1"/>
  <c r="D880" i="1"/>
  <c r="F838" i="1"/>
  <c r="D838" i="1"/>
  <c r="F780" i="1"/>
  <c r="D780" i="1"/>
  <c r="F1035" i="1"/>
  <c r="D1035" i="1"/>
  <c r="H978" i="1"/>
  <c r="H986" i="1"/>
  <c r="H941" i="1"/>
  <c r="H966" i="1"/>
  <c r="H1203" i="1"/>
  <c r="H821" i="1"/>
  <c r="F961" i="1"/>
  <c r="D961" i="1"/>
  <c r="F978" i="1"/>
  <c r="D978" i="1"/>
  <c r="F986" i="1"/>
  <c r="D986" i="1"/>
  <c r="F941" i="1"/>
  <c r="D941" i="1"/>
  <c r="F966" i="1"/>
  <c r="D966" i="1"/>
  <c r="F644" i="1"/>
  <c r="D644" i="1"/>
  <c r="F1203" i="1"/>
  <c r="D1203" i="1"/>
  <c r="F821" i="1"/>
  <c r="D821" i="1"/>
  <c r="H1290" i="1" l="1"/>
  <c r="H1252" i="1"/>
  <c r="H1287" i="1"/>
  <c r="H1239" i="1"/>
  <c r="H1216" i="1"/>
  <c r="H907" i="1"/>
  <c r="H1154" i="1"/>
  <c r="H1163" i="1"/>
  <c r="H1118" i="1"/>
  <c r="H985" i="1"/>
  <c r="F1290" i="1"/>
  <c r="D1290" i="1"/>
  <c r="F1252" i="1"/>
  <c r="D1252" i="1"/>
  <c r="F1287" i="1"/>
  <c r="D1287" i="1"/>
  <c r="F1239" i="1"/>
  <c r="D1239" i="1"/>
  <c r="F1216" i="1"/>
  <c r="D1216" i="1"/>
  <c r="F907" i="1"/>
  <c r="D907" i="1"/>
  <c r="F1154" i="1"/>
  <c r="D1154" i="1"/>
  <c r="F1163" i="1"/>
  <c r="D1163" i="1"/>
  <c r="F1118" i="1"/>
  <c r="D1118" i="1"/>
  <c r="F985" i="1"/>
  <c r="D985" i="1"/>
  <c r="H815" i="1"/>
  <c r="H558" i="1"/>
  <c r="H1003" i="1"/>
  <c r="H866" i="1"/>
  <c r="H1010" i="1"/>
  <c r="F815" i="1"/>
  <c r="D815" i="1"/>
  <c r="F558" i="1"/>
  <c r="D558" i="1"/>
  <c r="F1003" i="1"/>
  <c r="D1003" i="1"/>
  <c r="F866" i="1"/>
  <c r="D866" i="1"/>
  <c r="F1010" i="1"/>
  <c r="D1010" i="1"/>
  <c r="H1292" i="1" l="1"/>
  <c r="H1286" i="1"/>
  <c r="H1259" i="1"/>
  <c r="H1285" i="1"/>
  <c r="H1181" i="1"/>
  <c r="H656" i="1"/>
  <c r="H467" i="1"/>
  <c r="H335" i="1"/>
  <c r="H1139" i="1"/>
  <c r="H1162" i="1"/>
  <c r="F1139" i="1"/>
  <c r="D1139" i="1"/>
  <c r="F1162" i="1"/>
  <c r="D1162" i="1"/>
  <c r="F1292" i="1"/>
  <c r="D1292" i="1"/>
  <c r="F1286" i="1"/>
  <c r="D1286" i="1"/>
  <c r="F1259" i="1"/>
  <c r="D1259" i="1"/>
  <c r="F1285" i="1"/>
  <c r="D1285" i="1"/>
  <c r="F1181" i="1"/>
  <c r="D1181" i="1"/>
  <c r="F656" i="1"/>
  <c r="D656" i="1"/>
  <c r="F467" i="1"/>
  <c r="D467" i="1"/>
  <c r="F335" i="1"/>
  <c r="D335" i="1"/>
  <c r="H727" i="1"/>
  <c r="H385" i="1"/>
  <c r="H770" i="1"/>
  <c r="H713" i="1"/>
  <c r="H501" i="1"/>
  <c r="F727" i="1"/>
  <c r="D727" i="1"/>
  <c r="F385" i="1"/>
  <c r="D385" i="1"/>
  <c r="F770" i="1"/>
  <c r="D770" i="1"/>
  <c r="F713" i="1"/>
  <c r="D713" i="1"/>
  <c r="F501" i="1"/>
  <c r="D501" i="1"/>
  <c r="H1039" i="1"/>
  <c r="H543" i="1"/>
  <c r="H451" i="1"/>
  <c r="H618" i="1"/>
  <c r="H601" i="1"/>
  <c r="F1039" i="1"/>
  <c r="D1039" i="1"/>
  <c r="F543" i="1"/>
  <c r="D543" i="1"/>
  <c r="F451" i="1"/>
  <c r="D451" i="1"/>
  <c r="F618" i="1"/>
  <c r="D618" i="1"/>
  <c r="F601" i="1"/>
  <c r="D601" i="1"/>
  <c r="H1009" i="1" l="1"/>
  <c r="H1123" i="1"/>
  <c r="H1093" i="1"/>
  <c r="H1021" i="1"/>
  <c r="H1074" i="1"/>
  <c r="F1123" i="1"/>
  <c r="D1123" i="1"/>
  <c r="F1009" i="1"/>
  <c r="D1009" i="1"/>
  <c r="F1093" i="1"/>
  <c r="D1093" i="1"/>
  <c r="F1021" i="1"/>
  <c r="D1021" i="1"/>
  <c r="F1074" i="1"/>
  <c r="D1074" i="1"/>
  <c r="H1080" i="1" l="1"/>
  <c r="H1020" i="1"/>
  <c r="H1186" i="1"/>
  <c r="H1054" i="1"/>
  <c r="H1053" i="1"/>
  <c r="F1080" i="1"/>
  <c r="D1080" i="1"/>
  <c r="F1020" i="1"/>
  <c r="D1020" i="1"/>
  <c r="F1186" i="1"/>
  <c r="D1186" i="1"/>
  <c r="F1054" i="1"/>
  <c r="D1054" i="1"/>
  <c r="F1053" i="1"/>
  <c r="D1053" i="1"/>
  <c r="H1112" i="1" l="1"/>
  <c r="H609" i="1"/>
  <c r="H948" i="1"/>
  <c r="H751" i="1"/>
  <c r="H900" i="1"/>
  <c r="F1112" i="1"/>
  <c r="D1112" i="1"/>
  <c r="F609" i="1"/>
  <c r="D609" i="1"/>
  <c r="F948" i="1"/>
  <c r="D948" i="1"/>
  <c r="F751" i="1"/>
  <c r="D751" i="1"/>
  <c r="F900" i="1"/>
  <c r="D900" i="1"/>
  <c r="H400" i="1" l="1"/>
  <c r="H707" i="1"/>
  <c r="H1145" i="1"/>
  <c r="H984" i="1"/>
  <c r="F400" i="1"/>
  <c r="D400" i="1"/>
  <c r="F707" i="1"/>
  <c r="D707" i="1"/>
  <c r="F1145" i="1"/>
  <c r="D1145" i="1"/>
  <c r="F984" i="1"/>
  <c r="D984" i="1"/>
  <c r="H314" i="1"/>
  <c r="H399" i="1"/>
  <c r="F314" i="1"/>
  <c r="D314" i="1"/>
  <c r="F399" i="1"/>
  <c r="D399" i="1"/>
  <c r="H940" i="1" l="1"/>
  <c r="H712" i="1"/>
  <c r="H726" i="1"/>
  <c r="H779" i="1"/>
  <c r="F940" i="1"/>
  <c r="D940" i="1"/>
  <c r="F712" i="1"/>
  <c r="D712" i="1"/>
  <c r="F726" i="1"/>
  <c r="D726" i="1"/>
  <c r="F779" i="1"/>
  <c r="D779" i="1"/>
  <c r="H983" i="1"/>
  <c r="H977" i="1"/>
  <c r="H1065" i="1"/>
  <c r="H741" i="1"/>
  <c r="F983" i="1"/>
  <c r="D983" i="1"/>
  <c r="F977" i="1"/>
  <c r="D977" i="1"/>
  <c r="F1065" i="1"/>
  <c r="D1065" i="1"/>
  <c r="F741" i="1"/>
  <c r="D741" i="1"/>
  <c r="H993" i="1" l="1"/>
  <c r="H750" i="1"/>
  <c r="H813" i="1"/>
  <c r="H865" i="1"/>
  <c r="F993" i="1"/>
  <c r="D993" i="1"/>
  <c r="F750" i="1"/>
  <c r="D750" i="1"/>
  <c r="F813" i="1"/>
  <c r="D813" i="1"/>
  <c r="F865" i="1"/>
  <c r="D865" i="1"/>
  <c r="H1002" i="1" l="1"/>
  <c r="F1002" i="1"/>
  <c r="D1002" i="1"/>
  <c r="H626" i="1"/>
  <c r="F626" i="1"/>
  <c r="D626" i="1"/>
  <c r="H1029" i="1" l="1"/>
  <c r="H528" i="1"/>
  <c r="F1029" i="1"/>
  <c r="D1029" i="1"/>
  <c r="F528" i="1"/>
  <c r="D528" i="1"/>
  <c r="H879" i="1" l="1"/>
  <c r="H1001" i="1"/>
  <c r="F879" i="1"/>
  <c r="D879" i="1"/>
  <c r="F1001" i="1"/>
  <c r="D1001" i="1"/>
  <c r="H788" i="1" l="1"/>
  <c r="F788" i="1"/>
  <c r="D788" i="1"/>
  <c r="H812" i="1"/>
  <c r="F812" i="1"/>
  <c r="D812" i="1"/>
  <c r="H578" i="1" l="1"/>
  <c r="H432" i="1"/>
  <c r="F578" i="1"/>
  <c r="D578" i="1"/>
  <c r="F432" i="1"/>
  <c r="D432" i="1"/>
  <c r="H351" i="1" l="1"/>
  <c r="F351" i="1"/>
  <c r="D351" i="1"/>
  <c r="H855" i="1"/>
  <c r="F855" i="1"/>
  <c r="D855" i="1"/>
  <c r="H769" i="1" l="1"/>
  <c r="F769" i="1"/>
  <c r="D769" i="1"/>
  <c r="H655" i="1"/>
  <c r="F655" i="1"/>
  <c r="D655" i="1"/>
  <c r="H577" i="1" l="1"/>
  <c r="F577" i="1"/>
  <c r="D577" i="1"/>
  <c r="H632" i="1" l="1"/>
  <c r="F632" i="1"/>
  <c r="D632" i="1"/>
  <c r="H935" i="1"/>
  <c r="F935" i="1"/>
  <c r="D935" i="1"/>
  <c r="H643" i="1" l="1"/>
  <c r="F643" i="1"/>
  <c r="D643" i="1"/>
  <c r="H976" i="1" l="1"/>
  <c r="F976" i="1"/>
  <c r="D976" i="1"/>
  <c r="H992" i="1" l="1"/>
  <c r="F992" i="1"/>
  <c r="D992" i="1"/>
  <c r="H673" i="1" l="1"/>
  <c r="F673" i="1"/>
  <c r="D673" i="1"/>
  <c r="H800" i="1"/>
  <c r="F800" i="1"/>
  <c r="D800" i="1"/>
  <c r="H110" i="1" l="1"/>
  <c r="F110" i="1"/>
  <c r="D110" i="1"/>
  <c r="H830" i="1"/>
  <c r="F830" i="1"/>
  <c r="D830" i="1"/>
  <c r="H267" i="1" l="1"/>
  <c r="F267" i="1"/>
  <c r="D267" i="1"/>
  <c r="H294" i="1" l="1"/>
  <c r="F294" i="1"/>
  <c r="D294" i="1"/>
  <c r="H799" i="1"/>
  <c r="F799" i="1"/>
  <c r="D799" i="1"/>
  <c r="H1208" i="1" l="1"/>
  <c r="H1251" i="1"/>
  <c r="F1208" i="1"/>
  <c r="D1208" i="1"/>
  <c r="F1251" i="1"/>
  <c r="D1251" i="1"/>
  <c r="H1052" i="1" l="1"/>
  <c r="F1052" i="1"/>
  <c r="D1052" i="1"/>
  <c r="H576" i="1" l="1"/>
  <c r="F576" i="1"/>
  <c r="D576" i="1"/>
  <c r="H960" i="1" l="1"/>
  <c r="F960" i="1"/>
  <c r="D960" i="1"/>
  <c r="H691" i="1"/>
  <c r="F691" i="1"/>
  <c r="D691" i="1"/>
  <c r="H975" i="1" l="1"/>
  <c r="H829" i="1"/>
  <c r="F829" i="1"/>
  <c r="D829" i="1"/>
  <c r="F975" i="1"/>
  <c r="D975" i="1"/>
  <c r="C3182" i="1" l="1"/>
  <c r="B3175" i="1"/>
  <c r="C3175" i="1" s="1"/>
  <c r="D3169" i="1"/>
  <c r="D3168" i="1"/>
  <c r="C3168" i="1"/>
  <c r="C3169" i="1" s="1"/>
  <c r="C3165" i="1"/>
  <c r="H1293" i="1" l="1"/>
  <c r="F1293" i="1"/>
  <c r="D1293" i="1"/>
  <c r="H321" i="1"/>
  <c r="F321" i="1"/>
  <c r="D321" i="1"/>
  <c r="H557" i="1"/>
  <c r="F557" i="1"/>
  <c r="D557" i="1"/>
  <c r="D3165" i="1" l="1"/>
  <c r="D3164" i="1"/>
  <c r="C3164" i="1"/>
  <c r="H398" i="1" l="1"/>
  <c r="F398" i="1"/>
  <c r="D398" i="1"/>
  <c r="H515" i="1"/>
  <c r="F515" i="1"/>
  <c r="D515" i="1"/>
  <c r="H1256" i="1" l="1"/>
  <c r="F1256" i="1"/>
  <c r="D1256" i="1"/>
  <c r="H934" i="1" l="1"/>
  <c r="F934" i="1"/>
  <c r="D934" i="1"/>
  <c r="H1019" i="1" l="1"/>
  <c r="F1019" i="1"/>
  <c r="D1019" i="1"/>
  <c r="H1099" i="1"/>
  <c r="F1099" i="1"/>
  <c r="D1099" i="1"/>
  <c r="H787" i="1" l="1"/>
  <c r="F787" i="1"/>
  <c r="D787" i="1"/>
  <c r="H1266" i="1" l="1"/>
  <c r="F1266" i="1"/>
  <c r="D1266" i="1"/>
  <c r="H600" i="1"/>
  <c r="F600" i="1"/>
  <c r="D600" i="1"/>
  <c r="H1131" i="1" l="1"/>
  <c r="F1131" i="1"/>
  <c r="D1131" i="1"/>
  <c r="H965" i="1"/>
  <c r="F965" i="1"/>
  <c r="D965" i="1"/>
  <c r="H837" i="1"/>
  <c r="F837" i="1"/>
  <c r="D837" i="1"/>
  <c r="H1018" i="1"/>
  <c r="F1018" i="1"/>
  <c r="D1018" i="1"/>
  <c r="H982" i="1"/>
  <c r="F982" i="1"/>
  <c r="D982" i="1"/>
  <c r="H592" i="1"/>
  <c r="F592" i="1"/>
  <c r="D592" i="1"/>
  <c r="H1205" i="1"/>
  <c r="F1205" i="1"/>
  <c r="D1205" i="1"/>
  <c r="H964" i="1"/>
  <c r="F964" i="1"/>
  <c r="D964" i="1"/>
  <c r="H152" i="1" l="1"/>
  <c r="F152" i="1"/>
  <c r="D152" i="1"/>
  <c r="H1263" i="1" l="1"/>
  <c r="F1263" i="1"/>
  <c r="D1263" i="1"/>
  <c r="H556" i="1" l="1"/>
  <c r="F556" i="1"/>
  <c r="D556" i="1"/>
  <c r="H1060" i="1" l="1"/>
  <c r="F1060" i="1"/>
  <c r="D1060" i="1"/>
  <c r="H1149" i="1" l="1"/>
  <c r="F1149" i="1"/>
  <c r="D1149" i="1"/>
  <c r="H157" i="1" l="1"/>
  <c r="H1046" i="1"/>
  <c r="F157" i="1"/>
  <c r="D157" i="1"/>
  <c r="F1046" i="1"/>
  <c r="D1046" i="1"/>
  <c r="H1161" i="1" l="1"/>
  <c r="F1161" i="1"/>
  <c r="D1161" i="1"/>
  <c r="H416" i="1" l="1"/>
  <c r="F416" i="1"/>
  <c r="D416" i="1"/>
  <c r="H81" i="1" l="1"/>
  <c r="H836" i="1"/>
  <c r="H778" i="1"/>
  <c r="F836" i="1"/>
  <c r="D836" i="1"/>
  <c r="F778" i="1"/>
  <c r="D778" i="1"/>
  <c r="F81" i="1"/>
  <c r="D81" i="1"/>
  <c r="H204" i="1" l="1"/>
  <c r="H132" i="1"/>
  <c r="F204" i="1"/>
  <c r="D204" i="1"/>
  <c r="F132" i="1"/>
  <c r="D132" i="1"/>
  <c r="H1260" i="1" l="1"/>
  <c r="H937" i="1"/>
  <c r="F1260" i="1"/>
  <c r="D1260" i="1"/>
  <c r="F937" i="1"/>
  <c r="D937" i="1"/>
  <c r="H974" i="1" l="1"/>
  <c r="F974" i="1"/>
  <c r="D974" i="1"/>
  <c r="H698" i="1"/>
  <c r="F698" i="1"/>
  <c r="D698" i="1"/>
  <c r="H350" i="1" l="1"/>
  <c r="H310" i="1"/>
  <c r="H186" i="1"/>
  <c r="H258" i="1"/>
  <c r="F350" i="1"/>
  <c r="D350" i="1"/>
  <c r="F310" i="1"/>
  <c r="D310" i="1"/>
  <c r="F186" i="1"/>
  <c r="D186" i="1"/>
  <c r="F258" i="1"/>
  <c r="D258" i="1"/>
  <c r="H1238" i="1" l="1"/>
  <c r="F1238" i="1"/>
  <c r="D1238" i="1"/>
  <c r="H777" i="1" l="1"/>
  <c r="F777" i="1"/>
  <c r="D777" i="1"/>
  <c r="H1147" i="1" l="1"/>
  <c r="F1147" i="1"/>
  <c r="D1147" i="1"/>
  <c r="H1215" i="1"/>
  <c r="F1215" i="1"/>
  <c r="D1215" i="1"/>
  <c r="H749" i="1" l="1"/>
  <c r="F749" i="1"/>
  <c r="D749" i="1"/>
  <c r="H617" i="1" l="1"/>
  <c r="F617" i="1"/>
  <c r="D617" i="1"/>
  <c r="H196" i="1" l="1"/>
  <c r="H760" i="1"/>
  <c r="H1073" i="1"/>
  <c r="H499" i="1"/>
  <c r="F196" i="1"/>
  <c r="D196" i="1"/>
  <c r="F760" i="1"/>
  <c r="D760" i="1"/>
  <c r="F1073" i="1"/>
  <c r="D1073" i="1"/>
  <c r="F499" i="1" l="1"/>
  <c r="D499" i="1"/>
  <c r="H759" i="1" l="1"/>
  <c r="H1210" i="1"/>
  <c r="H37" i="1"/>
  <c r="H608" i="1"/>
  <c r="F759" i="1"/>
  <c r="D759" i="1"/>
  <c r="F1210" i="1"/>
  <c r="D1210" i="1"/>
  <c r="F37" i="1"/>
  <c r="D37" i="1"/>
  <c r="F608" i="1"/>
  <c r="D608" i="1"/>
  <c r="H212" i="1" l="1"/>
  <c r="F212" i="1"/>
  <c r="D212" i="1"/>
  <c r="H711" i="1" l="1"/>
  <c r="F711" i="1"/>
  <c r="D711" i="1"/>
  <c r="H1225" i="1" l="1"/>
  <c r="H776" i="1"/>
  <c r="H1117" i="1"/>
  <c r="H1185" i="1"/>
  <c r="H843" i="1"/>
  <c r="F1225" i="1"/>
  <c r="D1225" i="1"/>
  <c r="F776" i="1"/>
  <c r="D776" i="1"/>
  <c r="F1117" i="1"/>
  <c r="D1117" i="1"/>
  <c r="F1185" i="1"/>
  <c r="D1185" i="1"/>
  <c r="F843" i="1"/>
  <c r="D843" i="1"/>
  <c r="H1079" i="1" l="1"/>
  <c r="F1079" i="1"/>
  <c r="D1079" i="1"/>
  <c r="H599" i="1" l="1"/>
  <c r="F599" i="1"/>
  <c r="D599" i="1"/>
  <c r="H55" i="1" l="1"/>
  <c r="F55" i="1"/>
  <c r="D55" i="1"/>
  <c r="H74" i="1" l="1"/>
  <c r="H175" i="1" l="1"/>
  <c r="F175" i="1"/>
  <c r="D175" i="1"/>
  <c r="H811" i="1" l="1"/>
  <c r="F811" i="1"/>
  <c r="D811" i="1"/>
  <c r="H1138" i="1" l="1"/>
  <c r="F1138" i="1"/>
  <c r="D1138" i="1"/>
  <c r="H575" i="1" l="1"/>
  <c r="F575" i="1"/>
  <c r="D575" i="1"/>
  <c r="H607" i="1" l="1"/>
  <c r="F607" i="1"/>
  <c r="D607" i="1"/>
  <c r="H21" i="1" l="1"/>
  <c r="H245" i="1"/>
  <c r="F21" i="1"/>
  <c r="D21" i="1"/>
  <c r="F245" i="1"/>
  <c r="D245" i="1"/>
  <c r="H142" i="1" l="1"/>
  <c r="F142" i="1"/>
  <c r="D142" i="1"/>
  <c r="H125" i="1"/>
  <c r="F125" i="1"/>
  <c r="D125" i="1"/>
  <c r="H959" i="1"/>
  <c r="F959" i="1"/>
  <c r="D959" i="1"/>
  <c r="H584" i="1"/>
  <c r="F584" i="1"/>
  <c r="D584" i="1"/>
  <c r="H672" i="1"/>
  <c r="F672" i="1"/>
  <c r="D672" i="1"/>
  <c r="H1191" i="1"/>
  <c r="F1191" i="1"/>
  <c r="D1191" i="1"/>
  <c r="H1059" i="1"/>
  <c r="F1059" i="1"/>
  <c r="D1059" i="1"/>
  <c r="H835" i="1"/>
  <c r="F835" i="1"/>
  <c r="D835" i="1"/>
  <c r="H1255" i="1"/>
  <c r="F1255" i="1"/>
  <c r="D1255" i="1"/>
  <c r="H1184" i="1"/>
  <c r="F1184" i="1"/>
  <c r="D1184" i="1"/>
  <c r="H1270" i="1"/>
  <c r="F1270" i="1"/>
  <c r="D1270" i="1"/>
  <c r="H706" i="1"/>
  <c r="F706" i="1"/>
  <c r="D706" i="1"/>
  <c r="H1116" i="1" l="1"/>
  <c r="F1116" i="1"/>
  <c r="D1116" i="1"/>
  <c r="H466" i="1" l="1"/>
  <c r="F466" i="1"/>
  <c r="D466" i="1"/>
  <c r="H7" i="1" l="1"/>
  <c r="F7" i="1"/>
  <c r="D7" i="1"/>
  <c r="H35" i="1" l="1"/>
  <c r="H203" i="1"/>
  <c r="H973" i="1"/>
  <c r="H514" i="1"/>
  <c r="F514" i="1"/>
  <c r="D514" i="1"/>
  <c r="F973" i="1"/>
  <c r="D973" i="1"/>
  <c r="F203" i="1"/>
  <c r="D203" i="1"/>
  <c r="F35" i="1"/>
  <c r="D35" i="1"/>
  <c r="H83" i="1"/>
  <c r="F83" i="1"/>
  <c r="D83" i="1"/>
  <c r="H598" i="1" l="1"/>
  <c r="F598" i="1"/>
  <c r="D598" i="1"/>
  <c r="H531" i="1" l="1"/>
  <c r="F531" i="1"/>
  <c r="D531" i="1"/>
  <c r="H567" i="1" l="1"/>
  <c r="F567" i="1"/>
  <c r="D567" i="1"/>
  <c r="H1264" i="1" l="1"/>
  <c r="F1264" i="1"/>
  <c r="D1264" i="1"/>
  <c r="H887" i="1" l="1"/>
  <c r="H878" i="1"/>
  <c r="F878" i="1"/>
  <c r="D878" i="1"/>
  <c r="F887" i="1"/>
  <c r="D887" i="1"/>
  <c r="H1092" i="1" l="1"/>
  <c r="F1092" i="1" l="1"/>
  <c r="D1092" i="1"/>
  <c r="H340" i="1" l="1"/>
  <c r="F340" i="1"/>
  <c r="D340" i="1"/>
  <c r="H25" i="1" l="1"/>
  <c r="F25" i="1"/>
  <c r="D25" i="1"/>
  <c r="H214" i="1" l="1"/>
  <c r="F214" i="1"/>
  <c r="D214" i="1"/>
  <c r="H75" i="1" l="1"/>
  <c r="F75" i="1"/>
  <c r="D75" i="1"/>
  <c r="H10" i="1" l="1"/>
  <c r="F10" i="1"/>
  <c r="D10" i="1"/>
  <c r="H250" i="1" l="1"/>
  <c r="F250" i="1"/>
  <c r="D250" i="1"/>
  <c r="H353" i="1"/>
  <c r="F353" i="1"/>
  <c r="D353" i="1"/>
  <c r="H28" i="1" l="1"/>
  <c r="F28" i="1"/>
  <c r="D28" i="1"/>
  <c r="H1064" i="1" l="1"/>
  <c r="F1064" i="1"/>
  <c r="D1064" i="1"/>
  <c r="H114" i="1" l="1"/>
  <c r="H1072" i="1" l="1"/>
  <c r="F1072" i="1"/>
  <c r="D1072" i="1"/>
  <c r="H276" i="1" l="1"/>
  <c r="F276" i="1"/>
  <c r="D276" i="1"/>
  <c r="H244" i="1" l="1"/>
  <c r="F244" i="1"/>
  <c r="D244" i="1"/>
  <c r="H482" i="1" l="1"/>
  <c r="F482" i="1"/>
  <c r="D482" i="1"/>
  <c r="H616" i="1" l="1"/>
  <c r="F616" i="1"/>
  <c r="D616" i="1"/>
  <c r="H654" i="1" l="1"/>
  <c r="F654" i="1"/>
  <c r="D654" i="1"/>
  <c r="H1160" i="1" l="1"/>
  <c r="F1160" i="1"/>
  <c r="D1160" i="1"/>
  <c r="H231" i="1" l="1"/>
  <c r="F231" i="1"/>
  <c r="D231" i="1"/>
  <c r="H653" i="1" l="1"/>
  <c r="H150" i="1" l="1"/>
  <c r="F150" i="1"/>
  <c r="D150" i="1"/>
  <c r="H683" i="1" l="1"/>
  <c r="H1102" i="1"/>
  <c r="F1102" i="1"/>
  <c r="D1102" i="1"/>
  <c r="F683" i="1"/>
  <c r="D683" i="1"/>
  <c r="D1249" i="1" l="1"/>
  <c r="F1249" i="1"/>
  <c r="H1249" i="1"/>
  <c r="H933" i="1" l="1"/>
  <c r="F933" i="1"/>
  <c r="D933" i="1"/>
  <c r="H163" i="1" l="1"/>
  <c r="F163" i="1"/>
  <c r="D163" i="1"/>
  <c r="H64" i="1" l="1"/>
  <c r="F64" i="1"/>
  <c r="D64" i="1"/>
  <c r="H606" i="1" l="1"/>
  <c r="F606" i="1"/>
  <c r="D606" i="1"/>
  <c r="H13" i="1" l="1"/>
  <c r="F13" i="1"/>
  <c r="D13" i="1"/>
  <c r="H1248" i="1" l="1"/>
  <c r="H932" i="1" l="1"/>
  <c r="F932" i="1"/>
  <c r="D932" i="1"/>
  <c r="H221" i="1" l="1"/>
  <c r="F221" i="1"/>
  <c r="D221" i="1"/>
  <c r="H1130" i="1" l="1"/>
  <c r="F1130" i="1"/>
  <c r="D1130" i="1"/>
  <c r="H1281" i="1" l="1"/>
  <c r="F1281" i="1"/>
  <c r="D1281" i="1"/>
  <c r="H213" i="1" l="1"/>
  <c r="F213" i="1"/>
  <c r="D213" i="1"/>
  <c r="H1122" i="1" l="1"/>
  <c r="F1122" i="1"/>
  <c r="D1122" i="1"/>
  <c r="H671" i="1" l="1"/>
  <c r="F671" i="1"/>
  <c r="D671" i="1"/>
  <c r="H864" i="1" l="1"/>
  <c r="F864" i="1"/>
  <c r="D864" i="1"/>
  <c r="H670" i="1" l="1"/>
  <c r="F670" i="1"/>
  <c r="D670" i="1"/>
  <c r="H1241" i="1" l="1"/>
  <c r="H863" i="1" l="1"/>
  <c r="F863" i="1"/>
  <c r="D863" i="1"/>
  <c r="H219" i="1" l="1"/>
  <c r="F219" i="1"/>
  <c r="D219" i="1"/>
  <c r="H105" i="1" l="1"/>
  <c r="H1045" i="1"/>
  <c r="H149" i="1"/>
  <c r="F105" i="1"/>
  <c r="D105" i="1"/>
  <c r="F1045" i="1"/>
  <c r="D1045" i="1"/>
  <c r="F149" i="1"/>
  <c r="D149" i="1"/>
  <c r="H109" i="1" l="1"/>
  <c r="F109" i="1"/>
  <c r="D109" i="1"/>
  <c r="H91" i="1" l="1"/>
  <c r="F91" i="1"/>
  <c r="D91" i="1"/>
  <c r="H1198" i="1" l="1"/>
  <c r="F1198" i="1"/>
  <c r="D1198" i="1"/>
  <c r="H1008" i="1" l="1"/>
  <c r="F1008" i="1"/>
  <c r="D1008" i="1"/>
  <c r="H313" i="1" l="1"/>
  <c r="F313" i="1"/>
  <c r="D313" i="1"/>
  <c r="H484" i="1" l="1"/>
  <c r="H415" i="1" l="1"/>
  <c r="F415" i="1"/>
  <c r="D415" i="1"/>
  <c r="H113" i="1" l="1"/>
  <c r="F113" i="1"/>
  <c r="D113" i="1"/>
  <c r="I42" i="2" l="1"/>
  <c r="G42" i="2"/>
  <c r="E42" i="2"/>
  <c r="C42" i="2"/>
  <c r="I28" i="2"/>
  <c r="I41" i="2" s="1"/>
  <c r="G28" i="2"/>
  <c r="G41" i="2" s="1"/>
  <c r="E28" i="2"/>
  <c r="E41" i="2" s="1"/>
  <c r="C28" i="2"/>
  <c r="C41" i="2" s="1"/>
  <c r="I35" i="2"/>
  <c r="I34" i="2"/>
  <c r="H6" i="2"/>
  <c r="F6" i="2"/>
  <c r="D6" i="2"/>
  <c r="H7" i="2"/>
  <c r="F7" i="2"/>
  <c r="D7" i="2"/>
  <c r="H8" i="2"/>
  <c r="F8" i="2"/>
  <c r="D8" i="2"/>
  <c r="H9" i="2"/>
  <c r="F9" i="2"/>
  <c r="D9" i="2"/>
  <c r="H10" i="2"/>
  <c r="F10" i="2"/>
  <c r="D10" i="2"/>
  <c r="H11" i="2"/>
  <c r="F11" i="2"/>
  <c r="D11" i="2"/>
  <c r="H13" i="2"/>
  <c r="F13" i="2"/>
  <c r="D13" i="2"/>
  <c r="H12" i="2"/>
  <c r="F12" i="2"/>
  <c r="D12" i="2"/>
  <c r="H14" i="2"/>
  <c r="F14" i="2"/>
  <c r="D14" i="2"/>
  <c r="H15" i="2"/>
  <c r="F15" i="2"/>
  <c r="D15" i="2"/>
  <c r="H16" i="2"/>
  <c r="F16" i="2"/>
  <c r="D16" i="2"/>
  <c r="H17" i="2"/>
  <c r="F17" i="2"/>
  <c r="D17" i="2"/>
  <c r="H18" i="2"/>
  <c r="F18" i="2"/>
  <c r="D18" i="2"/>
  <c r="H19" i="2"/>
  <c r="F19" i="2"/>
  <c r="D19" i="2"/>
  <c r="H20" i="2"/>
  <c r="F20" i="2"/>
  <c r="D20" i="2"/>
  <c r="H21" i="2"/>
  <c r="F21" i="2"/>
  <c r="D21" i="2"/>
  <c r="H22" i="2"/>
  <c r="F22" i="2"/>
  <c r="D22" i="2"/>
  <c r="H23" i="2"/>
  <c r="F23" i="2"/>
  <c r="D23" i="2"/>
  <c r="H24" i="2"/>
  <c r="F24" i="2"/>
  <c r="D24" i="2"/>
  <c r="H25" i="2"/>
  <c r="F25" i="2"/>
  <c r="D25" i="2"/>
  <c r="H26" i="2"/>
  <c r="F26" i="2"/>
  <c r="D2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H597" i="1"/>
  <c r="F597" i="1"/>
  <c r="D597" i="1"/>
  <c r="H28" i="2" l="1"/>
  <c r="H41" i="2" s="1"/>
  <c r="F28" i="2"/>
  <c r="F41" i="2" s="1"/>
  <c r="D28" i="2"/>
  <c r="D41" i="2" s="1"/>
  <c r="I44" i="2"/>
  <c r="C44" i="2"/>
  <c r="E44" i="2"/>
  <c r="I29" i="2"/>
  <c r="G44" i="2"/>
  <c r="H820" i="1"/>
  <c r="F820" i="1"/>
  <c r="D820" i="1"/>
  <c r="H187" i="1" l="1"/>
  <c r="F187" i="1"/>
  <c r="D187" i="1"/>
  <c r="H669" i="1" l="1"/>
  <c r="F669" i="1"/>
  <c r="D669" i="1"/>
  <c r="H1044" i="1" l="1"/>
  <c r="F1044" i="1"/>
  <c r="D1044" i="1"/>
  <c r="H131" i="1" l="1"/>
  <c r="F131" i="1"/>
  <c r="D131" i="1"/>
  <c r="H615" i="1" l="1"/>
  <c r="F615" i="1"/>
  <c r="D615" i="1"/>
  <c r="H194" i="1" l="1"/>
  <c r="F194" i="1"/>
  <c r="D194" i="1"/>
  <c r="H519" i="1" l="1"/>
  <c r="F519" i="1"/>
  <c r="D519" i="1"/>
  <c r="H257" i="1" l="1"/>
  <c r="F257" i="1"/>
  <c r="D257" i="1"/>
  <c r="H266" i="1" l="1"/>
  <c r="F266" i="1"/>
  <c r="D266" i="1"/>
  <c r="H320" i="1" l="1"/>
  <c r="F320" i="1"/>
  <c r="D320" i="1"/>
  <c r="H886" i="1" l="1"/>
  <c r="F886" i="1"/>
  <c r="D886" i="1"/>
  <c r="H384" i="1" l="1"/>
  <c r="F384" i="1"/>
  <c r="D384" i="1"/>
  <c r="H574" i="1" l="1"/>
  <c r="F574" i="1"/>
  <c r="D574" i="1"/>
  <c r="H530" i="1" l="1"/>
  <c r="F530" i="1"/>
  <c r="D530" i="1"/>
  <c r="H339" i="1" l="1"/>
  <c r="F339" i="1"/>
  <c r="D339" i="1"/>
  <c r="H1028" i="1" l="1"/>
  <c r="F1028" i="1"/>
  <c r="D1028" i="1"/>
  <c r="H625" i="1" l="1"/>
  <c r="F625" i="1"/>
  <c r="D625" i="1"/>
  <c r="H426" i="1" l="1"/>
  <c r="F426" i="1"/>
  <c r="D426" i="1"/>
  <c r="H529" i="1" l="1"/>
  <c r="F529" i="1"/>
  <c r="D529" i="1"/>
  <c r="H452" i="1" l="1"/>
  <c r="F452" i="1"/>
  <c r="D452" i="1"/>
  <c r="H596" i="1" l="1"/>
  <c r="F596" i="1"/>
  <c r="D596" i="1"/>
  <c r="H958" i="1" l="1"/>
  <c r="F958" i="1"/>
  <c r="D958" i="1"/>
  <c r="H957" i="1" l="1"/>
  <c r="F957" i="1"/>
  <c r="D957" i="1"/>
  <c r="H947" i="1" l="1"/>
  <c r="F947" i="1"/>
  <c r="D947" i="1"/>
  <c r="H338" i="1" l="1"/>
  <c r="F338" i="1"/>
  <c r="D338" i="1"/>
  <c r="H1043" i="1" l="1"/>
  <c r="F1043" i="1"/>
  <c r="D1043" i="1"/>
  <c r="H725" i="1" l="1"/>
  <c r="F725" i="1"/>
  <c r="D725" i="1"/>
  <c r="H1244" i="1" l="1"/>
  <c r="F1244" i="1"/>
  <c r="D1244" i="1"/>
  <c r="H705" i="1" l="1"/>
  <c r="F705" i="1"/>
  <c r="D705" i="1"/>
  <c r="H112" i="1" l="1"/>
  <c r="F112" i="1"/>
  <c r="D112" i="1"/>
  <c r="H518" i="1" l="1"/>
  <c r="F518" i="1"/>
  <c r="D518" i="1"/>
  <c r="H1277" i="1" l="1"/>
  <c r="F1277" i="1"/>
  <c r="D1277" i="1"/>
  <c r="H1051" i="1" l="1"/>
  <c r="F1051" i="1"/>
  <c r="D1051" i="1"/>
  <c r="H293" i="1" l="1"/>
  <c r="F293" i="1"/>
  <c r="D293" i="1"/>
  <c r="H1179" i="1" l="1"/>
  <c r="F1179" i="1"/>
  <c r="D1179" i="1"/>
  <c r="H517" i="1" l="1"/>
  <c r="F517" i="1"/>
  <c r="D517" i="1"/>
  <c r="H14" i="1" l="1"/>
  <c r="F14" i="1"/>
  <c r="D14" i="1"/>
  <c r="H842" i="1" l="1"/>
  <c r="F842" i="1"/>
  <c r="D842" i="1"/>
  <c r="H249" i="1" l="1"/>
  <c r="F249" i="1"/>
  <c r="D249" i="1"/>
  <c r="H481" i="1" l="1"/>
  <c r="F481" i="1"/>
  <c r="D481" i="1"/>
  <c r="H690" i="1" l="1"/>
  <c r="F690" i="1"/>
  <c r="D690" i="1"/>
  <c r="H1129" i="1" l="1"/>
  <c r="F1129" i="1" l="1"/>
  <c r="D1129" i="1"/>
  <c r="H516" i="1" l="1"/>
  <c r="F516" i="1"/>
  <c r="D516" i="1"/>
  <c r="H301" i="1" l="1"/>
  <c r="F301" i="1"/>
  <c r="D301" i="1"/>
  <c r="H682" i="1" l="1"/>
  <c r="F682" i="1"/>
  <c r="D682" i="1"/>
  <c r="H220" i="1" l="1"/>
  <c r="F220" i="1"/>
  <c r="D220" i="1"/>
  <c r="H828" i="1" l="1"/>
  <c r="F828" i="1"/>
  <c r="D828" i="1"/>
  <c r="H45" i="1" l="1"/>
  <c r="F45" i="1"/>
  <c r="D45" i="1"/>
  <c r="H397" i="1" l="1"/>
  <c r="F397" i="1"/>
  <c r="D397" i="1"/>
  <c r="H319" i="1" l="1"/>
  <c r="F319" i="1"/>
  <c r="D319" i="1"/>
  <c r="H483" i="1" l="1"/>
  <c r="F483" i="1"/>
  <c r="D483" i="1"/>
  <c r="H794" i="1" l="1"/>
  <c r="F794" i="1"/>
  <c r="D794" i="1"/>
  <c r="H663" i="1" l="1"/>
  <c r="F663" i="1"/>
  <c r="D663" i="1"/>
  <c r="H63" i="1" l="1"/>
  <c r="F63" i="1"/>
  <c r="D63" i="1"/>
  <c r="H70" i="1" l="1"/>
  <c r="F70" i="1"/>
  <c r="D70" i="1"/>
  <c r="H704" i="1" l="1"/>
  <c r="F704" i="1"/>
  <c r="D704" i="1"/>
  <c r="H1000" i="1" l="1"/>
  <c r="F1000" i="1"/>
  <c r="D1000" i="1"/>
  <c r="H662" i="1" l="1"/>
  <c r="H241" i="1"/>
  <c r="F662" i="1"/>
  <c r="D662" i="1"/>
  <c r="F241" i="1"/>
  <c r="D241" i="1"/>
  <c r="H185" i="1" l="1"/>
  <c r="F185" i="1"/>
  <c r="D185" i="1"/>
  <c r="H174" i="1" l="1"/>
  <c r="F174" i="1"/>
  <c r="D174" i="1"/>
  <c r="H1222" i="1" l="1"/>
  <c r="F1222" i="1"/>
  <c r="D1222" i="1"/>
  <c r="H372" i="1" l="1"/>
  <c r="F372" i="1"/>
  <c r="D372" i="1"/>
  <c r="H854" i="1" l="1"/>
  <c r="F854" i="1"/>
  <c r="D854" i="1"/>
  <c r="H498" i="1" l="1"/>
  <c r="F498" i="1"/>
  <c r="D498" i="1"/>
  <c r="H1063" i="1" l="1"/>
  <c r="D1063" i="1"/>
  <c r="F1063" i="1"/>
  <c r="H768" i="1" l="1"/>
  <c r="F768" i="1"/>
  <c r="D768" i="1"/>
  <c r="H513" i="1" l="1"/>
  <c r="F513" i="1"/>
  <c r="D513" i="1"/>
  <c r="H1078" i="1" l="1"/>
  <c r="F1078" i="1"/>
  <c r="D1078" i="1"/>
  <c r="H1098" i="1" l="1"/>
  <c r="F1098" i="1"/>
  <c r="D1098" i="1"/>
  <c r="H184" i="1" l="1"/>
  <c r="F184" i="1"/>
  <c r="D184" i="1"/>
  <c r="H93" i="1" l="1"/>
  <c r="F93" i="1"/>
  <c r="D93" i="1"/>
  <c r="H1111" i="1" l="1"/>
  <c r="F1111" i="1"/>
  <c r="D1111" i="1"/>
  <c r="H1091" i="1" l="1"/>
  <c r="F1091" i="1"/>
  <c r="D1091" i="1"/>
  <c r="H26" i="1" l="1"/>
  <c r="F26" i="1"/>
  <c r="D26" i="1"/>
  <c r="H1294" i="1" l="1"/>
  <c r="F1294" i="1"/>
  <c r="D1294" i="1"/>
  <c r="H1159" i="1" l="1"/>
  <c r="F1159" i="1"/>
  <c r="D1159" i="1"/>
  <c r="H748" i="1" l="1"/>
  <c r="H775" i="1"/>
  <c r="F775" i="1"/>
  <c r="D775" i="1"/>
  <c r="F748" i="1"/>
  <c r="D748" i="1"/>
  <c r="H591" i="1" l="1"/>
  <c r="F591" i="1"/>
  <c r="D591" i="1"/>
  <c r="H724" i="1" l="1"/>
  <c r="F724" i="1"/>
  <c r="D724" i="1"/>
  <c r="H325" i="1" l="1"/>
  <c r="F325" i="1"/>
  <c r="D325" i="1"/>
  <c r="H156" i="1" l="1"/>
  <c r="F156" i="1"/>
  <c r="D156" i="1"/>
  <c r="H1121" i="1" l="1"/>
  <c r="F1121" i="1"/>
  <c r="D1121" i="1"/>
  <c r="H265" i="1" l="1"/>
  <c r="F265" i="1"/>
  <c r="D265" i="1"/>
  <c r="H95" i="1" l="1"/>
  <c r="F95" i="1"/>
  <c r="D95" i="1"/>
  <c r="H195" i="1" l="1"/>
  <c r="F195" i="1"/>
  <c r="D195" i="1"/>
  <c r="H300" i="1" l="1"/>
  <c r="F300" i="1"/>
  <c r="D300" i="1"/>
  <c r="H480" i="1" l="1"/>
  <c r="F480" i="1"/>
  <c r="D480" i="1"/>
  <c r="H774" i="1" l="1"/>
  <c r="H500" i="1"/>
  <c r="F500" i="1"/>
  <c r="D500" i="1"/>
  <c r="F774" i="1"/>
  <c r="D774" i="1"/>
  <c r="H465" i="1" l="1"/>
  <c r="F465" i="1"/>
  <c r="D465" i="1"/>
  <c r="H1232" i="1" l="1"/>
  <c r="F1232" i="1"/>
  <c r="D1232" i="1"/>
  <c r="H590" i="1" l="1"/>
  <c r="F590" i="1"/>
  <c r="D590" i="1"/>
  <c r="H497" i="1" l="1"/>
  <c r="F497" i="1"/>
  <c r="D497" i="1"/>
  <c r="H312" i="1" l="1"/>
  <c r="F312" i="1"/>
  <c r="D312" i="1"/>
  <c r="H371" i="1" l="1"/>
  <c r="F371" i="1"/>
  <c r="D371" i="1"/>
  <c r="H324" i="1" l="1"/>
  <c r="F324" i="1"/>
  <c r="D324" i="1"/>
  <c r="H73" i="1" l="1"/>
  <c r="F73" i="1"/>
  <c r="D73" i="1"/>
  <c r="H827" i="1" l="1"/>
  <c r="F827" i="1"/>
  <c r="D827" i="1"/>
  <c r="H689" i="1" l="1"/>
  <c r="F689" i="1"/>
  <c r="D689" i="1"/>
  <c r="H605" i="1" l="1"/>
  <c r="F605" i="1"/>
  <c r="D605" i="1"/>
  <c r="H230" i="1" l="1"/>
  <c r="F230" i="1"/>
  <c r="D230" i="1"/>
  <c r="H138" i="1" l="1"/>
  <c r="H38" i="1"/>
  <c r="F38" i="1"/>
  <c r="D38" i="1"/>
  <c r="F138" i="1"/>
  <c r="D138" i="1"/>
  <c r="H1007" i="1" l="1"/>
  <c r="F1007" i="1"/>
  <c r="D1007" i="1"/>
  <c r="H1267" i="1" l="1"/>
  <c r="H681" i="1"/>
  <c r="F681" i="1"/>
  <c r="D681" i="1"/>
  <c r="F1267" i="1"/>
  <c r="D1267" i="1"/>
  <c r="H286" i="1" l="1"/>
  <c r="F286" i="1" l="1"/>
  <c r="D286" i="1"/>
  <c r="H1231" i="1" l="1"/>
  <c r="H117" i="1"/>
  <c r="F117" i="1"/>
  <c r="D117" i="1"/>
  <c r="F1231" i="1"/>
  <c r="D1231" i="1"/>
  <c r="H108" i="1" l="1"/>
  <c r="D108" i="1"/>
  <c r="F108" i="1"/>
  <c r="H1295" i="1" l="1"/>
  <c r="F1295" i="1"/>
  <c r="D1295" i="1"/>
  <c r="H1273" i="1" l="1"/>
  <c r="F1273" i="1"/>
  <c r="D1273" i="1"/>
  <c r="H573" i="1" l="1"/>
  <c r="F573" i="1"/>
  <c r="D573" i="1"/>
  <c r="H94" i="1" l="1"/>
  <c r="H396" i="1"/>
  <c r="F94" i="1"/>
  <c r="D94" i="1"/>
  <c r="F396" i="1"/>
  <c r="D396" i="1"/>
  <c r="H309" i="1" l="1"/>
  <c r="F309" i="1"/>
  <c r="D309" i="1"/>
  <c r="H688" i="1" l="1"/>
  <c r="F688" i="1"/>
  <c r="D688" i="1"/>
  <c r="H124" i="1" l="1"/>
  <c r="F124" i="1"/>
  <c r="D124" i="1"/>
  <c r="H555" i="1" l="1"/>
  <c r="D555" i="1"/>
  <c r="F555" i="1"/>
  <c r="H1220" i="1" l="1"/>
  <c r="F1220" i="1"/>
  <c r="D1220" i="1"/>
  <c r="H740" i="1" l="1"/>
  <c r="D740" i="1"/>
  <c r="F740" i="1"/>
  <c r="H1017" i="1" l="1"/>
  <c r="F1017" i="1"/>
  <c r="H202" i="1"/>
  <c r="D1017" i="1"/>
  <c r="D202" i="1"/>
  <c r="F202" i="1"/>
  <c r="H264" i="1" l="1"/>
  <c r="H668" i="1" l="1"/>
  <c r="F1158" i="1" l="1"/>
  <c r="F1115" i="1"/>
  <c r="F1077" i="1"/>
  <c r="F114" i="1"/>
  <c r="F1034" i="1"/>
  <c r="F1027" i="1"/>
  <c r="F956" i="1"/>
  <c r="F938" i="1"/>
  <c r="F939" i="1"/>
  <c r="F853" i="1"/>
  <c r="F786" i="1"/>
  <c r="F710" i="1"/>
  <c r="F668" i="1"/>
  <c r="F661" i="1"/>
  <c r="F642" i="1"/>
  <c r="F624" i="1"/>
  <c r="F614" i="1"/>
  <c r="F554" i="1"/>
  <c r="F395" i="1"/>
  <c r="F383" i="1"/>
  <c r="F370" i="1"/>
  <c r="F352" i="1"/>
  <c r="F318" i="1"/>
  <c r="F264" i="1"/>
  <c r="F162" i="1"/>
  <c r="F136" i="1"/>
  <c r="F12" i="1"/>
  <c r="F1183" i="1"/>
  <c r="D1183" i="1"/>
  <c r="D1158" i="1"/>
  <c r="D1115" i="1"/>
  <c r="D1077" i="1"/>
  <c r="D114" i="1"/>
  <c r="D1034" i="1"/>
  <c r="D1027" i="1"/>
  <c r="D956" i="1"/>
  <c r="D938" i="1"/>
  <c r="D939" i="1"/>
  <c r="D853" i="1"/>
  <c r="D786" i="1"/>
  <c r="D710" i="1"/>
  <c r="D668" i="1"/>
  <c r="D661" i="1"/>
  <c r="D642" i="1"/>
  <c r="D624" i="1"/>
  <c r="D614" i="1"/>
  <c r="D554" i="1"/>
  <c r="D395" i="1"/>
  <c r="D383" i="1"/>
  <c r="D370" i="1"/>
  <c r="D352" i="1"/>
  <c r="D318" i="1"/>
  <c r="D264" i="1"/>
  <c r="D162" i="1"/>
  <c r="D136" i="1"/>
  <c r="D12" i="1"/>
  <c r="F42" i="2" l="1"/>
  <c r="F44" i="2" s="1"/>
  <c r="D42" i="2"/>
  <c r="D44" i="2" s="1"/>
  <c r="H1183" i="1"/>
  <c r="H624" i="1" l="1"/>
  <c r="H661" i="1" l="1"/>
  <c r="H1077" i="1" l="1"/>
  <c r="H1027" i="1"/>
  <c r="H1034" i="1" l="1"/>
  <c r="H1115" i="1" l="1"/>
  <c r="H614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H12" i="1"/>
  <c r="H710" i="1"/>
  <c r="H786" i="1"/>
  <c r="H1158" i="1"/>
  <c r="H395" i="1"/>
  <c r="H383" i="1"/>
  <c r="H352" i="1"/>
  <c r="H938" i="1"/>
  <c r="H853" i="1"/>
  <c r="H370" i="1"/>
  <c r="H554" i="1"/>
  <c r="H162" i="1"/>
  <c r="H642" i="1"/>
  <c r="H939" i="1"/>
  <c r="H318" i="1"/>
  <c r="H136" i="1"/>
  <c r="H956" i="1"/>
  <c r="C3178" i="1" l="1"/>
  <c r="H42" i="2" l="1"/>
  <c r="H44" i="2" s="1"/>
</calcChain>
</file>

<file path=xl/sharedStrings.xml><?xml version="1.0" encoding="utf-8"?>
<sst xmlns="http://schemas.openxmlformats.org/spreadsheetml/2006/main" count="6403" uniqueCount="4084">
  <si>
    <t>Minnesota Twins 2022 Season Game Attenders</t>
  </si>
  <si>
    <t>Ad-Supported Media</t>
  </si>
  <si>
    <t>West Palm Beach DMA Personal Injury Atty Users</t>
  </si>
  <si>
    <t>ABT Electronics &amp; Appliance Buyers Chicago</t>
  </si>
  <si>
    <t>Seattle New TESLA Buyers &amp; Lessees</t>
  </si>
  <si>
    <t>Florida Congressional District 18 Registered Republicans</t>
  </si>
  <si>
    <t>Cincinnati - Vegans who shop weekly at Kroger</t>
  </si>
  <si>
    <t>Twin Cities - Wings Financial Credit Union Users</t>
  </si>
  <si>
    <t>Seattle past 90 days BEVMO! Users</t>
  </si>
  <si>
    <t>Chicago Bowlers living w/in 5-mi of Waveland Bowl</t>
  </si>
  <si>
    <t>WPB DMA past 12 months Overnight visitors to Bahamas</t>
  </si>
  <si>
    <t>Target:</t>
  </si>
  <si>
    <t>Treasure Coast, FL, past 12 months Funeral Pre-Planners</t>
  </si>
  <si>
    <t>Average:</t>
  </si>
  <si>
    <t>AVG DAY</t>
  </si>
  <si>
    <t>Cincinnati Metro 2022 Season Coney Island visitors</t>
  </si>
  <si>
    <t>Phoenix Metro Area past 30 days Chewy.com Customers</t>
  </si>
  <si>
    <t>St. Louis Metro past 30 days BURGER KING Users</t>
  </si>
  <si>
    <t>Seattle's Union Gospel Mission - Target Charitable Givers</t>
  </si>
  <si>
    <t>Washington DC Metro GS-15 Federal Government Workers</t>
  </si>
  <si>
    <t>Washington DC Metro past 30 days DISTRICT TACO Users</t>
  </si>
  <si>
    <t>Washington DC Metro past 7 days WASHINGTON POST Users</t>
  </si>
  <si>
    <t>8 Metros - Self-Identified LGBTQ+ Individuals</t>
  </si>
  <si>
    <t>Seattle past 12 months Street Protest Participants</t>
  </si>
  <si>
    <t>All Forms of Media</t>
  </si>
  <si>
    <t>Ad-Free Media</t>
  </si>
  <si>
    <t>% H:M using Ad-Supported Media</t>
  </si>
  <si>
    <t>Local AM/FM Ad-Supported Radio Weekly Reach</t>
  </si>
  <si>
    <t>Phoenix P35+ Homeowners $5,000+ on HVAC past 12 months</t>
  </si>
  <si>
    <t>Cincinnati - past 3 years users of The Christ Hospital</t>
  </si>
  <si>
    <t>St. Louis - Kloss Furniture P25-54 St. Louis 4 locations</t>
  </si>
  <si>
    <t>Seattle Aquarium Visitors in 2022 who live in the Seattle Metro</t>
  </si>
  <si>
    <t>8 Metros - Past 30 days MOVIE THEATER Goers</t>
  </si>
  <si>
    <t>Cincinnati Metro - MIAMI VALLEY GAMING Visitors in 2022</t>
  </si>
  <si>
    <t>Chicago Metro Homeowners Planning to Sell their Home in 2023</t>
  </si>
  <si>
    <t>Twin Cities Metro Area past 3mos SCHULER SHOES Customers</t>
  </si>
  <si>
    <t>Chicago - LOYOLA UNIVERSITY School of Ed - Graduate Degrees</t>
  </si>
  <si>
    <t>Chicago - LOYOLA UNIVERSITY School of Ed - UnderGrad Degrees</t>
  </si>
  <si>
    <t>Phoenix Metro Homeowners planning projects requiring Electrician</t>
  </si>
  <si>
    <t>Washington DC Metro Business Owners with 50+ Full-Time Employees</t>
  </si>
  <si>
    <t>Seattle-Tacoma Metro Area ACTIVE DUTY MILITARY Members</t>
  </si>
  <si>
    <t>MOD PIZZA - Seattle-Tacoma Metro Area past 30 days users</t>
  </si>
  <si>
    <t>St. Louis Metro Area 2022-23 Season KANSAS CITY CHIEFS Fans</t>
  </si>
  <si>
    <t>Seattle-Tacoma Skiers/Snowboarders w/in 15mi of STURTEVANT'S</t>
  </si>
  <si>
    <t>St. Louis Metro - Home Imp/Lumber Store/Contractors 10-mi RP Lumber</t>
  </si>
  <si>
    <t>Phoenix P25-54 Parents of Kids 6-17 w/in 10mi of Imagine Schools</t>
  </si>
  <si>
    <t>Chicago Homeowners planning to switch both Home &amp; Auto Insurance</t>
  </si>
  <si>
    <t>Seattle $100K+HHI P35+ Single-Family Homeowners Plan to Buy Windows</t>
  </si>
  <si>
    <t>St. Louis - past 12mo Funeral Pre-Planners &amp; Influencers w/in 10mi Kutis</t>
  </si>
  <si>
    <t>Seattle $150K+HHI/$500K+HH Net Worth Planned BOAT Buyers</t>
  </si>
  <si>
    <t>Twin Cities past 30 days LEEANN CHIN Chinese QSR Users</t>
  </si>
  <si>
    <t>Chicago Metro Area past 30 days GIORDANO'S Pizza Restaurant Users</t>
  </si>
  <si>
    <t>Cincinnati Metro Area past 30 days SKYLINE CHILI Customers</t>
  </si>
  <si>
    <t>Cincinnati Metro Area past 30 days GOLD STAR CHILI Customers</t>
  </si>
  <si>
    <t>Phoenix Metro Area past 7 days BASHAS' Grocery Shoppers</t>
  </si>
  <si>
    <t>Washington DC Metro Upscale Planned Buyers of Eastern Shore 2nd Hms</t>
  </si>
  <si>
    <t>Minneapolis-St. Paul DMA past 3 years Mental Healthcare Users</t>
  </si>
  <si>
    <t>MSP DMA Parents of Teens past 3 years Mental Healthcare Users</t>
  </si>
  <si>
    <t>Phoenix Metro Area past 7 days TRADER JOE'S Grocery Shoppers</t>
  </si>
  <si>
    <t>Phoenix Metro Area past 7 days SPROUTS Grocery Shoppers</t>
  </si>
  <si>
    <t>Phoenix Metro Area past 7 days SAFEWAY Grocery Shoppers</t>
  </si>
  <si>
    <t>Phoenix Metro Area past 7 days WALMART Grocery Shoppers</t>
  </si>
  <si>
    <t>Phoenix Metro Area past 7 days COSTCO Grocery Shoppers</t>
  </si>
  <si>
    <t>Seattle-Tacoma Metro Area 2022 Personal Injury Attorney Users</t>
  </si>
  <si>
    <t>Phoenix Metro Area past 7 days FRY'S Grocery Shoppers</t>
  </si>
  <si>
    <t>Phoenix Metro Area past 7 days ALBERTSONS Grocery Shoppers</t>
  </si>
  <si>
    <t>Twin Cities past 30 days Chinese QSR Users 2.5mi PANDA EXPRESS</t>
  </si>
  <si>
    <t>St. Louis County $75K+HHI P25+ Planning to Move, Buy/Sell a Home</t>
  </si>
  <si>
    <t>https://img1.wsimg.com/blobby/go/fa91e93a-72dd-4def-b76d-173477e02dd0/downloads/HUBBARD%20-%20Seattle%20%20-%20BEVMO!%20-%20R1%202023.pdf?ver=1687531944789</t>
  </si>
  <si>
    <t>https://img1.wsimg.com/blobby/go/fa91e93a-72dd-4def-b76d-173477e02dd0/downloads/HUBBARD%20-%20Seattle%20%20-%20MOD%20PIZZA%20-%20R1%202023.pdf?ver=1687531986801</t>
  </si>
  <si>
    <t>https://img1.wsimg.com/blobby/go/fa91e93a-72dd-4def-b76d-173477e02dd0/downloads/HUBBARD%20-%20Seattle%20%20-%20NEW%20TESLA%20BUYERS%20%26%20LESSEE.pdf?ver=1687532038125</t>
  </si>
  <si>
    <t>https://img1.wsimg.com/blobby/go/fa91e93a-72dd-4def-b76d-173477e02dd0/downloads/DOBBS%20TIRE%20%26%20AUTO%20SERVICE%20-%20R1%202023A%20-%20P18%2B%20%26%20.pdf?ver=1687532081825</t>
  </si>
  <si>
    <t>https://img1.wsimg.com/blobby/go/fa91e93a-72dd-4def-b76d-173477e02dd0/downloads/HUBBARD%20-%20PHOENIX%20-%20HOMEOWNERS%20SPENDING%20%245%2C000.pdf?ver=1687532118063</t>
  </si>
  <si>
    <t>https://img1.wsimg.com/blobby/go/fa91e93a-72dd-4def-b76d-173477e02dd0/downloads/HUBBARD%20-%20PHOENIX%20-%20SUPERBOOK%20SPORTSBOOK%20-%20R1%20.pdf?ver=1687532178367</t>
  </si>
  <si>
    <t>https://img1.wsimg.com/blobby/go/fa91e93a-72dd-4def-b76d-173477e02dd0/downloads/HUBBARD%20-%20St.%20Louis%20-%20KLOSS%20FURNITURE%2025-54%20-%20.pdf?ver=1687532242200</t>
  </si>
  <si>
    <t>https://img1.wsimg.com/blobby/go/fa91e93a-72dd-4def-b76d-173477e02dd0/downloads/HUBBARD%20-%20West%20Palm%20Beach%20-%20FLORIDA%20CONGRESSIO.pdf?ver=1687532275049</t>
  </si>
  <si>
    <t>https://img1.wsimg.com/blobby/go/fa91e93a-72dd-4def-b76d-173477e02dd0/downloads/HUBBARD%20-%20CHICAGO%20-%20ABT%20-%20R1%202023.pdf?ver=1687532309240</t>
  </si>
  <si>
    <t>https://img1.wsimg.com/blobby/go/fa91e93a-72dd-4def-b76d-173477e02dd0/downloads/HUBBARD%20-%20CHICAGO%20-%20HOMEOWNERS%20PLANNING%20TO%20SWI.pdf?ver=1687532349465</t>
  </si>
  <si>
    <t>https://img1.wsimg.com/blobby/go/fa91e93a-72dd-4def-b76d-173477e02dd0/downloads/HUBBARD%20-%20Minneapolis-St.%20Paul%20-%202022%20SEASON%20M.pdf?ver=1687532440257</t>
  </si>
  <si>
    <t>https://img1.wsimg.com/blobby/go/fa91e93a-72dd-4def-b76d-173477e02dd0/downloads/HUBBARD%20-%20Minneapolis-St.%20Paul%20-%20WINGS%20FINANCI.pdf?ver=1687532480079</t>
  </si>
  <si>
    <t>https://img1.wsimg.com/blobby/go/fa91e93a-72dd-4def-b76d-173477e02dd0/downloads/HUBBARD%20INTERACTIVE%20CINCINNATI%20-%20KROGER%20WEEKLY.pdf?ver=1687532549905</t>
  </si>
  <si>
    <t>https://img1.wsimg.com/blobby/go/fa91e93a-72dd-4def-b76d-173477e02dd0/downloads/HUBBARD%20INTERACTIVE%20CINCINNATI%20-%20THE%20CHRIST%20HO.pdf?ver=1687532581540</t>
  </si>
  <si>
    <t>Link</t>
  </si>
  <si>
    <t>https://img1.wsimg.com/blobby/go/fa91e93a-72dd-4def-b76d-173477e02dd0/downloads/HUBBARD%20-%20Seattle%20%20-%20PAST%2012%20MONTHS%20STREET%20PRO.pdf?ver=1687532644964</t>
  </si>
  <si>
    <t>https://img1.wsimg.com/blobby/go/fa91e93a-72dd-4def-b76d-173477e02dd0/downloads/HUBBARD%20-%20Seattle%20%20-%20SEATTLE_S%20UNION%20GOSPEL%20MI.pdf?ver=1687532686393</t>
  </si>
  <si>
    <t>https://img1.wsimg.com/blobby/go/fa91e93a-72dd-4def-b76d-173477e02dd0/downloads/HUBBARD%20RADIO%208-METROS%20-%20soefa.ai%20-%20R1%202023Ab-.pdf?ver=1687532722508</t>
  </si>
  <si>
    <t>https://img1.wsimg.com/blobby/go/fa91e93a-72dd-4def-b76d-173477e02dd0/downloads/WTOP%20NEWS%20-%20Washington%20DC%20Metro%20-%20R1%202023A%20-%20G.pdf?ver=1687532747605</t>
  </si>
  <si>
    <t>https://img1.wsimg.com/blobby/go/fa91e93a-72dd-4def-b76d-173477e02dd0/downloads/WTOP%20NEWS%20-%20Washington%20DC%20Metro%20-%20R1%202023A%20-%20P.pdf?ver=1687532779150</t>
  </si>
  <si>
    <t>https://img1.wsimg.com/blobby/go/fa91e93a-72dd-4def-b76d-173477e02dd0/downloads/WTOP%20NEWS%20-%20Washington%20DC%20Metro%20-%20R1%202023A%20-%20T.pdf?ver=1687532804915</t>
  </si>
  <si>
    <t>https://img1.wsimg.com/blobby/go/fa91e93a-72dd-4def-b76d-173477e02dd0/downloads/HUBBARD%20-%20PHOENIX%20-%20PAST%2030%20DAYS%20CHEWY.COM%20CUS.pdf?ver=1687532839530</t>
  </si>
  <si>
    <t>https://img1.wsimg.com/blobby/go/fa91e93a-72dd-4def-b76d-173477e02dd0/downloads/HUBBARD%20-%20St.%20Louis%20-%20BURGER%20KING%20-%20%20R1%202023a.pdf?ver=1687532862665</t>
  </si>
  <si>
    <t>https://img1.wsimg.com/blobby/go/fa91e93a-72dd-4def-b76d-173477e02dd0/downloads/HUBBARD%20-%20St.%20Louis%20-%20PLANNED%20NEW%20PICKUP%20TRUCK.pdf?ver=1687532907053</t>
  </si>
  <si>
    <t>https://img1.wsimg.com/blobby/go/fa91e93a-72dd-4def-b76d-173477e02dd0/downloads/HUBBARD%20-%20West%20Palm%20Beach%20-%20MILLENNIUM%20CREMATI.pdf?ver=1687532944997</t>
  </si>
  <si>
    <t>https://img1.wsimg.com/blobby/go/fa91e93a-72dd-4def-b76d-173477e02dd0/downloads/HUBBARD%20-%20West%20Palm%20Beach%20DMA%20-%20PAST%2012%20MONTHS.pdf?ver=1687532963870</t>
  </si>
  <si>
    <t>https://img1.wsimg.com/blobby/go/fa91e93a-72dd-4def-b76d-173477e02dd0/downloads/HUBBARD%20-%20CHICAGO%20-%20WAVELAND%20BOWL%20-%20R1%202023.pdf?ver=1687532998541</t>
  </si>
  <si>
    <t>https://img1.wsimg.com/blobby/go/fa91e93a-72dd-4def-b76d-173477e02dd0/downloads/HUBBARD%20INTERACTIVE%20CINCINNATI%20-%202022%20SEASON%20C.pdf?ver=1687533023935</t>
  </si>
  <si>
    <t>https://img1.wsimg.com/blobby/go/fa91e93a-72dd-4def-b76d-173477e02dd0/downloads/HUBBARD%20-%20Minneapolis-St.%20Paul%20-%20PAST%2030%20DAYS%20.pdf?ver=1687533075650</t>
  </si>
  <si>
    <t>https://img1.wsimg.com/blobby/go/fa91e93a-72dd-4def-b76d-173477e02dd0/downloads/HUBBARD%20-%20Seattle%20%20-%20PELLA%20WINDOWS%20%26%20DOORS%20-%20R.pdf?ver=1687533100337</t>
  </si>
  <si>
    <t>https://img1.wsimg.com/blobby/go/fa91e93a-72dd-4def-b76d-173477e02dd0/downloads/HUBBARD%20-%20PHOENIX%20-%20IMAGINE%20SCHOOLS%20%20-%20R1%202023.pdf?ver=1687533160290</t>
  </si>
  <si>
    <t>https://img1.wsimg.com/blobby/go/fa91e93a-72dd-4def-b76d-173477e02dd0/downloads/HUBBARD%20-%20Seattle%20%20-%20SEATTLE%20AQUARIUM%20VISITORS.pdf?ver=1687533213380</t>
  </si>
  <si>
    <t>https://img1.wsimg.com/blobby/go/fa91e93a-72dd-4def-b76d-173477e02dd0/downloads/HUBBARD%20RADIO%208-METROS%20-%20soefa.ai%20-%20R1%202023Ab%20.pdf?ver=1687533246964</t>
  </si>
  <si>
    <t>https://img1.wsimg.com/blobby/go/fa91e93a-72dd-4def-b76d-173477e02dd0/downloads/HUBBARD%20INTERACTIVE%20CINCINNATI%20-%20MIAMI%20VALLEY%20.pdf?ver=1687533286742</t>
  </si>
  <si>
    <t>https://img1.wsimg.com/blobby/go/fa91e93a-72dd-4def-b76d-173477e02dd0/downloads/HUBBARD%20-%20Minneapolis-St.%20Paul%20-%20PAST%203%20MONTHS.pdf?ver=1687533318525</t>
  </si>
  <si>
    <t>https://img1.wsimg.com/blobby/go/fa91e93a-72dd-4def-b76d-173477e02dd0/downloads/HUBBARD%20-%20CHICAGO%20-%20HOMEOWNERS%20PLANNING%20TO%20SEL.pdf?ver=1687533365605</t>
  </si>
  <si>
    <t>https://img1.wsimg.com/blobby/go/fa91e93a-72dd-4def-b76d-173477e02dd0/downloads/HUBBARD%20-%20CHICAGO%20-%20LOYOLA%20SCHOOL%20OF%20EDUCATION.pdf?ver=1687533411382</t>
  </si>
  <si>
    <t>https://img1.wsimg.com/blobby/go/fa91e93a-72dd-4def-b76d-173477e02dd0/downloads/HUBBARD%20-%20CHICAGO%20-%20LOYOLA%20SCHOOL%20OF%20EDUCATION.pdf?ver=1687533439870</t>
  </si>
  <si>
    <t>https://img1.wsimg.com/blobby/go/fa91e93a-72dd-4def-b76d-173477e02dd0/downloads/HUBBARD%20-%20PHOENIX%20-%20HOMEOWNERS%20REQUIRING%20AN%20EL.pdf?ver=1687533494333</t>
  </si>
  <si>
    <t>https://img1.wsimg.com/blobby/go/fa91e93a-72dd-4def-b76d-173477e02dd0/downloads/WTOP%20NEWS%20-%20Washington%20DC%20Metro%20-%20R1%202023A%20-%20B.pdf?ver=1687533546334</t>
  </si>
  <si>
    <t>https://img1.wsimg.com/blobby/go/fa91e93a-72dd-4def-b76d-173477e02dd0/downloads/HUBBARD%20-%20Seattle%20%20-%20ACTIVE%20DUTY%20MILITARY%20MEMB.pdf?ver=1687533626371</t>
  </si>
  <si>
    <t>https://img1.wsimg.com/blobby/go/fa91e93a-72dd-4def-b76d-173477e02dd0/downloads/HUBBARD%20-%20St.%20Louis%20-%20KANSAS%20CITY%20CHIEFS%20FANS%20.pdf?ver=1687533650949</t>
  </si>
  <si>
    <t>https://img1.wsimg.com/blobby/go/fa91e93a-72dd-4def-b76d-173477e02dd0/downloads/HUBBARD%20-%20Seattle%20%20-%20SKIERS%20%26%20SNOWBOARDERS%20W-I.pdf?ver=1687533702585</t>
  </si>
  <si>
    <t>https://img1.wsimg.com/blobby/go/fa91e93a-72dd-4def-b76d-173477e02dd0/downloads/HUBBARD%20-%20St.%20Louis%20-%20R.P.%20LUMBER.pdf?ver=1687533735440</t>
  </si>
  <si>
    <t>https://img1.wsimg.com/blobby/go/fa91e93a-72dd-4def-b76d-173477e02dd0/downloads/HUBBARD%20-%20St.%20Louis%20-%20KUTIS%20FUNERAL%20HOMES%20-%20%20R.pdf?ver=1687533764459</t>
  </si>
  <si>
    <t>https://img1.wsimg.com/blobby/go/fa91e93a-72dd-4def-b76d-173477e02dd0/downloads/HUBBARD%20-%20Seattle%20%20-%20%24150K%2BHHI%20and%20or%20%24500K%2BHH.pdf?ver=1687533825282</t>
  </si>
  <si>
    <t>https://img1.wsimg.com/blobby/go/fa91e93a-72dd-4def-b76d-173477e02dd0/downloads/HUBBARD%20-%20Minneapolis-St.%20Paul%20-%20PAST%2030%20DAYS%20.pdf?ver=1687533865204</t>
  </si>
  <si>
    <t>https://img1.wsimg.com/blobby/go/fa91e93a-72dd-4def-b76d-173477e02dd0/downloads/HUBBARD%20INTERACTIVE%20CINCINNATI%20-%20SKYLINE%20CHILI.pdf?ver=1687533905550</t>
  </si>
  <si>
    <t>https://img1.wsimg.com/blobby/go/fa91e93a-72dd-4def-b76d-173477e02dd0/downloads/HUBBARD%20INTERACTIVE%20CINCINNATI%20-%20GOLD%20STAR%20CHI.pdf?ver=1687533941751</t>
  </si>
  <si>
    <t>https://img1.wsimg.com/blobby/go/fa91e93a-72dd-4def-b76d-173477e02dd0/downloads/HUBBARD%20-%20CHICAGO%20-%20PAST%2030%20DAYS%20GIORDANO_S%20PI.pdf?ver=1687533963547</t>
  </si>
  <si>
    <t>https://img1.wsimg.com/blobby/go/fa91e93a-72dd-4def-b76d-173477e02dd0/downloads/HUBBARD%20-%20PHOENIX%20-%20PAST%207%20DAYS%20BASHAS_%20CUSTOM.pdf?ver=1687533995022</t>
  </si>
  <si>
    <t>https://img1.wsimg.com/blobby/go/fa91e93a-72dd-4def-b76d-173477e02dd0/downloads/HUBBARD%20-%20Minneapolis-St.%20Paul%20-%20PAST%203%20YEARS%20.pdf?ver=1687534027707</t>
  </si>
  <si>
    <t>https://img1.wsimg.com/blobby/go/fa91e93a-72dd-4def-b76d-173477e02dd0/downloads/WTOP%20NEWS%20-%20Washington%20DC%20Metro%20-%20R1%202023A%20-%20%24.pdf?ver=1687534054004</t>
  </si>
  <si>
    <t>https://img1.wsimg.com/blobby/go/fa91e93a-72dd-4def-b76d-173477e02dd0/downloads/HUBBARD%20-%20PHOENIX%20-%20PAST%207%20DAYS%20TRADER%20JOE_S%20C.pdf?ver=1687534086912</t>
  </si>
  <si>
    <t>https://img1.wsimg.com/blobby/go/fa91e93a-72dd-4def-b76d-173477e02dd0/downloads/HUBBARD%20-%20Minneapolis-St.%20Paul%20-%20PARENTS%20OF%20TE.pdf?ver=1687534181870</t>
  </si>
  <si>
    <t>https://img1.wsimg.com/blobby/go/fa91e93a-72dd-4def-b76d-173477e02dd0/downloads/HUBBARD%20-%20PHOENIX%20-%20PAST%207%20DAYS%20FRY_S%20CUSTOMER.pdf?ver=1687534208347</t>
  </si>
  <si>
    <t>https://img1.wsimg.com/blobby/go/fa91e93a-72dd-4def-b76d-173477e02dd0/downloads/HUBBARD%20-%20PHOENIX%20-%20PAST%207%20DAYS%20COSTCO%20CUSTOME.pdf?ver=1687534233996</t>
  </si>
  <si>
    <t>https://img1.wsimg.com/blobby/go/fa91e93a-72dd-4def-b76d-173477e02dd0/downloads/HUBBARD%20-%20PHOENIX%20-%20PAST%207%20DAYS%20WALMART%20CUSTOM.pdf?ver=1687534287068</t>
  </si>
  <si>
    <t>https://img1.wsimg.com/blobby/go/fa91e93a-72dd-4def-b76d-173477e02dd0/downloads/HUBBARD%20-%20PHOENIX%20-%20PAST%207%20DAYS%20ALBERTSONS%20CUS.pdf?ver=1687534491653</t>
  </si>
  <si>
    <t>https://img1.wsimg.com/blobby/go/fa91e93a-72dd-4def-b76d-173477e02dd0/downloads/HUBBARD%20-%20PHOENIX%20-%20PAST%207%20DAYS%20SAFEWAY%20CUSTOM.pdf?ver=1687534515915</t>
  </si>
  <si>
    <t>https://img1.wsimg.com/blobby/go/fa91e93a-72dd-4def-b76d-173477e02dd0/downloads/HUBBARD%20-%20Seattle%20%20-%202022%20PERSONAL%20INJURY%20ATTO.pdf?ver=1687534548994</t>
  </si>
  <si>
    <t>https://img1.wsimg.com/blobby/go/fa91e93a-72dd-4def-b76d-173477e02dd0/downloads/HUBBARD%20-%20PHOENIX%20-%20PAST%207%20DAYS%20SPROUTS%20CUSTOM.pdf?ver=1687534597851</t>
  </si>
  <si>
    <t>https://img1.wsimg.com/blobby/go/fa91e93a-72dd-4def-b76d-173477e02dd0/downloads/HUBBARD%20-%20Minneapolis-St.%20Paul%20-%20PANDA%20EXPRESS.pdf?ver=1687534628248</t>
  </si>
  <si>
    <t>https://img1.wsimg.com/blobby/go/fa91e93a-72dd-4def-b76d-173477e02dd0/downloads/HUBBARD%20-%20St.%20Louis%20-%20GOODFELLAS%20MOVING%20-%20R1%202.pdf?ver=1687534661334</t>
  </si>
  <si>
    <t>https://img1.wsimg.com/blobby/go/fa91e93a-72dd-4def-b76d-173477e02dd0/downloads/HUBBARD%20-%20WEST%20PALM%20BEACH-BOCA%20RATON%20DMA%20-%20PER.pdf?ver=1687534724853</t>
  </si>
  <si>
    <t>Minneapolis-St. Paul Metro Area past 3 months SCHEELS Customers</t>
  </si>
  <si>
    <t>https://img1.wsimg.com/blobby/go/fa91e93a-72dd-4def-b76d-173477e02dd0/downloads/HUBBARD%20-%20Minneapolis-St.%20Paul%20-%20SCHEELS%20-%20R1%20.pdf?ver=1687813677471</t>
  </si>
  <si>
    <t>8 Metros - Past 30 days BUD LIGHT Drinkers - Jan22-Apr23</t>
  </si>
  <si>
    <t>https://img1.wsimg.com/blobby/go/fa91e93a-72dd-4def-b76d-173477e02dd0/downloads/HUBBARD%208-METROS%20-%20R1%202023%20-%20PAST%2030%20DAYS%20BUD%20.pdf?ver=1687875764396</t>
  </si>
  <si>
    <t>Twin Cities Metro Area past 3yrs TRIA Orthopaedic Center Users</t>
  </si>
  <si>
    <t>https://img1.wsimg.com/blobby/go/fa91e93a-72dd-4def-b76d-173477e02dd0/downloads/HUBBARD%20-%20Minneapolis-St.%20Paul%20-%20TRIA%20ORTHOPAE.pdf?ver=1687885987472</t>
  </si>
  <si>
    <t>St. Louis Metro Area past 30 days IMO'S PIZZA Customers</t>
  </si>
  <si>
    <t>https://img1.wsimg.com/blobby/go/fa91e93a-72dd-4def-b76d-173477e02dd0/downloads/HUBBARD%20-%20St.%20Louis%20-%20IMO_S%20PIZZA%20-%20R1%202023A.pdf?ver=1687902046941</t>
  </si>
  <si>
    <t>Twin Cities Metro Area past 12 months CASINO SPORTS BETTORS</t>
  </si>
  <si>
    <t>https://img1.wsimg.com/blobby/go/fa91e93a-72dd-4def-b76d-173477e02dd0/downloads/HUBBARD%20-%20Minneapolis-St.%20Paul%20-%20CASINO%20SPORTS.pdf?ver=1687958301401</t>
  </si>
  <si>
    <t>Twin Cities Planned Hybrid or Electric Vehicle Purchasers/Lessees</t>
  </si>
  <si>
    <t>https://img1.wsimg.com/blobby/go/fa91e93a-72dd-4def-b76d-173477e02dd0/downloads/HUBBARD%20-%20Minneapolis-St.%20Paul%20-%20HYBRID%20OR%20ELE.pdf?ver=1687968918290</t>
  </si>
  <si>
    <t>Cincinnati Metro Area past 12mo purchasers of $3K+ Lawn Tractors</t>
  </si>
  <si>
    <t>https://img1.wsimg.com/blobby/go/fa91e93a-72dd-4def-b76d-173477e02dd0/downloads/HUBBARD%20-%20CINCINNATI%20-%20PAST%2012%20MONTHS%20PURCHASE.pdf?ver=1687979871974</t>
  </si>
  <si>
    <t>Twin Cities Metro Area past 30 days SURLY BEER Drinkers</t>
  </si>
  <si>
    <t>https://img1.wsimg.com/blobby/go/fa91e93a-72dd-4def-b76d-173477e02dd0/downloads/HUBBARD%20-%20Minneapolis-St.%20Paul%20-%20PAST%2030%20DAYS%20.pdf?ver=1687986972699</t>
  </si>
  <si>
    <t>Twin Cities $100K+HHI P35+ Owners of Existing Single-Family Homes</t>
  </si>
  <si>
    <t>St. Louis - $50K+HHI P25-64 $25K+MSRP Planned New Vehicle Buyers</t>
  </si>
  <si>
    <t>Twin Cities QDOBA Targeted Mexican Catering Customersw/in 3mi</t>
  </si>
  <si>
    <t>Twin Cities QDOBA Targeted Mexican QSR Users Live/Work w/in 3mi</t>
  </si>
  <si>
    <t>https://img1.wsimg.com/blobby/go/fa91e93a-72dd-4def-b76d-173477e02dd0/downloads/HUBBARD%20-%20Minneapolis-St.%20Paul%20-%20QDOBA%20-%20INCRE.pdf?ver=1688138536160</t>
  </si>
  <si>
    <t>https://img1.wsimg.com/blobby/go/fa91e93a-72dd-4def-b76d-173477e02dd0/downloads/HUBBARD%20-%20Minneapolis-St.%20Paul%20-%20QDOBA%20-%20CATER.pdf?ver=1688138913931</t>
  </si>
  <si>
    <t>https://img1.wsimg.com/blobby/go/fa91e93a-72dd-4def-b76d-173477e02dd0/downloads/HUBBARD%20-%20St.%20Louis%20-%20SUNTRUP%20AUTOMOTIVE%20GROUP.pdf?ver=1688139393149</t>
  </si>
  <si>
    <t>https://img1.wsimg.com/blobby/go/fa91e93a-72dd-4def-b76d-173477e02dd0/downloads/HUBBARD%20-%20Minneapolis-St.%20Paul%20-%20UGLYDECK.COM%20.pdf?ver=1688139838270</t>
  </si>
  <si>
    <t>Seattle-Tacoma Fitness-oriented Gym Joiners 5mi of FITNESS QUEST</t>
  </si>
  <si>
    <t>https://img1.wsimg.com/blobby/go/fa91e93a-72dd-4def-b76d-173477e02dd0/downloads/HUBBARD%20-%20SEATTLE-TACOMA%20-%20FITNESS%20QUEST%20-%20R1%20.pdf?ver=1688206907992</t>
  </si>
  <si>
    <t>St. Louis Metro Area Persons 18+ without any Health Insurance</t>
  </si>
  <si>
    <t>https://img1.wsimg.com/blobby/go/fa91e93a-72dd-4def-b76d-173477e02dd0/downloads/HUBBARD%20-%20St.%20Louis%20-%20METRO%20AREA%20PERSONS%20WITHO.pdf?ver=1688565861393</t>
  </si>
  <si>
    <t>Twin Cities P18+ who Plan to Hire a Carpet Cleaning Co. in 2023</t>
  </si>
  <si>
    <t>https://img1.wsimg.com/blobby/go/fa91e93a-72dd-4def-b76d-173477e02dd0/downloads/HUBBARD%20-%20Minneapolis-St.%20Paul%20-%20ZEROREZ%20-%20R1%20.pdf?ver=1688590670356</t>
  </si>
  <si>
    <t>Washington DC Metro Federal Gov't Protective Service Agcy Workers</t>
  </si>
  <si>
    <t>https://img1.wsimg.com/blobby/go/fa91e93a-72dd-4def-b76d-173477e02dd0/downloads/WTOP%20NEWS%20-%20WASHINGTON%20DC%20-%20FEDERAL%20GOVERNMENT.pdf?ver=1688658247859</t>
  </si>
  <si>
    <t>Chicago DMA P25-54 past 7 days Broadcast Television Station Viewers</t>
  </si>
  <si>
    <t>Cincinnati Metro Area High-end Kitchen, Bath, Floor Remodelers</t>
  </si>
  <si>
    <t>Cincinnati Metro Area High-end Commercial Remodelers</t>
  </si>
  <si>
    <t>https://img1.wsimg.com/blobby/go/fa91e93a-72dd-4def-b76d-173477e02dd0/downloads/HUBBARD%20-%20CHICAGO%20DMA%20-%20P25-54%20-%20PAST%207%20DAYS%20L.pdf?ver=1688738262871</t>
  </si>
  <si>
    <t>https://img1.wsimg.com/blobby/go/fa91e93a-72dd-4def-b76d-173477e02dd0/downloads/HUBBARD%20-%20CINCINNATI%20-%20MEES%20DISTRIBUTORS%2C%20INC..pdf?ver=1688738676347</t>
  </si>
  <si>
    <t>https://img1.wsimg.com/blobby/go/fa91e93a-72dd-4def-b76d-173477e02dd0/downloads/HUBBARD%20-%20CINCINNATI%20-%20MEES%20DISTRIBUTORS%2C%20INC..pdf?ver=1688739045035</t>
  </si>
  <si>
    <t>St. Louis Credit-Challenged Used Vehicle Buyers w/in15mi 5 STAR</t>
  </si>
  <si>
    <t>https://img1.wsimg.com/blobby/go/fa91e93a-72dd-4def-b76d-173477e02dd0/downloads/HUBBARD%20-%20St.%20Louis%20-%205%20STAR%20AUTOPLAZA%20-%20R1%2020.pdf?ver=1688753192593</t>
  </si>
  <si>
    <t>8 Metros - past 12mos MMA &amp; UFC Pay-Per-Viewers &amp; Sports Bettors</t>
  </si>
  <si>
    <t>https://img1.wsimg.com/blobby/go/fa91e93a-72dd-4def-b76d-173477e02dd0/downloads/HUBBARD%208-METROS%20-%20R1%202023%20-%20PAST%2012MOS%20MMA%20%26%20.pdf?ver=1688762097729</t>
  </si>
  <si>
    <t>West Palm Beach DMA Planned Buyers of Replacement Windows</t>
  </si>
  <si>
    <t>https://img1.wsimg.com/blobby/go/fa91e93a-72dd-4def-b76d-173477e02dd0/downloads/HUBBARD%20-%20West%20Palm%20Beach-Boca%20Raton%20DMA%20-%20REE.pdf?ver=1689012598995</t>
  </si>
  <si>
    <t>8 Metros - past 30 days Twitter users January 2022 - April 2023</t>
  </si>
  <si>
    <t>https://img1.wsimg.com/blobby/go/fa91e93a-72dd-4def-b76d-173477e02dd0/downloads/HUBBARD%208-METROS%20-%20R1%202023%20-%20PAST%2030%20DAYS%20TWIT.pdf?ver=1689086457602</t>
  </si>
  <si>
    <t>Phoenix Metro Area TIMESHARE Vacation Property Owners</t>
  </si>
  <si>
    <t>Phoenix Metro Area past 12 months SPORTS BETTORS</t>
  </si>
  <si>
    <t>https://img1.wsimg.com/blobby/go/fa91e93a-72dd-4def-b76d-173477e02dd0/downloads/HUBBARD%20-%20PHOENIX%20-%20TIMESHARE%20OWNERS%20-%20R1%202023.pdf?ver=1689102498975</t>
  </si>
  <si>
    <t>Phoenix Metro Area non-Dairy-Free Parents of Children Age 2-11</t>
  </si>
  <si>
    <t>https://img1.wsimg.com/blobby/go/fa91e93a-72dd-4def-b76d-173477e02dd0/downloads/HUBBARD%20-%20PHOENIX%20-%20ARIZONA%20MILK%20PRODUCERS%20-%20R.pdf?ver=1689170974690</t>
  </si>
  <si>
    <t>8 Metros - past 6 months Cryptocurrency Exchange Wallet users</t>
  </si>
  <si>
    <t>https://img1.wsimg.com/blobby/go/fa91e93a-72dd-4def-b76d-173477e02dd0/downloads/HUBBARD%208-METROS%20-%20R1%202023%20-%20PAST%206%20MONTHS%20CRY.pdf?ver=1689177752174</t>
  </si>
  <si>
    <t>8 Metros - past 12mos users of Prescription Anxiety/Depression Meds</t>
  </si>
  <si>
    <t>https://img1.wsimg.com/blobby/go/fa91e93a-72dd-4def-b76d-173477e02dd0/downloads/HUBBARD%208-METROS%20-%20R1%202023%20-%20PAST%2012%20MONTHS%20AN.pdf?ver=1689251767493</t>
  </si>
  <si>
    <t>Cincinnati Metro Area Owners of $200K+ Homes replacing their Roof</t>
  </si>
  <si>
    <t>https://img1.wsimg.com/blobby/go/fa91e93a-72dd-4def-b76d-173477e02dd0/downloads/Hubbard%20-%20Cincinnati%20-%20FEAZEL%20ROOFING%20-%20R1%20202.pdf?ver=1689265720244</t>
  </si>
  <si>
    <t>8 Metros - past 7 days AM RADIO STATION listeners Jan22-Apr23</t>
  </si>
  <si>
    <t>https://img1.wsimg.com/blobby/go/fa91e93a-72dd-4def-b76d-173477e02dd0/downloads/Hubbard%20-%208%20Metros%20-%20PAST%207%20DAYS%20LISTENERS%20TO%20.pdf?ver=1689275622727</t>
  </si>
  <si>
    <t>Chicago Metro Area past 12 months MEDIEVAL TIMES Visitors</t>
  </si>
  <si>
    <t>https://img1.wsimg.com/blobby/go/fa91e93a-72dd-4def-b76d-173477e02dd0/downloads/Hubbard%20-%20Chicago%20-%20MEDIEVAL%20TIMES%20-%20R1%202023A.pdf?ver=1689282203272</t>
  </si>
  <si>
    <t>Palm Beach County Homeowners spending $500+ on Plumbing/HVAC</t>
  </si>
  <si>
    <t>8 Metros - Monthly Marijuana Users who don't buy from Dispensaries</t>
  </si>
  <si>
    <t>https://img1.wsimg.com/blobby/go/fa91e93a-72dd-4def-b76d-173477e02dd0/downloads/Hubbard%20-%208%20Metros%20-%20PAST%2030%20DAYS%20MARIJUANA%20US.pdf?ver=1689369428259</t>
  </si>
  <si>
    <t>https://img1.wsimg.com/blobby/go/fa91e93a-72dd-4def-b76d-173477e02dd0/downloads/HUBBARD%20-%20West%20Palm%20Beach%20-%20PARADISE%20PLUMBING%20.pdf?ver=1689369858460</t>
  </si>
  <si>
    <t>Seattle-Tacoma Metro past 12mos Emerald Queen Casino users</t>
  </si>
  <si>
    <t>https://img1.wsimg.com/blobby/go/fa91e93a-72dd-4def-b76d-173477e02dd0/downloads/Hubbard%20-%20Seattle-Tacoma%20-%20EMERALD%20QUEEN%20CASIN.pdf?ver=1689606632555</t>
  </si>
  <si>
    <t>8 Metros - past 7 days RIDESHARE SERVICE (Uber, Lyft, etc.) Users</t>
  </si>
  <si>
    <t>https://img1.wsimg.com/blobby/go/fa91e93a-72dd-4def-b76d-173477e02dd0/downloads/Hubbard%20-%208%20Metros%20-%20PAST%207%20DAYS%20RIDESHARE%20SER.pdf?ver=1689690643451</t>
  </si>
  <si>
    <t>Chicago DMA P18+ past 7 days WCIU-TV "THE U" CW26 Viewers</t>
  </si>
  <si>
    <t>Chicago DMA P35+ past 7 days WCIU-TV "THE U" CW26 Viewers</t>
  </si>
  <si>
    <t>https://img1.wsimg.com/blobby/go/fa91e93a-72dd-4def-b76d-173477e02dd0/downloads/Hubbard%20-%20Chicago%20-%20P18%2B%20past%207%20days%20WCIU-TV%20T.pdf?ver=1689701258011</t>
  </si>
  <si>
    <t>https://img1.wsimg.com/blobby/go/fa91e93a-72dd-4def-b76d-173477e02dd0/downloads/Hubbard%20-%20Chicago%20-%20P35%2B%20past%207%20days%20WCIU-TV%20T.pdf?ver=1689701475478</t>
  </si>
  <si>
    <t>8 Metros - past 30 days CHIPOTLE MEXICAN GRILL QSR Users</t>
  </si>
  <si>
    <t>https://img1.wsimg.com/blobby/go/fa91e93a-72dd-4def-b76d-173477e02dd0/downloads/Hubbard%20-%208%20Metros%20-%20PAST%2030%20DAYS%20CHIPOTLE%20MEX.pdf?ver=1689709018044</t>
  </si>
  <si>
    <t>MSP Metro Area past 12mos visitors to the Science Museum of MN</t>
  </si>
  <si>
    <t>https://img1.wsimg.com/blobby/go/fa91e93a-72dd-4def-b76d-173477e02dd0/downloads/HUBBARD%20-%20Minneapolis-St.%20Paul%20-%20SCIENCE%20MUSEU.pdf?ver=1689763173849</t>
  </si>
  <si>
    <t>8 Metros - NBA Fans (Watch/Stream/Attend/Listen/Follow/Bet/Buy)</t>
  </si>
  <si>
    <t>https://img1.wsimg.com/blobby/go/fa91e93a-72dd-4def-b76d-173477e02dd0/downloads/Hubbard%20-%208%20Metros%20-%20NBA%20FANS%20(WATCH%20STREAM%20AT.pdf?ver=1689776328372</t>
  </si>
  <si>
    <t>MSP Metro Area ATV, Motorcycle, and Snowmobile Owners</t>
  </si>
  <si>
    <t>https://img1.wsimg.com/blobby/go/fa91e93a-72dd-4def-b76d-173477e02dd0/downloads/HUBBARD%20-%20Minneapolis-St.%20Paul%20-%20DENNIS%20KIRK%20-.pdf?ver=1689783783249</t>
  </si>
  <si>
    <t>Twin Cities Metro Area past 3 months MALL OF AMERICA Shoppers</t>
  </si>
  <si>
    <t>https://img1.wsimg.com/blobby/go/fa91e93a-72dd-4def-b76d-173477e02dd0/downloads/HUBBARD%20-%20Minneapolis-St.%20Paul%20-%20PAST%203%20MONTHS.pdf?ver=1689795914914</t>
  </si>
  <si>
    <t>Cincinnati Metro Area Age 35+ Men who make appts to see MDs</t>
  </si>
  <si>
    <t>https://img1.wsimg.com/blobby/go/fa91e93a-72dd-4def-b76d-173477e02dd0/downloads/Hubbard%20-%20Cincinnati%20-%20TRI%20STATE%20MEN_S%20HEALTH%20.pdf?ver=1689862422903</t>
  </si>
  <si>
    <t>WPB DMA - past 3mos in-store Sporting Goods shoppers 30mi PSL</t>
  </si>
  <si>
    <t>https://img1.wsimg.com/blobby/go/fa91e93a-72dd-4def-b76d-173477e02dd0/downloads/HUBBARD%20-%20West%20Palm%20Beach%20-%20ACADEMY%20SPORTS%20AND.pdf?ver=1689873505049</t>
  </si>
  <si>
    <t>Washington DC Metro past yr AMTRAK ACELA riders from DC to NYC</t>
  </si>
  <si>
    <t>Local AM/FM Radio Ad-Supported Media Time -Spent-Listening</t>
  </si>
  <si>
    <t>Local AM/FM Radio % of Total Ad-Supported Media Time Spent</t>
  </si>
  <si>
    <t>https://img1.wsimg.com/blobby/go/fa91e93a-72dd-4def-b76d-173477e02dd0/downloads/WTOP%20NEWS%20-%20Washington%20DC%20-%20PERSONS%20WHO%20TOOK%20T.pdf?ver=1689885408567</t>
  </si>
  <si>
    <t>Radio OTA</t>
  </si>
  <si>
    <t>Radio OTA+Digital</t>
  </si>
  <si>
    <t>Source: BIA 2023 Update: Total U.S. Ad Revenue $161.7B (Radio Ink, June 29, 2023)</t>
  </si>
  <si>
    <t>$10.4B</t>
  </si>
  <si>
    <t>$13.2B</t>
  </si>
  <si>
    <t>Seattle Metro Adults who plan to buy a TV w/in 15mi VIDEO ONLY</t>
  </si>
  <si>
    <t>https://img1.wsimg.com/blobby/go/fa91e93a-72dd-4def-b76d-173477e02dd0/downloads/Hubbard%20-%20Seattle-Tacoma%20-%20VIDEO%20ONLY%20-%20R1%20202.pdf?ver=1689955484251</t>
  </si>
  <si>
    <t>MSP Adults Somewhat or Very Interested in Gymnastics+Olympics</t>
  </si>
  <si>
    <t>https://img1.wsimg.com/blobby/go/fa91e93a-72dd-4def-b76d-173477e02dd0/downloads/HUBBARD%20-%20Minneapolis-St.%20Paul%20-%20SOMEWHAT%20OR%20V.pdf?ver=1690208084729</t>
  </si>
  <si>
    <t>8 Metros - past 30 days WHITE CLAW HARD SELTZER Drinkers</t>
  </si>
  <si>
    <t>https://img1.wsimg.com/blobby/go/fa91e93a-72dd-4def-b76d-173477e02dd0/downloads/Hubbard%20-%208%20Metros%20-%20PAST%2030%20DAYS%20WHITE%20CLAW%20H.pdf?ver=1690216418766</t>
  </si>
  <si>
    <t>8 Metros - past 30 days Internet Paid Music Downloaders</t>
  </si>
  <si>
    <t>https://img1.wsimg.com/blobby/go/fa91e93a-72dd-4def-b76d-173477e02dd0/downloads/Hubbard%20-%208%20Metros%20-%20DOWNLOADED%20PAID%20MUSIC%20IN%20.pdf?ver=1690295415448</t>
  </si>
  <si>
    <t>8 Metros - past 30 days PAID MUSIC APP Listeners</t>
  </si>
  <si>
    <t>https://img1.wsimg.com/blobby/go/fa91e93a-72dd-4def-b76d-173477e02dd0/downloads/Hubbard%20-%208%20Metros%20-%20PAST%2030%20DAYS%20PAID%20MUSIC%20A.pdf?ver=1690308355612</t>
  </si>
  <si>
    <t>https://img1.wsimg.com/blobby/go/fa91e93a-72dd-4def-b76d-173477e02dd0/downloads/Hubbard%20-%208%20Metros%20-%20PAST%2030%20DAYS%20FREE%20MUSIC%20A.pdf?ver=1690318466600</t>
  </si>
  <si>
    <t>8 Metros - P18+ asking MDs to prescribe Meds due to Health Ads</t>
  </si>
  <si>
    <t>https://img1.wsimg.com/blobby/go/fa91e93a-72dd-4def-b76d-173477e02dd0/downloads/Hubbard%20-%208%20Metros%20-%20ASKED%20MD%20TO%20PRESCRIBE%20MED.pdf?ver=1690380829888</t>
  </si>
  <si>
    <t>8 Metros - P18+ who have a Vanguard IRA</t>
  </si>
  <si>
    <t>Palm Beach County past 7 days P18+ PalmTran Bus Riders</t>
  </si>
  <si>
    <t>https://img1.wsimg.com/blobby/go/fa91e93a-72dd-4def-b76d-173477e02dd0/downloads/Hubbard%20-%208%20Metros%20-%20P18%2B%20WITH%20A%20VANGUARD%20IRA%20.pdf?ver=1690404836529</t>
  </si>
  <si>
    <t>https://img1.wsimg.com/blobby/go/fa91e93a-72dd-4def-b76d-173477e02dd0/downloads/HUBBARD%20-%20West%20Palm%20Beach%20-%20PALMTRAN%20-%20R1%202023.pdf?ver=1690405355614</t>
  </si>
  <si>
    <t>8 Metros - P18+ Who Plan to Buy a Motorcycle in the next 12mos</t>
  </si>
  <si>
    <t>https://img1.wsimg.com/blobby/go/fa91e93a-72dd-4def-b76d-173477e02dd0/downloads/Hubbard%20-%208%20Metros%20-%20P18%2B%20PLANNING%20TO%20BUY%20A%20MO.pdf?ver=1690472067669</t>
  </si>
  <si>
    <t>8 Metros - past 7 days SCOOTER RENTAL Users</t>
  </si>
  <si>
    <t>https://img1.wsimg.com/blobby/go/fa91e93a-72dd-4def-b76d-173477e02dd0/downloads/Hubbard%20-%208%20Metros%20-%20P18%2B%20PAST%207%20DAYS%20SCOOTER%20.pdf?ver=1690478811614</t>
  </si>
  <si>
    <t>8 Metros - P18+ past 30 days POPEYES Customers</t>
  </si>
  <si>
    <t>https://img1.wsimg.com/blobby/go/fa91e93a-72dd-4def-b76d-173477e02dd0/downloads/Hubbard%20-%208%20Metros%20-%20P18%2B%20PAST%2030%20DAYS%20POPEYES.pdf?ver=1690492851094</t>
  </si>
  <si>
    <t>Seattle-Tacoma past 12mos WOODLAND PARK ZOO Visitors</t>
  </si>
  <si>
    <t>https://img1.wsimg.com/blobby/go/fa91e93a-72dd-4def-b76d-173477e02dd0/downloads/HUBBARD%20-%20Seattle%20%20-%20WOODLAND%20PARK%20ZOO%20-%20R1%2020.pdf?ver=1690573038704</t>
  </si>
  <si>
    <t>8 Metros - P18+ New PORSCHE Buyers and Lessees</t>
  </si>
  <si>
    <t>https://img1.wsimg.com/blobby/go/fa91e93a-72dd-4def-b76d-173477e02dd0/downloads/Hubbard%20-%208%20Metros%20-%20P18%2B%20NEW%20PORSCHE%20BUYERS%20A.pdf?ver=1690810308281</t>
  </si>
  <si>
    <t>8 Metros - P18+ M-F 6A-10A MORNING DRIVE LOCAL RADIO LISTENERS</t>
  </si>
  <si>
    <t>https://img1.wsimg.com/blobby/go/fa91e93a-72dd-4def-b76d-173477e02dd0/downloads/Hubbard%20-%208%20Metros%20-%20P18%2B%20M-F%206a-10a%20MORNING%20D.pdf?ver=1690816607723</t>
  </si>
  <si>
    <t>8 Metros - P50+ AARP Members</t>
  </si>
  <si>
    <t>https://img1.wsimg.com/blobby/go/fa91e93a-72dd-4def-b76d-173477e02dd0/downloads/Hubbard%20-%208%20Metros%20-%20P50%2B%20AARP%20MEMBERS%20-%20JAN22.pdf?ver=1690834600047</t>
  </si>
  <si>
    <t>Chicago Metro Area P18+ past 7 days BUTERA MARKET Shoppers</t>
  </si>
  <si>
    <t>Twin Cities P18+ past 12mos ORTHODONTIST users 20mi PURAVIDA</t>
  </si>
  <si>
    <t>https://img1.wsimg.com/blobby/go/fa91e93a-72dd-4def-b76d-173477e02dd0/downloads/Hubbard%20-%20Minneapolis-St.%20Paul%20-%20PURAVIDA%20ORTH.pdf?ver=1690903576671</t>
  </si>
  <si>
    <t>https://img1.wsimg.com/blobby/go/fa91e93a-72dd-4def-b76d-173477e02dd0/downloads/HUBBARD%20-%20CHICAGO%20-%20P18%2B%20PAST%207%20DAYS%20BUTERA%20MA.pdf?ver=1690903950888</t>
  </si>
  <si>
    <t>Seattle-Tacoma Metro Area P18+ Full-Time BOEING Employees</t>
  </si>
  <si>
    <t>https://img1.wsimg.com/blobby/go/fa91e93a-72dd-4def-b76d-173477e02dd0/downloads/HUBBARD%20-%20Seattle%20%20-%20FULL-TIME%20BOEING%20EMPLOYEE.pdf?ver=1690985149335</t>
  </si>
  <si>
    <t>https://img1.wsimg.com/blobby/go/fa91e93a-72dd-4def-b76d-173477e02dd0/downloads/HUBBARD%20-%20Seattle%20%20-%20FULL-TIME%20MICROSOFT%20EMPLO.pdf?ver=1690990187949</t>
  </si>
  <si>
    <t>West Palm Beach DMA Homeowners who Own a Swimming Pool</t>
  </si>
  <si>
    <t>https://img1.wsimg.com/blobby/go/fa91e93a-72dd-4def-b76d-173477e02dd0/downloads/HUBBARD%20-%20West%20Palm%20Beach%20-%20DMA%20-%20SWIMMING%20POO.pdf?ver=1690997163283</t>
  </si>
  <si>
    <t>Seattle-Tacoma Metro Area P18+ Fulll-Time AMAZON Employees</t>
  </si>
  <si>
    <t>https://img1.wsimg.com/blobby/go/fa91e93a-72dd-4def-b76d-173477e02dd0/downloads/HUBBARD%20-%20Seattle%20%20-%20FULL-TIME%20AMAZON%20EMPLOYEE.pdf?ver=1691010936631</t>
  </si>
  <si>
    <t>Chicago P35+ $250K+HHI/$1M HHNW Planned Home Remodelers</t>
  </si>
  <si>
    <t>https://img1.wsimg.com/blobby/go/fa91e93a-72dd-4def-b76d-173477e02dd0/downloads/HUBBARD%20-%20CHICAGO%20-%20P35%2B%20HIGH%20HHI%20NET%20WORTH%20OW.pdf?ver=1691066011533</t>
  </si>
  <si>
    <t>Chicago P35-64 $500K+HH Net Worth using Financial/Estate Planners</t>
  </si>
  <si>
    <t>https://img1.wsimg.com/blobby/go/fa91e93a-72dd-4def-b76d-173477e02dd0/downloads/HUBBARD%20-%20CHICAGO%20-%20FNBC%20-%20LAGRANGE%20-%20WEALTH%20M.pdf?ver=1691078715394</t>
  </si>
  <si>
    <t>8 Metros - P18+ who regularly attend a Church/Temple/Mosque etc.</t>
  </si>
  <si>
    <t>https://img1.wsimg.com/blobby/go/fa91e93a-72dd-4def-b76d-173477e02dd0/downloads/Hubbard%20-%208%20Metros%20-%20P18%2B%20REGULARLY%20ATTEND%20A%20C.pdf?ver=1691160912087</t>
  </si>
  <si>
    <t>8 Metros - P18+ who Plan to Buy a Recreational Vehicle next 12mos</t>
  </si>
  <si>
    <t>https://img1.wsimg.com/blobby/go/fa91e93a-72dd-4def-b76d-173477e02dd0/downloads/Hubbard%20-%208%20Metros%20-%20P18%2B%20PLAN%20TO%20BUY%20A%20RECREA.pdf?ver=1691169631031</t>
  </si>
  <si>
    <t>8 Metros - P18+ past 7 days National Public Radio (NPR) Listeners</t>
  </si>
  <si>
    <t>https://img1.wsimg.com/blobby/go/fa91e93a-72dd-4def-b76d-173477e02dd0/downloads/Hubbard%20-%208%20Metros%20-%20P18%2B%20PAST%207%20DAYS%20NATIONAL.pdf?ver=1691177531331</t>
  </si>
  <si>
    <t>Seattle-Tacoma Metro P18+ past 30 days IVAR'S Seafood Bar Users</t>
  </si>
  <si>
    <t>https://img1.wsimg.com/blobby/go/fa91e93a-72dd-4def-b76d-173477e02dd0/downloads/HUBBARD%20-%20Seattle%20%20-%20IVAR_S%20SEAFOOD%20BAR%20-%20R1%202.pdf?ver=1691184933516</t>
  </si>
  <si>
    <t>8 Metros - P18+ FANDUEL SPORTSBOOK LIVE GOLF MARKETS</t>
  </si>
  <si>
    <t>https://img1.wsimg.com/blobby/go/fa91e93a-72dd-4def-b76d-173477e02dd0/downloads/Hubbard%20-%208%20Metros%20-%20P18%2B%20FANDUEL%20SPORTSBOOK%20L.pdf?ver=1691500221314</t>
  </si>
  <si>
    <t>8 Metros - past 12mos Flew RT to Mexico for Vacation</t>
  </si>
  <si>
    <t>https://img1.wsimg.com/blobby/go/fa91e93a-72dd-4def-b76d-173477e02dd0/downloads/Hubbard%20-%208%20Metros%20-%20P18%2B%20TRAVELED%20RT%20BY%20AIR%20F.pdf?ver=1691505276378</t>
  </si>
  <si>
    <t>8 Metros - past 12mos WNBA Game Attenders</t>
  </si>
  <si>
    <t>https://img1.wsimg.com/blobby/go/fa91e93a-72dd-4def-b76d-173477e02dd0/downloads/Hubbard%20-%208%20Metros%20-%20P18%2B%20PAST%2012%20MONTHS%20WNBA%20.pdf?ver=1691526189807</t>
  </si>
  <si>
    <t>8 Metros - B2B Decision Makers using LinkedIn in the past 30 days</t>
  </si>
  <si>
    <t>https://img1.wsimg.com/blobby/go/fa91e93a-72dd-4def-b76d-173477e02dd0/downloads/Hubbard%20-%208%20Metros%20-%20P18%2B%20B2B%20Decision%20Makers%20.pdf?ver=1691590640643</t>
  </si>
  <si>
    <t>West Palm Beach DMA - P18+ Sub QSR users 2.5mi of Jersey Mike's</t>
  </si>
  <si>
    <t>West Palm Beach DMA - P18+ $75K+HHI QSR users 2.5mi Jersey Mike's</t>
  </si>
  <si>
    <t>https://img1.wsimg.com/blobby/go/fa91e93a-72dd-4def-b76d-173477e02dd0/downloads/HUBBARD%20-%20WEST%20PALM%20BEACH-BOCA%20RATON%20DMA%20-%20%2475.pdf?ver=1691770156776</t>
  </si>
  <si>
    <t>https://img1.wsimg.com/blobby/go/fa91e93a-72dd-4def-b76d-173477e02dd0/downloads/HUBBARD%20-%20WEST%20PALM%20BEACH-BOCA%20RATON%20DMA%20-%20SUB.pdf?ver=1691770191986</t>
  </si>
  <si>
    <t>Seattle  - IceCream/FrznYogurt QSR users w/in 5mi of a Menchie's</t>
  </si>
  <si>
    <t>https://img1.wsimg.com/blobby/go/fa91e93a-72dd-4def-b76d-173477e02dd0/downloads/HUBBARD%20-%20SEATTLE-TACOMA%20-%20MENCHIE_S%20-%20R1%202023.pdf?ver=1691785743830</t>
  </si>
  <si>
    <t>Seattle-Tacoma past 30 days Ezell's Famous Chicken QSR users</t>
  </si>
  <si>
    <t>https://img1.wsimg.com/blobby/go/fa91e93a-72dd-4def-b76d-173477e02dd0/downloads/HUBBARD%20-%20SEATTLE-TACOMA%20-%20EZELL_S%20FAMOUS%20CHIC.pdf?ver=1692283143505</t>
  </si>
  <si>
    <t>8 Metros - past 30 days Little Caesars Pizza customers</t>
  </si>
  <si>
    <t>https://img1.wsimg.com/blobby/go/fa91e93a-72dd-4def-b76d-173477e02dd0/downloads/Hubbard%20-%208%20Metros%20-%20P18%2B%20PAST%2030%20DAYS%20LITTLE%20.pdf?ver=1692384316231</t>
  </si>
  <si>
    <t>West Palm Beach DMA P35+ Planned Kitchen and Bath Remodelers</t>
  </si>
  <si>
    <t>West Palm Beach DMA P18+ past 30 days FIVE GUYS Customers</t>
  </si>
  <si>
    <t>https://img1.wsimg.com/blobby/go/fa91e93a-72dd-4def-b76d-173477e02dd0/downloads/HUBBARD%20-%20WEST%20PALM%20BEACH-BOCA%20RATON%20DMA%20-%20P18.pdf?ver=1692647710481</t>
  </si>
  <si>
    <t>https://img1.wsimg.com/blobby/go/fa91e93a-72dd-4def-b76d-173477e02dd0/downloads/HUBBARD%20-%20WEST%20PALM%20BEACH-BOCA%20RATON%20DMA%20-%20P35.pdf?ver=1692648337812</t>
  </si>
  <si>
    <t>West Palm Beach DMA P18+ SEACOAST BANK Customers</t>
  </si>
  <si>
    <t>https://img1.wsimg.com/blobby/go/fa91e93a-72dd-4def-b76d-173477e02dd0/downloads/HUBBARD%20-%20WEST%20PALM%20BEACH-BOCA%20RATON%20DMA%20-%20SEA.pdf?ver=1692738592124</t>
  </si>
  <si>
    <t>8 Metros - P18+ Always or Sometimes Presidential Election Voters</t>
  </si>
  <si>
    <t>https://img1.wsimg.com/blobby/go/fa91e93a-72dd-4def-b76d-173477e02dd0/downloads/Hubbard%20-%208%20Metros%20-%20P18%2B%20REGISTERED%20VOTERS%20WH.pdf?ver=1692811048105</t>
  </si>
  <si>
    <t>Chicago - P18+ past 12 months CHICAGO WOLVES Hockey Attenders</t>
  </si>
  <si>
    <t>https://img1.wsimg.com/blobby/go/fa91e93a-72dd-4def-b76d-173477e02dd0/downloads/HUBBARD%20-%20CHICAGO%20-%20P18%2B%20PAST%2012MOS%20CHICAGO%20WO.pdf?ver=1692824539166</t>
  </si>
  <si>
    <t>8 Metros - P18+ New LINCOLN Buyers and Lessees</t>
  </si>
  <si>
    <t>https://img1.wsimg.com/blobby/go/fa91e93a-72dd-4def-b76d-173477e02dd0/downloads/Hubbard%20-%208%20Metros%20-%20P18%2B%20New%20LINCOLN%20Buyers%20a.pdf?ver=1692910247852</t>
  </si>
  <si>
    <t>Phoenix Metro - SALT RIVER PROJECT Electric Utility Customers</t>
  </si>
  <si>
    <t>https://img1.wsimg.com/blobby/go/fa91e93a-72dd-4def-b76d-173477e02dd0/downloads/HUBBARD%20-%20PHOENIX%20-%20HOMEOWNERS%20AND%20RENTERS%20IN%20.pdf?ver=1692986553797</t>
  </si>
  <si>
    <t>8 Metros - P35-64 Parents hiring a Tutoring Service for their Teens</t>
  </si>
  <si>
    <t>https://img1.wsimg.com/blobby/go/fa91e93a-72dd-4def-b76d-173477e02dd0/downloads/Hubbard%20-%208%20Metros%20-%20P35-64%20PARENTS%20OF%20TEENAGE.pdf?ver=1693228413058</t>
  </si>
  <si>
    <t>Seattle - P25-64 Weight Loss Program Users 15mi of Transform WL</t>
  </si>
  <si>
    <t>https://img1.wsimg.com/blobby/go/fa91e93a-72dd-4def-b76d-173477e02dd0/downloads/HUBBARD%20-%20SEATTLE-TACOMA%20-%20P25-64%20TRANSFORM%20WE.pdf?ver=1693232683802</t>
  </si>
  <si>
    <t>St. Louis Metro P18+ past 7 days MetroLink Light Rail users</t>
  </si>
  <si>
    <t>Seattle-Tacoma Average</t>
  </si>
  <si>
    <t>Hubbard 8-Metro Average</t>
  </si>
  <si>
    <t>Seattle-Tacoma Difference:</t>
  </si>
  <si>
    <t>https://img1.wsimg.com/blobby/go/fa91e93a-72dd-4def-b76d-173477e02dd0/downloads/HUBBARD%20-%20ST.%20LOUIS%20-%20P18%2B%20PAST%207%20DAYS%20METROLI.pdf?ver=1693256608916</t>
  </si>
  <si>
    <t>WPB DMA - P18+ KEITH TOUCHBERRY for Indian River County Sheriff</t>
  </si>
  <si>
    <t>https://img1.wsimg.com/blobby/go/fa91e93a-72dd-4def-b76d-173477e02dd0/downloads/HUBBARD%20-%20West%20Palm%20Beach-Boca%20Raton%20DMA%20-%20KEI.pdf?ver=1693321253751</t>
  </si>
  <si>
    <t>St. Louis - P18+ Jewelry Buyers/Plan to get Married 3mi ROMANTIQUE</t>
  </si>
  <si>
    <t>https://img1.wsimg.com/blobby/go/fa91e93a-72dd-4def-b76d-173477e02dd0/downloads/HUBBARD%20-%20ST.%20LOUIS%20-%20P18%2B%20JEWELRY%20BUYERS%20AND%20.pdf?ver=1693338411328</t>
  </si>
  <si>
    <t>Twin Cities DMA - P35-64 SkyShepherd GPS Dog Fence Collar Buyers</t>
  </si>
  <si>
    <t>https://img1.wsimg.com/blobby/go/fa91e93a-72dd-4def-b76d-173477e02dd0/downloads/Hubbard%20-%20Minneapolis-St.%20Paul%20-%20DMA%20-%20P35-64%20.pdf?ver=1693407838919</t>
  </si>
  <si>
    <t>Chicago - P18+ past 3yrs Hospital users w/in 20mi of Crystal Lake, IL</t>
  </si>
  <si>
    <t>St. Louis - Dobbs Tire &amp; Auto Centers Customers</t>
  </si>
  <si>
    <t>https://img1.wsimg.com/blobby/go/fa91e93a-72dd-4def-b76d-173477e02dd0/downloads/HUBBARD%20-%20CHICAGO%20-%20P18%2B%20PAST%203%20YRS%20INSURED%20HO.pdf?ver=1693419815361</t>
  </si>
  <si>
    <t>8 Metros - P25-54 Parents of Children 5 &amp; Under using Daycare Svcs</t>
  </si>
  <si>
    <t>https://img1.wsimg.com/blobby/go/fa91e93a-72dd-4def-b76d-173477e02dd0/downloads/Hubbard%20-%208%20Metros%20-%20P25-54%20PARENTS%20OF%20CHILDR.pptx?ver=1693496575925</t>
  </si>
  <si>
    <t>Seattle-Tacoma W25-54 past 3mos shoppers of THE LANDING</t>
  </si>
  <si>
    <t>https://img1.wsimg.com/blobby/go/fa91e93a-72dd-4def-b76d-173477e02dd0/downloads/HUBBARD%20-%20SEATTLE-TACOMA%20-%20W25-54%20PAST%203MOS%20SH.pdf?ver=1693572284394</t>
  </si>
  <si>
    <t>West Palm Beach DMA - Homeowners who own a Pickup &amp; a Boat</t>
  </si>
  <si>
    <t>https://img1.wsimg.com/blobby/go/fa91e93a-72dd-4def-b76d-173477e02dd0/downloads/HUBBARD%20-%20WEST%20PALM%20BEACH-BOCA%20RATON%20DMA%20-%20WES.pdf?ver=1693581226729</t>
  </si>
  <si>
    <t>St. Louis - $250K+HHI P25-64 Owners of $350K+ Single-Family Homes</t>
  </si>
  <si>
    <t>https://img1.wsimg.com/blobby/go/fa91e93a-72dd-4def-b76d-173477e02dd0/downloads/HUBBARD%20-%20ST.%20LOUIS%20-%20P25-64%20STREIB%20COMPANY%20TA.pdf?ver=1693598977045</t>
  </si>
  <si>
    <t>Cincinnati - P35-64 Homeowners replacing their Roof or HVAC</t>
  </si>
  <si>
    <t>Phoenix - P18+ New Vehicle Buyers and Lesses in the past 3 years</t>
  </si>
  <si>
    <t>Cincinnati - P18+ Purchasing from Joseph-Beth Booksellers past 3mo</t>
  </si>
  <si>
    <t>https://img1.wsimg.com/blobby/go/fa91e93a-72dd-4def-b76d-173477e02dd0/downloads/HUBBARD%20-%20PHOENIX%20-%20P18%2B%20PURCHASING%20OR%20LEASING.pdf?ver=1694107787748</t>
  </si>
  <si>
    <t>https://img1.wsimg.com/blobby/go/fa91e93a-72dd-4def-b76d-173477e02dd0/downloads/HUBBARD%20-%20CINCINNATI%20-%20P35-64%20ANYWEATHER%20-%20R1%20.pdf?ver=1694108489795</t>
  </si>
  <si>
    <t>https://img1.wsimg.com/blobby/go/fa91e93a-72dd-4def-b76d-173477e02dd0/downloads/HUBBARD%20-%20CINCINNATI%20-%20P18%2B%20JOSEPH-BETH%20BOOKSE.pdf?ver=1694109058844</t>
  </si>
  <si>
    <t>8 Metros - M25-54 using a Divorce/Family Law Attorney past 12mos</t>
  </si>
  <si>
    <t>https://img1.wsimg.com/blobby/go/fa91e93a-72dd-4def-b76d-173477e02dd0/downloads/Hubbard%20-%208%20Metros%20-%20M25-54%20USING%20A%20DIVORCE%20OR.pdf?ver=1694117601350</t>
  </si>
  <si>
    <t>Seattle P25-64 past 12mo Chiropractor users w/in 3mi of THE JOINT</t>
  </si>
  <si>
    <t>https://img1.wsimg.com/blobby/go/fa91e93a-72dd-4def-b76d-173477e02dd0/downloads/HUBBARD%20-%20SEATTLE-TACOMA%20-%20PAST%2012MOS%20CHIROPRA.pdf?ver=1694191595905</t>
  </si>
  <si>
    <t>8 Metros - P18-34 NOT EMPLOYED and PLAYING VIDEO GAMES</t>
  </si>
  <si>
    <t>https://img1.wsimg.com/blobby/go/fa91e93a-72dd-4def-b76d-173477e02dd0/downloads/Hubbard%20-%208%20Metros%20-%20P18-34%20WHO%20ARE%20NOT%20EMPLOY.pdf?ver=1694204784926</t>
  </si>
  <si>
    <t>WPB DMA - P18+ All American Trailer Co. Target Utility Trailer Buyers</t>
  </si>
  <si>
    <t>Chicago - P25-64 Owners of Out-of-Warranty Vehicles they plan to keep</t>
  </si>
  <si>
    <t>MSP Metro - $150K+HHI P35+ who Give Money to Healthcare Charities</t>
  </si>
  <si>
    <t>MSP Metro - &lt;$50K HHI P35+ Black/Asian/Other/Hispanic LGBTQ+</t>
  </si>
  <si>
    <t>MSP Metro - P35+ using Cancer/Oncology Med Svcs in the past 3yrs</t>
  </si>
  <si>
    <t>MSP Metro - P25-64 Credentialed On-Site Healthcare Professionals</t>
  </si>
  <si>
    <t>8 Metros - TIRE RACK - P18+ past 6 months Online New Tire Buyers</t>
  </si>
  <si>
    <t>https://img1.wsimg.com/blobby/go/fa91e93a-72dd-4def-b76d-173477e02dd0/downloads/HUBBARD%20-%20MINNEAPOLS-ST.%20PAUL%20-%20MASONIC%20CANCER.pdf?ver=1694614043736</t>
  </si>
  <si>
    <t>https://img1.wsimg.com/blobby/go/fa91e93a-72dd-4def-b76d-173477e02dd0/downloads/HUBBARD%20-%20MINNEAPOLS-ST.%20PAUL%20-%20MASONIC%20CANCER.pdf?ver=1694614487325</t>
  </si>
  <si>
    <t>https://img1.wsimg.com/blobby/go/fa91e93a-72dd-4def-b76d-173477e02dd0/downloads/HUBBARD%20-%20MINNEAPOLS-ST.%20PAUL%20-%20MASONIC%20CANCER.pdf?ver=1694614929328</t>
  </si>
  <si>
    <t>https://img1.wsimg.com/blobby/go/fa91e93a-72dd-4def-b76d-173477e02dd0/downloads/HUBBARD%20-%20MINNEAPOLS-ST.%20PAUL%20-%20MASONIC%20CANCER.pdf?ver=1694615323527</t>
  </si>
  <si>
    <t>https://img1.wsimg.com/blobby/go/fa91e93a-72dd-4def-b76d-173477e02dd0/downloads/HUBBARD%20-%20CHICAGO%20-%20NOBLEQUOTE%20EXTENDED%20AUTO%20W.pdf?ver=1694615757352</t>
  </si>
  <si>
    <t>https://img1.wsimg.com/blobby/go/fa91e93a-72dd-4def-b76d-173477e02dd0/downloads/HUBBARD%20-%20WEST%20PALM%20BEACH-BOCA%20RATON%20DMA%20-%20ALL.pdf?ver=1694616139693</t>
  </si>
  <si>
    <t>https://img1.wsimg.com/blobby/go/fa91e93a-72dd-4def-b76d-173477e02dd0/downloads/HUBBARD%20-%208%20METROS%20-%20P18%2B%20PURCHASING%20NEW%20TIRES.pdf?ver=1694616567556</t>
  </si>
  <si>
    <t>8 Metros - P18+ past 12mo $500+ Engagement Ring buyers Shane Co.</t>
  </si>
  <si>
    <t>https://img1.wsimg.com/blobby/go/fa91e93a-72dd-4def-b76d-173477e02dd0/downloads/HUBBARD%20-%208%20METROS%20-%20P18%2B%20PAST%2012%20MONTHS%20%24500%2B.pdf?ver=1694638689526</t>
  </si>
  <si>
    <t>8 Metros - past 12mos Airbnb and Vrbo NYC Apartment Renters</t>
  </si>
  <si>
    <t>https://img1.wsimg.com/blobby/go/fa91e93a-72dd-4def-b76d-173477e02dd0/downloads/HUBBARD%20-%208%20METROS%20-%20P18%2B%20PAST%2012%20MONTHS%20AIRBN.pdf?ver=1695054351795</t>
  </si>
  <si>
    <t>8 Metros - P18+ Obtained a Small Business Loan Online past 6mos</t>
  </si>
  <si>
    <t>https://img1.wsimg.com/blobby/go/fa91e93a-72dd-4def-b76d-173477e02dd0/downloads/HUBBARD%20-%208%20METROS%20-%20P18%2B%20PAST%206%20MONTHS%20OBTAIN.pdf?ver=1695071735180</t>
  </si>
  <si>
    <t>St. Louis - P35+ $250K+HHI Owners of $300K+Homes Home Security</t>
  </si>
  <si>
    <t>https://img1.wsimg.com/blobby/go/fa91e93a-72dd-4def-b76d-173477e02dd0/downloads/HUBBARD%20-%20ST.%20LOUIS%20-%20P35%2B%20STREIB%20COMPANY%20SECU.pdf?ver=1695148263727</t>
  </si>
  <si>
    <t>8 Metros - P18+ Supporters of America's Funding the War in Ukraine</t>
  </si>
  <si>
    <t>https://img1.wsimg.com/blobby/go/fa91e93a-72dd-4def-b76d-173477e02dd0/downloads/HUBBARD%20-%208%20METROS%20-%20P18%2B%20WHO%20SUPPORT%20AMERICA_.pdf?ver=1695155979007</t>
  </si>
  <si>
    <t>Washington DC Metro - past 12 months AUSTRALIAN OPEN Viewers</t>
  </si>
  <si>
    <t>8 Metros - past 12 months AUSTRALIAN OPEN Viewers</t>
  </si>
  <si>
    <t>https://img1.wsimg.com/blobby/go/fa91e93a-72dd-4def-b76d-173477e02dd0/downloads/HUBBARD%20-%208%20METROS%20-%20P18%2B%20WHO%20WATCHED%20THE%20AUST.pdf?ver=1695223359367</t>
  </si>
  <si>
    <t>https://img1.wsimg.com/blobby/go/fa91e93a-72dd-4def-b76d-173477e02dd0/downloads/HUBBARD%20-%20WASHINGTON%2C%20DC%20-%20P18%2B%20WHO%20WATCHED%20TH.pdf?ver=1695223706751</t>
  </si>
  <si>
    <t>Chicago  - P18+ Military Veterans considering Going Back to College</t>
  </si>
  <si>
    <t>https://img1.wsimg.com/blobby/go/fa91e93a-72dd-4def-b76d-173477e02dd0/downloads/HUBBARD%20-%20CHICAGO%20-%20FORMER%20MILITARY%20CONSIDERIN.pdf?ver=1695234345669</t>
  </si>
  <si>
    <t>8 Metros - P18+ who refused to take the COVID Vaccine Shot</t>
  </si>
  <si>
    <t>https://img1.wsimg.com/blobby/go/fa91e93a-72dd-4def-b76d-173477e02dd0/downloads/HUBBARD%20-%208%20METROS%20-%20P18%2B%20WHO%20REFUSED%20TO%20TAKE.pptx?ver=1695244658841</t>
  </si>
  <si>
    <t>Phoenix  - P18+ Registered Likely Voters in AZ Congressional Dist. 1</t>
  </si>
  <si>
    <t>Seattle-Tacoma - P35-64 SYNTHETIC TURF NW Target Homeowners</t>
  </si>
  <si>
    <t>https://img1.wsimg.com/blobby/go/fa91e93a-72dd-4def-b76d-173477e02dd0/downloads/HUBBARD%20-%20SEATTLE-TACOMA%20-%20P35-64%20SYNTHETIC%20TU.pdf?ver=1695411851760</t>
  </si>
  <si>
    <t>https://img1.wsimg.com/blobby/go/fa91e93a-72dd-4def-b76d-173477e02dd0/downloads/HUBBARD%20-%20PHOENIX%20-%20REGISTERED%20LIKELY%20VOTERS%20I.pdf?ver=1695412372307</t>
  </si>
  <si>
    <t>Cincinnati  - P50+ CD Buyers w/in a 15-mi radius of COVE Credit Union</t>
  </si>
  <si>
    <t>https://img1.wsimg.com/blobby/go/fa91e93a-72dd-4def-b76d-173477e02dd0/downloads/HUBBARD%20-%20CINCINNATI%20-%20P50%2B%20CD%20BUYERS%20WITHIN%20A.pdf?ver=1695653664182</t>
  </si>
  <si>
    <t>8 Metros - P18+ Homeowners who own a Swimming Pool or Hot Tub</t>
  </si>
  <si>
    <t>https://img1.wsimg.com/blobby/go/fa91e93a-72dd-4def-b76d-173477e02dd0/downloads/HUBBARD%20-%208%20METROS%20-%20P18%2B%20HOMEOWNERS%20WHO%20OWN%20A.pdf?ver=1696010218276</t>
  </si>
  <si>
    <t>St. Louis P35+ High HHI/Net Worth Homeowners replacing Windows</t>
  </si>
  <si>
    <t>https://img1.wsimg.com/blobby/go/fa91e93a-72dd-4def-b76d-173477e02dd0/downloads/HUBBARD%20-%20ST.%20LOUIS%20-%20P35%2B%20RENEWAL%20BY%20ANDERSEN.pdf?ver=1696621246211</t>
  </si>
  <si>
    <t>Seattle Metro P18+ used SEATAC to Fly RT to Mexico past 12 months</t>
  </si>
  <si>
    <t>https://img1.wsimg.com/blobby/go/fa91e93a-72dd-4def-b76d-173477e02dd0/downloads/HUBBARD%20-%20SEATTLE-TACOMA%20-%20P18%2B%20VOLARIS%20-%20R1%202.pdf?ver=1696933580836</t>
  </si>
  <si>
    <t>Seattle - P35+ $150K+HHI Homeowners Planning to buy a New Roof</t>
  </si>
  <si>
    <t>https://img1.wsimg.com/blobby/go/fa91e93a-72dd-4def-b76d-173477e02dd0/downloads/HUBBARD%20-%20Seattle%20%20-%20GUARDIAN%20ROOFING.pdf?ver=1696971268653</t>
  </si>
  <si>
    <t>Chicago Metro Area P18+ past 30 days CHICK-FIL-A Customers</t>
  </si>
  <si>
    <t>Chicago Metro Area P18+ past 30 days PORTILLO'S Customers</t>
  </si>
  <si>
    <t>https://img1.wsimg.com/blobby/go/fa91e93a-72dd-4def-b76d-173477e02dd0/downloads/HUBBARD%20-%20CHICAGO%20-%20P18%2B%20PAST%2030%20DAYS%20CHICK-FI.pdf?ver=1697043552112</t>
  </si>
  <si>
    <t>https://img1.wsimg.com/blobby/go/fa91e93a-72dd-4def-b76d-173477e02dd0/downloads/HUBBARD%20-%20CHICAGO%20-%20P18%2B%20PAST%2030%20DAYS%20PORTILLO.pdf?ver=1697044179899</t>
  </si>
  <si>
    <t>Twin Cities $75K+HHI 50+mi/wk drivers w/in 5 mi Silverstar Car Wash</t>
  </si>
  <si>
    <t>https://img1.wsimg.com/blobby/go/fa91e93a-72dd-4def-b76d-173477e02dd0/downloads/HUBBARD%20-%20MINNEAPOLS-ST.%20PAUL%20-%20P25-64%20SILVER.pptx?ver=1697201201345</t>
  </si>
  <si>
    <t>West Palm Beach DMA P35+ Planned Replacement Window Buyers</t>
  </si>
  <si>
    <t>https://img1.wsimg.com/blobby/go/fa91e93a-72dd-4def-b76d-173477e02dd0/downloads/HUBBARD%20-%20WEST%20PALM%20BEACH-BOCA%20RATON%20DMA%20-%20HIG.pdf?ver=1697219895950</t>
  </si>
  <si>
    <t>Seattle-Tacoma Metro past 7 days PCC Comminty Market Shoppers</t>
  </si>
  <si>
    <t>St. Louis - $75K+HHI p25-64 50+MI/WK Drivers 5mi Scrubbles Carwash</t>
  </si>
  <si>
    <t>St. Louis Metro P18+ Planned New Pickup Truck Buyers &amp; Lessees</t>
  </si>
  <si>
    <t>https://img1.wsimg.com/blobby/go/fa91e93a-72dd-4def-b76d-173477e02dd0/downloads/HUBBARD%20-%20SEATTLE-TACOMA%20-%20PCC%20COMMUNITY%20MARKE.pdf?ver=1697579415828</t>
  </si>
  <si>
    <t>https://img1.wsimg.com/blobby/go/fa91e93a-72dd-4def-b76d-173477e02dd0/downloads/HUBBARD%20-%20ST.%20LOUIS%20-%20P25-64%20SCRUBBLES%20EXPRESS.pdf?ver=1697580028193</t>
  </si>
  <si>
    <t>Palm Beach County P18+ past 7 days DORIS Italian Market shoppers</t>
  </si>
  <si>
    <t>https://img1.wsimg.com/blobby/go/fa91e93a-72dd-4def-b76d-173477e02dd0/downloads/WEST%20PALM%20BEACH%20-%20P18%2B%20PAST%207%20DAYS%20DORIS%20ITALI.pdf?ver=1697662740756</t>
  </si>
  <si>
    <t>St. Louis Metro P25-64 Credit Union as Primary Bank 5mi of an FCBCU</t>
  </si>
  <si>
    <t>St. Louis P25-64 likely New SUBARU Buyers w/in 15mi SUNSET HILLS SUBARU</t>
  </si>
  <si>
    <t>https://img1.wsimg.com/blobby/go/fa91e93a-72dd-4def-b76d-173477e02dd0/downloads/HUBBARD%20-%20St.%20Louis%20-%20SUNSET%20HILLS%20SUBARU%20-%20R1.pdf?ver=1697836515290</t>
  </si>
  <si>
    <t>https://img1.wsimg.com/blobby/go/fa91e93a-72dd-4def-b76d-173477e02dd0/downloads/ST.%20LOUIS%20-%20R1%202023%20-%20FCB%20BANKS.pdf?ver=1697836897284</t>
  </si>
  <si>
    <t>St. Louis - P35-64 past 7 days Frozen Pizza Buyers for Bernatello's</t>
  </si>
  <si>
    <t>https://img1.wsimg.com/blobby/go/fa91e93a-72dd-4def-b76d-173477e02dd0/downloads/ST.%20LOUIS%20-%20R1%202023%20-%20BERNATELLO_S%20PIZZA.pdf?ver=1698089326556</t>
  </si>
  <si>
    <t>Hours:Minutes Local AM/FM Radio Ad-Supported Media Time -Spent-Listening</t>
  </si>
  <si>
    <t>Hours:Minutes All Forms of Media</t>
  </si>
  <si>
    <t>Hours:Minutes Ad-Free Media</t>
  </si>
  <si>
    <t>Hours:Minutes Ad-Supported Media</t>
  </si>
  <si>
    <t>Phoenix Metro  - $50K+HHI Plan to Buy/Lease a New Truck or SUV</t>
  </si>
  <si>
    <t>https://img1.wsimg.com/blobby/go/fa91e93a-72dd-4def-b76d-173477e02dd0/downloads/HUBBARD%20-%20PHOENIX%20-%20R1%202023A%20-%20SANDERSON%20FORD%20.pdf?ver=1698176853761</t>
  </si>
  <si>
    <t>West Palm Beach - past 12mos overnight travelers to Orlando</t>
  </si>
  <si>
    <t>https://img1.wsimg.com/blobby/go/fa91e93a-72dd-4def-b76d-173477e02dd0/downloads/WEST%20PALM%20BEACH%20-%20BOCA%20RATON%20METRO%20-%20BRIGHTLIN.pdf?ver=1698266267672</t>
  </si>
  <si>
    <t>Cincinnati - P35+ $150K+HHI/$500K+HH Net Worth Home Remodelers</t>
  </si>
  <si>
    <t>https://img1.wsimg.com/blobby/go/fa91e93a-72dd-4def-b76d-173477e02dd0/downloads/HUBBARD%20-%20CINCINNATI%20-%20R1%202023A%20-%20RLS%20CONSTRUC.pdf?ver=1698442360143</t>
  </si>
  <si>
    <t>MSP Metro P18+ past 30 days PODCAST Listeners (R2 2023)</t>
  </si>
  <si>
    <t>MSP Metro P18+ past 30 days PODCAST Listeners (R1 2023)</t>
  </si>
  <si>
    <t>https://img1.wsimg.com/blobby/go/fa91e93a-72dd-4def-b76d-173477e02dd0/downloads/PODCASTS%20P18%2B%20R2%202023%20MINNEAPOLIS-ST.%20PAUL%20MET.pdf?ver=1698955372169</t>
  </si>
  <si>
    <t>St. Louis - $150K+HHI/$500K+HH NW M35+ Homeowners GarageZilla</t>
  </si>
  <si>
    <t>https://img1.wsimg.com/blobby/go/fa91e93a-72dd-4def-b76d-173477e02dd0/downloads/GARAGEZILLA%20M35%2B%20R2%202023%20ST.%20LOUIS%20METRO%20PROFI.pdf?ver=1699913482336</t>
  </si>
  <si>
    <t>Cincinnati Metro Area Owners of $200K+ Homes replacing their Roof r2 2023</t>
  </si>
  <si>
    <t>MSP Metro - P35+ Own an RV and/or Plan to Buy an RV next 12mos</t>
  </si>
  <si>
    <t>https://img1.wsimg.com/blobby/go/fa91e93a-72dd-4def-b76d-173477e02dd0/downloads/AC%20NELSON%20RV%20P35%2B%20R2%202023%20MINNEAPOLIS-ST.%20PAUL.pdf?ver=1699990956497</t>
  </si>
  <si>
    <t>https://img1.wsimg.com/blobby/go/fa91e93a-72dd-4def-b76d-173477e02dd0/downloads/HUBBARD%20-%20CINCINNATI%20-%20R2%202023A%20-%20P35-64%20FEAZE.pdf?ver=1699991338438</t>
  </si>
  <si>
    <t>Seattle P25-64 past 7 days PCC COMMUNITY Markets Shoppers 2023</t>
  </si>
  <si>
    <t>https://img1.wsimg.com/blobby/go/fa91e93a-72dd-4def-b76d-173477e02dd0/downloads/HUBBARD%20-%20SEATTLE-TACOMA%20-%20PCC%20COMMUNITY%20MARKE.pdf?ver=1700516910708</t>
  </si>
  <si>
    <t>Chicago P25-64 Homeowners who Plan to Buy New Carpet/Flooring</t>
  </si>
  <si>
    <t>https://img1.wsimg.com/blobby/go/fa91e93a-72dd-4def-b76d-173477e02dd0/downloads/CHICAGO%20Metro%20-%20soefa.ai%20-%20R2%202023B%20-%20HOMEOWNE.pdf?ver=1700595576889</t>
  </si>
  <si>
    <t>Seattle P35-64 Homeowners who Plan to Use Plumber/Electrician</t>
  </si>
  <si>
    <t>https://img1.wsimg.com/blobby/go/fa91e93a-72dd-4def-b76d-173477e02dd0/downloads/SEATTLE-TACOMA%20Metro%20-%20soefa.ai%20-%20R2%202023A%20-%20P.pdf?ver=1701123192357</t>
  </si>
  <si>
    <t>8 Metros - past 30 days Little Caesars Pizza customers R2 2023</t>
  </si>
  <si>
    <t>https://img1.wsimg.com/blobby/go/fa91e93a-72dd-4def-b76d-173477e02dd0/downloads/8-METROS%20-%20soefa.ai%20-%20R2%202023A%20-%20PAST%2030%20DAYS%20.pdf?ver=1701448371399</t>
  </si>
  <si>
    <t>Chicago - P18+ LOYOLA - PARKINSON SCHOOL OF HEALTH SCIENCES</t>
  </si>
  <si>
    <t>Chicago - P18+ LOYOLA - SCHOOL OF ENVIRONMENTAL SUSTAINABILITY</t>
  </si>
  <si>
    <t>Chicago - P18+ LOYOLA - QUINLAN SCHOOL OF BUSINESS</t>
  </si>
  <si>
    <t>Minneapolis-St. Paul - P18+ LOYOLA - SCHOOL OF ENVIRONMENTAL SUSTAINABILITY</t>
  </si>
  <si>
    <t>St. Louis - P18+ LOYOLA - QUINLAN SCHOOL OF BUSINESS</t>
  </si>
  <si>
    <t>Chicago - P18+ LOYOLA - SCHOOL OF LAW</t>
  </si>
  <si>
    <t>https://img1.wsimg.com/blobby/go/fa91e93a-72dd-4def-b76d-173477e02dd0/downloads/LOYOLA%20UNIVERSITY%20CHICAGO%20-%20LOYOLA%20SCHOOL%20OF%20L.pdf?ver=1702935286461</t>
  </si>
  <si>
    <t>https://img1.wsimg.com/blobby/go/fa91e93a-72dd-4def-b76d-173477e02dd0/downloads/LOYOLA%20UNIVERSITY%20CHICAGO%20-%20QUINLAN%20SCHOOL%20OF%20.pdf?ver=1702935326837</t>
  </si>
  <si>
    <t>https://img1.wsimg.com/blobby/go/fa91e93a-72dd-4def-b76d-173477e02dd0/downloads/LOYOLA%20UNIVERSITY%20CHICAGO%20-%20SCHOOL%20OF%20ENVIRONM.pdf?ver=1702935390366</t>
  </si>
  <si>
    <t>https://img1.wsimg.com/blobby/go/fa91e93a-72dd-4def-b76d-173477e02dd0/downloads/LOYOLA%20UNIVERSITY%20CHICAGO%20-%20SCHOOL%20OF%20ENVIRONM.pdf?ver=1702935438064</t>
  </si>
  <si>
    <t>https://img1.wsimg.com/blobby/go/fa91e93a-72dd-4def-b76d-173477e02dd0/downloads/LOYOLA%20UNIVERSITY%20CHICAGO%20-%20QUINLAN%20SCHOOL%20OF%20.pdf?ver=1702935467707</t>
  </si>
  <si>
    <t>https://img1.wsimg.com/blobby/go/fa91e93a-72dd-4def-b76d-173477e02dd0/downloads/LOYOLA%20UNIVERSITY%20CHICAGO%20-%20PARKINSON%20SCHOOL%20O.pdf?ver=1702935513676</t>
  </si>
  <si>
    <t xml:space="preserve">Phoenix Metro - P35+ Homeowners who Plan to Sell their Home </t>
  </si>
  <si>
    <t>https://img1.wsimg.com/blobby/go/fa91e93a-72dd-4def-b76d-173477e02dd0/downloads/HUBBARD%20-%20PHOENIX%20-%20CAROL%20ROYCE%20TEAM%20REAL%20ESTA.pdf?ver=1703007075992</t>
  </si>
  <si>
    <t>St. Louis DMA - Single-Family Homeowners planning to buy Solar Panels</t>
  </si>
  <si>
    <t>https://img1.wsimg.com/blobby/go/fa91e93a-72dd-4def-b76d-173477e02dd0/downloads/HUBBARD%20-%20ST.%20LOUIS%20-%20DMA%20-%20EFS%20ENERGY%20-%20soefa.pdf?ver=1704289343193</t>
  </si>
  <si>
    <t>Chicago - P18+ past 30 days PORTILLO'S Customers</t>
  </si>
  <si>
    <t>Chicago - P18-34 past 30 days PORTILLO'S Customers</t>
  </si>
  <si>
    <t>Chicago - P18-49 past 30 days PORTILLO'S Customers</t>
  </si>
  <si>
    <t>Chicago - M18-49 past 30 days PORTILLO'S Customers</t>
  </si>
  <si>
    <t>Chicago - W18-49 past 30 days PORTILLO'S Customers</t>
  </si>
  <si>
    <t>Chicago - P25-54 past 30 days PORTILLO'S Customers</t>
  </si>
  <si>
    <t>Chicago - M25-54 past 30 days PORTILLO'S Customers</t>
  </si>
  <si>
    <t>Chicago - W25-54 past 30 days PORTILLO'S Customers</t>
  </si>
  <si>
    <t>Chicago - P35-64 past 30 days PORTILLO'S Customers</t>
  </si>
  <si>
    <t>Chicago - M35-64 past 30 days PORTILLO'S Customers</t>
  </si>
  <si>
    <t>Chicago - W35-64 past 30 days PORTILLO'S Customers</t>
  </si>
  <si>
    <t>Chicago - P50+ past 30 days PORTILLO'S Customers</t>
  </si>
  <si>
    <t>https://img1.wsimg.com/blobby/go/fa91e93a-72dd-4def-b76d-173477e02dd0/downloads/HUBBARD%20-%20CHICAGO%20-%20PORTILLOS%20-%20soefa.ai%20-%20R2%20.pdf?ver=1704294449311</t>
  </si>
  <si>
    <t>St. Louis - P18+ TECOVAS BOOTS Targeted In-Store Buyers</t>
  </si>
  <si>
    <t>St. Louis - P18+ TECOVAS BOOTS Targeted Online Buyers</t>
  </si>
  <si>
    <t>MSP Metro - $100K+HHI Age 35-64 Adult Single-Family Homeowners</t>
  </si>
  <si>
    <t>https://img1.wsimg.com/blobby/go/fa91e93a-72dd-4def-b76d-173477e02dd0/downloads/HUBBARD%20-%20MINNEAPOLIS-ST.%20PAUL%20-%20METRO%20-%20FIRES.pdf?ver=1704393787234</t>
  </si>
  <si>
    <t>https://img1.wsimg.com/blobby/go/fa91e93a-72dd-4def-b76d-173477e02dd0/downloads/HUBBARD%20-%20ST.%20LOUIS%20-%20METRO%20-%20TECOVAS%20-%20soefa..pdf?ver=1704394251584</t>
  </si>
  <si>
    <t>Seattle DMA P50+ Small Credit Union &amp; Community Bank Users</t>
  </si>
  <si>
    <t>https://img1.wsimg.com/blobby/go/fa91e93a-72dd-4def-b76d-173477e02dd0/downloads/HUBBARD%20-%20SEATTLE-TACOMA%20%20-%20DMA%20-%201ST%20SECURITY.pdf?ver=1704475049390</t>
  </si>
  <si>
    <t>Phoenix - $150K+HHI P35-64 Homeowners who Plan to Paint Home</t>
  </si>
  <si>
    <t>https://img1.wsimg.com/blobby/go/fa91e93a-72dd-4def-b76d-173477e02dd0/downloads/HUBBARD%20-%20PHOENIX%20-%20%24150K%2BHHI%20P35-64%20CERTAPRO%20.pdf?ver=1704906628029</t>
  </si>
  <si>
    <t>MSP Metro - P35+ Homeowners who use or plan to buy a Pest Control Service</t>
  </si>
  <si>
    <t>https://img1.wsimg.com/blobby/go/fa91e93a-72dd-4def-b76d-173477e02dd0/downloads/HUBBARD%20-%20MINNEAPOLIS-ST.%20PAUL%20-%20METRO%20-%20P35%2B%20.pdf?ver=1704911074397</t>
  </si>
  <si>
    <t>WPB DMA - P18+ City of Sebastian, FL, 32958 Residents</t>
  </si>
  <si>
    <t>https://img1.wsimg.com/blobby/go/fa91e93a-72dd-4def-b76d-173477e02dd0/downloads/HUBBARD%20-%20WEST%20PALM%20BEACH%20DMA%20-%20P18%2B%20SEBASTIAN.pdf?ver=1704994982643</t>
  </si>
  <si>
    <t>8 Metros - P50+ Work Full-Time, have a 401K, Plan to Retire in 12mos</t>
  </si>
  <si>
    <t>https://img1.wsimg.com/blobby/go/fa91e93a-72dd-4def-b76d-173477e02dd0/downloads/HUBBARD%20-%208-METROS%20-%20P50%2B%20HAVE%20A%20401K%20%26%20PLAN%20T.pdf?ver=1705415438207</t>
  </si>
  <si>
    <t>Chicago - P18+ Live in a HH with a Substance Abuse Treatment User</t>
  </si>
  <si>
    <t>https://img1.wsimg.com/blobby/go/fa91e93a-72dd-4def-b76d-173477e02dd0/downloads/HUBBARD%20-%20CHICAGO%20-%20KENNETH%20YOUNG%20CENTER%20-%20soe.pdf?ver=1705592623992</t>
  </si>
  <si>
    <t>St. Louis - $150K+HHI/$500K+HH Net Worth Business Owners/C-Suite</t>
  </si>
  <si>
    <t>https://img1.wsimg.com/blobby/go/fa91e93a-72dd-4def-b76d-173477e02dd0/downloads/HUBBARD%20-%20St.%20Louis%20-%20AVISION%20YOUNG%20COMMERCIAL.pdf?ver=1705610377233</t>
  </si>
  <si>
    <t>8 Metros - P18+ who Plan to Visit a Gun Range in the next 12mos</t>
  </si>
  <si>
    <t>https://img1.wsimg.com/blobby/go/fa91e93a-72dd-4def-b76d-173477e02dd0/downloads/HUBBARD%20-%208-METROS%20-%20PLAN%20TO%20VISIT%20A%20GUN%20RANGE.pdf?ver=1706104914854</t>
  </si>
  <si>
    <t>8 Metros - P18+ past 30 days Coffee House/Coffee Bar Users</t>
  </si>
  <si>
    <t>8 Metros - P18-34 past 30 days Coffee House/Coffee Bar Users</t>
  </si>
  <si>
    <t>8 Metros - P25-54 past 30 days Coffee House/Coffee Bar Users</t>
  </si>
  <si>
    <t>8 Metros - W25-54 past 30 days Coffee House/Coffee Bar Users</t>
  </si>
  <si>
    <t>8 Metros - M25-54 past 30 days Coffee House/Coffee Bar Users</t>
  </si>
  <si>
    <t>https://img1.wsimg.com/blobby/go/fa91e93a-72dd-4def-b76d-173477e02dd0/downloads/HUBBARD%20-%208-METROS%20-%20PAST%2030%20DAYS%20COFFEE%20HOUSE.pdf?ver=1706126838465</t>
  </si>
  <si>
    <t>MSP Metro - P18+ used a Dentist in the past 12 months</t>
  </si>
  <si>
    <t>Phoenix - P18+ Mental Health &amp; Urgent Care Users 5mi of MIND 24-7</t>
  </si>
  <si>
    <t>https://img1.wsimg.com/blobby/go/fa91e93a-72dd-4def-b76d-173477e02dd0/downloads/HUBBARD%20-%20PHOENIX%20-%20MENTAL%20HEALTH%20%26%20URGENT%20CAR.pdf?ver=1706649631609</t>
  </si>
  <si>
    <t>https://img1.wsimg.com/blobby/go/fa91e93a-72dd-4def-b76d-173477e02dd0/downloads/HUBBARD%20-%20MINNEAPOLIS-ST.%20PAUL%20-%20METRO%20-%20PAST%20.pdf?ver=1706650086912</t>
  </si>
  <si>
    <t>Phoenix - AZ-1 P18+ Registered Likely Voters</t>
  </si>
  <si>
    <t>Phoenix - AZ-1 P18+ Registered Likely Democrat Voters</t>
  </si>
  <si>
    <t>Phoenix - AZ-1 P18+ Registered Likely Republican Voters</t>
  </si>
  <si>
    <t>Phoenix - AZ-1 P18+ Registered Likely Independent/Swing Voters</t>
  </si>
  <si>
    <t>https://img1.wsimg.com/blobby/go/fa91e93a-72dd-4def-b76d-173477e02dd0/downloads/HUBBARD%20-%20PHOENIX%20-%20AZ-1%20CONGRESSIONAL%20DISTRIC.pdf?ver=1706773835230</t>
  </si>
  <si>
    <t>Twin Cities P35+ Homeowners Planning to Buy New Windows/Doors</t>
  </si>
  <si>
    <t>Twin Cities Homeowners who used a Plumbing Service in the past 12mos</t>
  </si>
  <si>
    <t>Twin Cities Single-Family Homeowners who can afford Basement Fix</t>
  </si>
  <si>
    <t>Twin Cities P18+ who use or Plan to use a Carpet Cleaning Service</t>
  </si>
  <si>
    <t>https://img1.wsimg.com/blobby/go/fa91e93a-72dd-4def-b76d-173477e02dd0/downloads/HUBBARD%20-%20MINNEAPOLIS-ST.%20PAUL%20-%20METRO%20-%20ZEROR.pdf?ver=1706821910519</t>
  </si>
  <si>
    <t>https://img1.wsimg.com/blobby/go/fa91e93a-72dd-4def-b76d-173477e02dd0/downloads/HUBBARD%20-%20MINNEAPOLIS-ST.%20PAUL%20-%20METRO%20-%20A.J.%20.pdf?ver=1706822357092</t>
  </si>
  <si>
    <t>https://img1.wsimg.com/blobby/go/fa91e93a-72dd-4def-b76d-173477e02dd0/downloads/HUBBARD%20-%20MINNEAPOLIS-ST.%20PAUL%20-%20METRO%20-%20STAND.pdf?ver=1706822694594</t>
  </si>
  <si>
    <t>https://img1.wsimg.com/blobby/go/fa91e93a-72dd-4def-b76d-173477e02dd0/downloads/HUBBARD%20-%20MINNEAPOLIS-ST.%20PAUL%20-%20METRO%20-%20GREAT.pdf?ver=1706823193771</t>
  </si>
  <si>
    <t>8 Metros - P18+ past 30 days FIVE GUYS BURGERS and FRIES users</t>
  </si>
  <si>
    <t>https://img1.wsimg.com/blobby/go/fa91e93a-72dd-4def-b76d-173477e02dd0/downloads/HUBBARD%20-%208-METROS%20-%20FIVE%20GUYS%20BURGERS%20AND%20FRI.pdf?ver=1706974624162</t>
  </si>
  <si>
    <t>Treasure Coast, FL, $50K+HHI Planned New &amp; Used Vehicle Buyers</t>
  </si>
  <si>
    <t>https://img1.wsimg.com/blobby/go/fa91e93a-72dd-4def-b76d-173477e02dd0/downloads/HUBBARD%20-%20TREASURE%20COAST%20FL%20%2450K%2BHHI%20PLANNED%20N.pdf?ver=1707306559448</t>
  </si>
  <si>
    <t>MSP Metro - P25-54 BOBBY &amp; STEVE'S AUTO WORLD Target Customers</t>
  </si>
  <si>
    <t>MSP Metro - High HHI/Net Worth Business Owners &amp; Homeowners</t>
  </si>
  <si>
    <t>Phoenix - $75K+HHI M25-54 ATV, JEEP, PICKUP TRUCK Owners</t>
  </si>
  <si>
    <t>https://img1.wsimg.com/blobby/go/fa91e93a-72dd-4def-b76d-173477e02dd0/downloads/HUBBARD%20-%20PHOENIX%20-%20RIGID%20INDUSTRIES%20-%20soefa.a.pdf?ver=1707337365889</t>
  </si>
  <si>
    <t>https://img1.wsimg.com/blobby/go/fa91e93a-72dd-4def-b76d-173477e02dd0/downloads/HUBBARD%20-%20MINNEAPOLIS-ST.%20PAUL%20-%20METRO%20-%20SQUEE.pdf?ver=1707337844003</t>
  </si>
  <si>
    <t>https://img1.wsimg.com/blobby/go/fa91e93a-72dd-4def-b76d-173477e02dd0/downloads/HUBBARD%20-%20MINNEAPOLIS-ST.%20PAUL%20-%20METRO%20-%20BOBBY.pdf?ver=1707338300187</t>
  </si>
  <si>
    <t>8 Metros - P18+ who Purchased or Leased a New 2023 TESLA Vehicle</t>
  </si>
  <si>
    <t>https://img1.wsimg.com/blobby/go/fa91e93a-72dd-4def-b76d-173477e02dd0/downloads/HUBBARD%20-%208-METROS%20-%20PURCHASED%20OR%20LEASED%20A%20NEW.pdf?ver=1707493080566</t>
  </si>
  <si>
    <t>Cincinnati - OH-1 Congressional District P18+ Likely Voters</t>
  </si>
  <si>
    <t>Cincinnati - OH-1 Congressional District P18+ Likely Democrat Voters</t>
  </si>
  <si>
    <t>Cincinnati - OH-1 Congressional District P18+ Likely Republican Voters</t>
  </si>
  <si>
    <t>Cincinnati - OH-1 Congressional District P18+ Likely Independent Voters</t>
  </si>
  <si>
    <t>https://img1.wsimg.com/blobby/go/fa91e93a-72dd-4def-b76d-173477e02dd0/downloads/HUBBARD%20-%20CINCINNATI%20-%20OH%201ST%20CONGRESSIONAL%20DI.pdf?ver=1707771023144</t>
  </si>
  <si>
    <t>8 Metros - P18+ who Plan to Buy or Lease a New $30K+ 2024 Vehicle</t>
  </si>
  <si>
    <t>8 Metros - P25-54 who Plan to Buy or Lease a New $30K+ 2024 Vehicle</t>
  </si>
  <si>
    <t>Seattle P18+ past 12mos visitors to THE MUSEUM OF FLIGHT</t>
  </si>
  <si>
    <t>Seattle P25-54 past 12mos visitors to THE MUSEUM OF FLIGHT</t>
  </si>
  <si>
    <t>https://img1.wsimg.com/blobby/go/fa91e93a-72dd-4def-b76d-173477e02dd0/downloads/HUBBARD%20-%20SEATTLE-TACOMA%20-%20PAST%2012MOS%20MUSEUM%20O.pdf?ver=1707946400300</t>
  </si>
  <si>
    <t>https://img1.wsimg.com/blobby/go/fa91e93a-72dd-4def-b76d-173477e02dd0/downloads/HUBBARD%20-%208-METROS%20-%20PLAN%20TO%20BUY%20OR%20LEASE%20A%20NE.pdf?ver=1707946429439</t>
  </si>
  <si>
    <t>St. Louis Metro Area P18+ past 30 days HARDEE'S Customers</t>
  </si>
  <si>
    <t>https://img1.wsimg.com/blobby/go/fa91e93a-72dd-4def-b76d-173477e02dd0/downloads/HUBBARD%20-%20ST.%20LOUIS%20-%20P18%2B%20%26%20P25-54%20past%2030%20da.pdf?ver=1708031980979</t>
  </si>
  <si>
    <t>USA - P18+ DAYTONA 500 TV/Cable/Streaming Viewers</t>
  </si>
  <si>
    <t>St. Louis - $100K+HHI/$250K+HH Net Worth W35-64 Day Spa Users</t>
  </si>
  <si>
    <t>USA - W25-64 receivers of Online SPA GIFT CARDS on Valentine's Day</t>
  </si>
  <si>
    <t>https://img1.wsimg.com/blobby/go/fa91e93a-72dd-4def-b76d-173477e02dd0/downloads/HUBBARD%20-%20USA%20-%20WATCH%20OR%20STREAM%20THE%20DAYTONA%2050.pdf?ver=1708437792714</t>
  </si>
  <si>
    <t>https://img1.wsimg.com/blobby/go/fa91e93a-72dd-4def-b76d-173477e02dd0/downloads/HUBBARD%20-%20ST.%20LOUIS%20-%20W36-64%20%26%20W35%2B%20WOODHOUSE%20.pdf?ver=1708438430537</t>
  </si>
  <si>
    <t>https://img1.wsimg.com/blobby/go/fa91e93a-72dd-4def-b76d-173477e02dd0/downloads/HUBBARD%20-%20USA%20-%20W25-64%20ONLINE%20SPA%20GIFT%20CARD%20RE.pdf?ver=1708438465892</t>
  </si>
  <si>
    <t>MSP - $75K+HHI W35-54 Moms of Kids under 12 w/in 5mi of a YMCA</t>
  </si>
  <si>
    <t>https://img1.wsimg.com/blobby/go/fa91e93a-72dd-4def-b76d-173477e02dd0/downloads/HUBBARD%20-%20MINNEAPOLIS-ST.%20PAUL%20-%20%2475K%2BHHI%20W35-.pdf?ver=1708529656154</t>
  </si>
  <si>
    <t>St. Louis Metro Area P18+ past 30 days IHOP Customers</t>
  </si>
  <si>
    <t>St. Louis Metro Area P25-54 past 30 days IHOP Competition w/in 2.5mi</t>
  </si>
  <si>
    <t>https://img1.wsimg.com/blobby/go/fa91e93a-72dd-4def-b76d-173477e02dd0/downloads/HUBBARD%20-%20ST.%20LOUIS%20-%20P18%2B%20IHOP%20%26%20P25-54%20COMPE.pdf?ver=1708612507244</t>
  </si>
  <si>
    <t>USA - P18+ Purchase or Leased a New Electric Vehicle past 12mo (2023)</t>
  </si>
  <si>
    <t>https://img1.wsimg.com/blobby/go/fa91e93a-72dd-4def-b76d-173477e02dd0/downloads/HUBBARD%20-%20USA%20-%202023%20-%20PURCHASED%20OR%20LEASED%20A%20N.pdf?ver=1708637795109</t>
  </si>
  <si>
    <t>USA - P18+ past 30 days Linkedin users Jan23-Oct23</t>
  </si>
  <si>
    <t>https://img1.wsimg.com/blobby/go/fa91e93a-72dd-4def-b76d-173477e02dd0/downloads/HUBBARD%20-%20USA%20-%202023%20-%20P18%2B%20Used%20LINKEDIN%20past.pdf?ver=1709048434995</t>
  </si>
  <si>
    <t>Phoenix - P18+ Plan to Get Married next 12mos/Spent $500+ on Fine Jewelry</t>
  </si>
  <si>
    <t>https://img1.wsimg.com/blobby/go/fa91e93a-72dd-4def-b76d-173477e02dd0/downloads/HUBBARD%20-%20PHOENIX%20-%20DESERT%20WHOLESALE%20DIAMOND%20-.pdf?ver=1709069354152</t>
  </si>
  <si>
    <t>USA - P18+ Plan to Bet on NCAA MARCH MADNESS 2024 Basketball</t>
  </si>
  <si>
    <t>https://img1.wsimg.com/blobby/go/fa91e93a-72dd-4def-b76d-173477e02dd0/downloads/HUBBARD%20-%20USA%20-%202023%20-%20P18%2B%20Plan%20to%20Bet%20on%20MAR.pdf?ver=1709133449040</t>
  </si>
  <si>
    <t>St. Louis - P21+ past 30 days Liquor Store Shoppers 10mi of Macadoodles</t>
  </si>
  <si>
    <t>https://img1.wsimg.com/blobby/go/fa91e93a-72dd-4def-b76d-173477e02dd0/downloads/HUBBARD%20-%20St.%20Louis%20-%20MACADOODLES%20DARDENNE%20PRA.pdf?ver=1709224024720</t>
  </si>
  <si>
    <t>Chicago - P18+ Active/Former Military+Military Families</t>
  </si>
  <si>
    <t>Chicago - P18+ Active/Former Military+Military Families Plan College</t>
  </si>
  <si>
    <t>Cincinnati - P18+ Active/Former Military+Military Families</t>
  </si>
  <si>
    <t>Cincinnati - P18+ Active/Former Military+Military Families Plan College</t>
  </si>
  <si>
    <t>MSP - P18+ Active/Former Military+Military Families</t>
  </si>
  <si>
    <t>MSP - P18+ Active/Former Military+Military Families Plan College</t>
  </si>
  <si>
    <t>St. Louis - P18+ Active/Former Military+Military Families</t>
  </si>
  <si>
    <t>St. Louis - P18+ Active/Former Military+Military Families Plan College</t>
  </si>
  <si>
    <t>https://img1.wsimg.com/blobby/go/fa91e93a-72dd-4def-b76d-173477e02dd0/downloads/LOYOLA%20-%20CHICAGO%20-%20FMR%20%26%20ACTIVE%20DUTY%20MILITARY%20.pdf?ver=1709300636378</t>
  </si>
  <si>
    <t>https://img1.wsimg.com/blobby/go/fa91e93a-72dd-4def-b76d-173477e02dd0/downloads/LOYOLA%20-%20CINCINNATI%20-%20FMR%20%26%20ACTIVE%20DUTY%20MILITA.pdf?ver=1709300659814</t>
  </si>
  <si>
    <t>https://img1.wsimg.com/blobby/go/fa91e93a-72dd-4def-b76d-173477e02dd0/downloads/LOYOLA%20-%20MSP%20-%20FMR%20%26%20ACTIVE%20DUTY%20MILITARY%20%2B%20MI.pdf?ver=1709300595922</t>
  </si>
  <si>
    <t>https://img1.wsimg.com/blobby/go/fa91e93a-72dd-4def-b76d-173477e02dd0/downloads/LOYOLA%20-%20ST.%20LOUIS%20-%20FMR%20%26%20ACTIVE%20DUTY%20MILITAR.pdf?ver=1709300563028</t>
  </si>
  <si>
    <t>USA - P18+ MAJOR LEAGUE BASEBALL Fans</t>
  </si>
  <si>
    <t>USA - P18+ Plan to Bet on MAJOR LEAGUE BASEBALL in 2024</t>
  </si>
  <si>
    <t>USA - P18+ past 30 days ALDI Grocery Shoppers</t>
  </si>
  <si>
    <t>USA - P25-64 past 30 days ALDI Grocery Shoppers</t>
  </si>
  <si>
    <t>USA - W25-64 past 30 days ALDI Grocery Shoppers</t>
  </si>
  <si>
    <t>https://img1.wsimg.com/blobby/go/fa91e93a-72dd-4def-b76d-173477e02dd0/downloads/HUBBARD%20-%20USA%20-%20P18%2B%20PAST%207%20DAYS%20ALDI%20SHOPPERS.pdf?ver=1709647547003</t>
  </si>
  <si>
    <t>https://img1.wsimg.com/blobby/go/fa91e93a-72dd-4def-b76d-173477e02dd0/downloads/HUBBARD%20-%20USA%20-%20P18%2B%20MLB%20FANS%20%26%20PLANNED%202024%20M.pdf?ver=1709647503626</t>
  </si>
  <si>
    <t>USA - P25-64 Renters and Other Planning to Buy a Home in 2024</t>
  </si>
  <si>
    <t>USA - Hispanic P25-64 Renters and Other Planning to Buy a Home in 2024</t>
  </si>
  <si>
    <t>https://img1.wsimg.com/blobby/go/fa91e93a-72dd-4def-b76d-173477e02dd0/downloads/HUBBARD%20-%20USA%20-%20P25-64%20RENTERS%20%26%20OTHER%20PLANNIN.pdf?ver=1709731512222</t>
  </si>
  <si>
    <t>USA - P18+ who say they would use Autotrader to shop for next Vehicle</t>
  </si>
  <si>
    <t>Phoenix - P18+ who say they would use Autotrader to shop for next Vehicle</t>
  </si>
  <si>
    <t>USA - P25-64 who say they would use Autotrader to shop for next Vehicle</t>
  </si>
  <si>
    <t>Phoenix - P25-64 who say they would use Autotrader to shop for next Vehicle</t>
  </si>
  <si>
    <t>Chicago - P18-34 Loyola University School of Nursing Target New Students</t>
  </si>
  <si>
    <t>https://img1.wsimg.com/blobby/go/fa91e93a-72dd-4def-b76d-173477e02dd0/downloads/HUBBARD%20-%20USA%20-%20Might%20use%20Autotrader%20to%20shop%20f.pdf?ver=1709833465383</t>
  </si>
  <si>
    <t>https://img1.wsimg.com/blobby/go/fa91e93a-72dd-4def-b76d-173477e02dd0/downloads/HUBBARD%20-%20PHOENIX%20-%20Might%20use%20Autotrader%20to%20sh.pdf?ver=1709833438970</t>
  </si>
  <si>
    <t>https://img1.wsimg.com/blobby/go/fa91e93a-72dd-4def-b76d-173477e02dd0/downloads/HUBBARD%20-%20CHICAGO%20-%20LOYOLA%20-%20SCHOOL%20OF%20NURSING.pdf?ver=1709831522729</t>
  </si>
  <si>
    <t>Avg. H:M:S/day</t>
  </si>
  <si>
    <t>% of Avg. H:M:s/day</t>
  </si>
  <si>
    <t>P18+ Avg. H:M:S/day</t>
  </si>
  <si>
    <t>P18+ Local AM/FM Ad-Supported Radio Weekly Reach</t>
  </si>
  <si>
    <t>P18+ Non</t>
  </si>
  <si>
    <t>P18+ AVG. H:M:S/DAY Local AM/FM Radio Ad-Supported Media Time-Spent-Listening</t>
  </si>
  <si>
    <t>Avg. %</t>
  </si>
  <si>
    <t>P18+ Local AM/FM Radio % of AVG. DAY Time Spent with Ad-Supported Media:</t>
  </si>
  <si>
    <t>USA - P25-64 Dog Owners</t>
  </si>
  <si>
    <t>USA - P25-64 Cat Owners</t>
  </si>
  <si>
    <t>https://img1.wsimg.com/blobby/go/fa91e93a-72dd-4def-b76d-173477e02dd0/downloads/HUBBARD%20-%20USA%20-%20P25-64%20CAT%20OWNERS%20VS.%20P25-64%20D.pdf?ver=1710154560712</t>
  </si>
  <si>
    <t>USA - P25-64 plan to buy an ATV in 2024</t>
  </si>
  <si>
    <t>USA - P25-64 plan to buy a Motorcycle in 2024</t>
  </si>
  <si>
    <t>Chicago - P50+ WITH $250K+ HHIs and/or $1Million+ HH Net Worth</t>
  </si>
  <si>
    <t>St. Louis  - $75K+HHI P25+ Plan to Buy a Home and/or are Shopping for Mortgage</t>
  </si>
  <si>
    <t>https://img1.wsimg.com/blobby/go/fa91e93a-72dd-4def-b76d-173477e02dd0/downloads/HUBBARD%20-%20USA%20-%202024%20PLANNED%20ATV%20%20VS.%20%20MOTORCY.pdf?ver=1710334780832</t>
  </si>
  <si>
    <t>https://img1.wsimg.com/blobby/go/fa91e93a-72dd-4def-b76d-173477e02dd0/downloads/HUBBARD%20-%20CHICAGO%20-%20TRAJAN%20WEALTH%20-%20soefa.ai%20-.pdf?ver=1710334743619</t>
  </si>
  <si>
    <t>https://img1.wsimg.com/blobby/go/fa91e93a-72dd-4def-b76d-173477e02dd0/downloads/HUBBARD%20-%20St.%20Louis%20-%20BETTER%20RATE%20MORTGAGE%20-%20s.pdf?ver=1710334709898</t>
  </si>
  <si>
    <t>USA - $250K+HHI AND $2Million+HH Net Worth Political Donors</t>
  </si>
  <si>
    <t>USA - Frequent Flier  (5+Flights/yr) Political Protesters</t>
  </si>
  <si>
    <t>USA - P18+ National Public Radio weekly cume listeners</t>
  </si>
  <si>
    <t>USA - P18+ Right Wing Talk Radio weekly cume listeners</t>
  </si>
  <si>
    <t>https://img1.wsimg.com/blobby/go/fa91e93a-72dd-4def-b76d-173477e02dd0/downloads/HUBBARD%20-%20USA%20-%20WEALTHY%20POLITICAL%20DONORS%20vs.%20F.pdf?ver=1710366686727</t>
  </si>
  <si>
    <t>https://img1.wsimg.com/blobby/go/fa91e93a-72dd-4def-b76d-173477e02dd0/downloads/HUBBARD%20-%20USA%20-%20NPR%20LISTENERS%20vs.%20RIGHT%20WING%20T.pdf?ver=1710502032004</t>
  </si>
  <si>
    <t>St. Louis - $150K+HHI P35-64 Homeowners who use their Decks and Patios</t>
  </si>
  <si>
    <t>USA - P18+ Listen to Local AM/FM Radio Stations Mon-Fri 6a-10a</t>
  </si>
  <si>
    <t>USA - P18+ Watch Local TV Stations Mon-Fri 5a-7p</t>
  </si>
  <si>
    <t>https://img1.wsimg.com/blobby/go/fa91e93a-72dd-4def-b76d-173477e02dd0/downloads/HUBBARD%20-%20St.%20Louis%20-%20SHADE%20STL%20-%20R2%202023A%20-%20s.pdf?ver=1710582787617</t>
  </si>
  <si>
    <t>https://img1.wsimg.com/blobby/go/fa91e93a-72dd-4def-b76d-173477e02dd0/downloads/HUBBARD%20-%20USA%20-%20M-F%205A-7P%20LOCAL%20TV%20vs.%20M-F%206A-.pdf?ver=1710582813381</t>
  </si>
  <si>
    <t>USA - P18+ past 30 days Marijuana Users</t>
  </si>
  <si>
    <t>USA - P18+ Prescription Drug Anti-Anxiety/Depression Drug Users</t>
  </si>
  <si>
    <t>https://img1.wsimg.com/blobby/go/fa91e93a-72dd-4def-b76d-173477e02dd0/downloads/HUBBARD%20-%20USA%20-%20%20MARIJUANA%20USERS%20vs.%20MODERN-DA.pdf?ver=1710732562816</t>
  </si>
  <si>
    <t>USA - P18+ past 30 days TikTok Users</t>
  </si>
  <si>
    <t>https://img1.wsimg.com/blobby/go/fa91e93a-72dd-4def-b76d-173477e02dd0/downloads/HUBBARD%20-%20USA%20-%20%20P18%2B%20PAST%2030%20DAYS%20TIKTOK%20USER.pdf?ver=1710791308045</t>
  </si>
  <si>
    <t>USA - P18+ Used a Bankruptcy Attorney in 2023</t>
  </si>
  <si>
    <t>Phoenix - P35+ $150K+HHI/$500K+HHNW $500K+Home Bathroom Remodelers</t>
  </si>
  <si>
    <t>USA - P18+ Used a Personal Injury Attorney in 2023</t>
  </si>
  <si>
    <t>USA - P21+ Only Drink Liquor weekly from Stores &amp; not at Bars/Restaurants</t>
  </si>
  <si>
    <t>https://img1.wsimg.com/blobby/go/fa91e93a-72dd-4def-b76d-173477e02dd0/downloads/HUBBARD%20-%20USA%20-%20%20P21%2B%20ONLY%20DRINK%20LIQUOR%20AT%20HOM.pdf?ver=1711016682610</t>
  </si>
  <si>
    <t>https://img1.wsimg.com/blobby/go/fa91e93a-72dd-4def-b76d-173477e02dd0/downloads/HUBBARD%20-%20USA%20-%20%20P18%2B%20PAST%2012MO%20PERSONAL%20INJUR.pdf?ver=1710931504895</t>
  </si>
  <si>
    <t>St. Louis - P35+ with $1Million+HH Net Worth &amp; No Financial Planner</t>
  </si>
  <si>
    <t>https://img1.wsimg.com/blobby/go/fa91e93a-72dd-4def-b76d-173477e02dd0/downloads/HUBBARD%20-%20USA%20-%20%20P18%2B%20PAST%2012MO%20BANKRUPTCY%20ATT.pdf?ver=1711041618679</t>
  </si>
  <si>
    <t>USA - P18+ past 3 years HOPITAL EMERGENCY ROOM Users</t>
  </si>
  <si>
    <t>USA - P18+ past 3 years URGENT CARE FACILITY Users</t>
  </si>
  <si>
    <t>https://img1.wsimg.com/blobby/go/fa91e93a-72dd-4def-b76d-173477e02dd0/downloads/HUBBARD%20-%20USA%20-%20%20P18%2B%20URGENT%20CARE%20USERS%20vs.%20HO.pdf?ver=1711125215481</t>
  </si>
  <si>
    <t>USA - P18+ past 3 months COSTCO Shoppers</t>
  </si>
  <si>
    <t>USA - P18+ past 3 months SAM'S CLUB Shoppers</t>
  </si>
  <si>
    <t>https://img1.wsimg.com/blobby/go/fa91e93a-72dd-4def-b76d-173477e02dd0/downloads/HUBBARD%20-%20USA%20-%20%20P18%2B%20COSTCO%20Shoppers%20vs.%20P18%2B.pdf?ver=1711145733495</t>
  </si>
  <si>
    <t>USA - P18+ past 3 months NORDSTROM Shoppers</t>
  </si>
  <si>
    <t>USA - P18+ past 3 months DILLARD'S Shoppers</t>
  </si>
  <si>
    <t>https://img1.wsimg.com/blobby/go/fa91e93a-72dd-4def-b76d-173477e02dd0/downloads/HUBBARD%20-%20USA%20-%20%20P18%2B%20NORDSTROM%20Shoppers%20vs.%20P.pdf?ver=1711382131796</t>
  </si>
  <si>
    <t>USA - P18+ past 30 days CVS PHARMACY Customers</t>
  </si>
  <si>
    <t>USA - P18+ past 30 days WALGREENS Customers</t>
  </si>
  <si>
    <t>https://img1.wsimg.com/blobby/go/fa91e93a-72dd-4def-b76d-173477e02dd0/downloads/HUBBARD%20-%20USA%20-%20%20P18%2B%20CVS%20Shoppers%20vs.%20P18%2B%20WA.pdf?ver=1711400449507</t>
  </si>
  <si>
    <t>USA - P18+ iPhone users</t>
  </si>
  <si>
    <t>USA - P18+ Android Phone users</t>
  </si>
  <si>
    <t>https://img1.wsimg.com/blobby/go/fa91e93a-72dd-4def-b76d-173477e02dd0/downloads/HUBBARD%20-%20USA%20-%20%20P18%2B%20iPhone%20Buyers%20vs.%20P18%2B%20A.pdf?ver=1711462566061</t>
  </si>
  <si>
    <t>USA - P18+ past 30 days YouTube Video posters</t>
  </si>
  <si>
    <t>USA - P18+ past 30 days TikTok Video posters</t>
  </si>
  <si>
    <t>https://img1.wsimg.com/blobby/go/fa91e93a-72dd-4def-b76d-173477e02dd0/downloads/HUBBARD%20-%20USA%20-%20%20P18%2B%20YouTube%20Video%20Posters%20vs.pdf?ver=1711551922083</t>
  </si>
  <si>
    <t>USA - P18+ past 30 days DUNKIN' Users</t>
  </si>
  <si>
    <t>USA - P18+ past 30 days STARBUCKS Users</t>
  </si>
  <si>
    <t>https://img1.wsimg.com/blobby/go/fa91e93a-72dd-4def-b76d-173477e02dd0/downloads/HUBBARD%20-%20USA%20-%20%20P18%2B%20DUNKIN_%20Users%20vs.%20P18%2B%20S.pdf?ver=1711571735418</t>
  </si>
  <si>
    <t>USA - P18+ past 30 days DOMINO'S PIZZA Users</t>
  </si>
  <si>
    <t>USA - P18+ past 30 days LITTLE CAESARS PIZZA Users</t>
  </si>
  <si>
    <t>USA - P18+ past 30 days PIZZA HUT PIZZA Users</t>
  </si>
  <si>
    <t>USA - P18+ past 30 days PAPA JOHN'S PIZZA Users</t>
  </si>
  <si>
    <t>https://img1.wsimg.com/blobby/go/fa91e93a-72dd-4def-b76d-173477e02dd0/downloads/HUBBARD%20-%20USA%20-%20P18%2B%20PAST%2030-DAYS%20USERS%20OF%20AME.pdf?ver=1711713302529</t>
  </si>
  <si>
    <t>USA - P18+ past 12 months SOUTHWEST AIRLINES Fliers</t>
  </si>
  <si>
    <t>USA - P18+ past 12 months AMERICAN AIRLINES Fliers</t>
  </si>
  <si>
    <t>USA - P18+ past 12 months DELTA AIRLINES Fliers</t>
  </si>
  <si>
    <t>USA - P18+ past 12 months UNITED AIRLINES Fliers</t>
  </si>
  <si>
    <t>https://img1.wsimg.com/blobby/go/fa91e93a-72dd-4def-b76d-173477e02dd0/downloads/HUBBARD%20-%20USA%20-%20%20P18%2B%20past%2012mo%20Fliers%20of%20the%20.pdf?ver=1711897288211</t>
  </si>
  <si>
    <t>USA - P18+ Stayed Overnight 1+Nights in 2023 at a HILTON Hotel</t>
  </si>
  <si>
    <t>USA - P18+ Stayed Overnight 1+Nights in 2023 at a MARRIOTT Hotel</t>
  </si>
  <si>
    <t>USA - P18+ Stayed Overnight 1+Nights in 2023 at a HYATT Hotel</t>
  </si>
  <si>
    <t>USA - P18+ Stayed Overnight 1+Nights in 2023 at a WESTN Hotel</t>
  </si>
  <si>
    <t>https://img1.wsimg.com/blobby/go/fa91e93a-72dd-4def-b76d-173477e02dd0/downloads/HUBBARD%20-%20USA%20-%20%20P18%2B%202023%201%2BNight(s)%20Guests%20a.pdf?ver=1712148820922</t>
  </si>
  <si>
    <t>USA - P21+ past 30 days BUD LIGHT Drinkers August 2022 - March 2023</t>
  </si>
  <si>
    <t>USA - P21+ past 30 days BUD LIGHT Drinkers April 2023 - October 2023</t>
  </si>
  <si>
    <t>https://img1.wsimg.com/blobby/go/fa91e93a-72dd-4def-b76d-173477e02dd0/downloads/HUBBARD%20-%20USA%20-%20%20P21%2B%20Past%2030%20days%20BUD%20LIGHT%20D.pdf?ver=1712313461611</t>
  </si>
  <si>
    <t>USA - P25-64  work Full-Time and have a FIDELITY 401K Plan</t>
  </si>
  <si>
    <t>USA - P25-64  work Full-Time and have a ROBINHOOD 401K Plan</t>
  </si>
  <si>
    <t>USA - P25-64  work Full-Time and have a VANGUARD 401K Plan</t>
  </si>
  <si>
    <t>USA - P25-64  work Full-Time and have a T. ROWE PRICE 401K Plan</t>
  </si>
  <si>
    <t>https://img1.wsimg.com/blobby/go/fa91e93a-72dd-4def-b76d-173477e02dd0/downloads/HUBBARD%20-%20USA%20-%20%20P25-64%20TOP%20401K%20PROVIDERS%20-%20s.pdf?ver=1712348999025</t>
  </si>
  <si>
    <t>USA - P18+ who use T-MOBILE as their Cell Phone Carrier</t>
  </si>
  <si>
    <t>USA - P18+ who use VERIZON as their Cell Phone Carrier</t>
  </si>
  <si>
    <t>USA - P18+ who use AT&amp;T as their Cell Phone Carrier</t>
  </si>
  <si>
    <t>USA - P18+ who use METRO BY T-MOBILE as their Cell Phone Carrier</t>
  </si>
  <si>
    <t>USA - P18+ who use BOOST MOBILE as their Cell Phone Carrier</t>
  </si>
  <si>
    <t>https://img1.wsimg.com/blobby/go/fa91e93a-72dd-4def-b76d-173477e02dd0/downloads/HUBBARD%20-%20USA%20-%20%20P18%2B%20FIVE%20of%20AMERICA_s%20TOP%20CE.pdf?ver=1712453969993</t>
  </si>
  <si>
    <t>USA - P25-64 who use STATE FARM for Auto and/or Homeowners Insurance</t>
  </si>
  <si>
    <t>USA - P25-64 who use PROGRESSIVVE for Auto and/or Homeowners Insurance</t>
  </si>
  <si>
    <t>USA - P25-64 who use GEICO for Auto and/or Homeowners Insurance</t>
  </si>
  <si>
    <t>USA - P25-64 who use ALLSTATE for Auto and/or Homeowners Insurance</t>
  </si>
  <si>
    <t>USA - P25-64 who use USAA for Auto and/or Homeowners Insurance</t>
  </si>
  <si>
    <t>https://img1.wsimg.com/blobby/go/fa91e93a-72dd-4def-b76d-173477e02dd0/downloads/HUBBARD%20-%20USA%20-%20%20P18%2B%20FIVE%20of%20AMERICA_s%20TOP%20IN.pdf?ver=1712573704039</t>
  </si>
  <si>
    <t>USA - P25-64 who have a Checking Account and ATM card from CHASE Bank</t>
  </si>
  <si>
    <t>USA - P25-64 who have a Checking Account and ATM card from BANK OF AMERICA</t>
  </si>
  <si>
    <t>USA - P25-64 who have a Checking Account and ATM card from WELLS FARGO</t>
  </si>
  <si>
    <t>USA - P25-64 who have a Checking Account and ATM card from U.S. BANK</t>
  </si>
  <si>
    <t>USA - P25-64 who have a Checking Account and ATM card from PNC BANK</t>
  </si>
  <si>
    <t>https://img1.wsimg.com/blobby/go/fa91e93a-72dd-4def-b76d-173477e02dd0/downloads/HUBBARD%20-%20USA%20-%20%20P18%2B%20FIVE%20of%20AMERICA_s%20TOP%20BA.pdf?ver=1712605851614</t>
  </si>
  <si>
    <t>USA - P21+ past 30 days APPLEBEE'S Users</t>
  </si>
  <si>
    <t>USA - P21+ past 30 days BUFFALO WILD WINGS Users</t>
  </si>
  <si>
    <t>USA - P21+ past 30 days THE CHEESECAKE FACTORY Users</t>
  </si>
  <si>
    <t>USA - P21+ past 30 days TGI FRIDAYS Users</t>
  </si>
  <si>
    <t>https://img1.wsimg.com/blobby/go/fa91e93a-72dd-4def-b76d-173477e02dd0/downloads/HUBBARD%20-%20USA%20-%20%20P18%2B%20FIVE%20TOP%20CASUAL%20DINING%20R.pdf?ver=1712695309559</t>
  </si>
  <si>
    <t>USA - P21+ past 30 days CHILI' S Users</t>
  </si>
  <si>
    <t>10..8%</t>
  </si>
  <si>
    <t>USA - P21+ past 30 days VODKA Drinkers</t>
  </si>
  <si>
    <t>USA - P21+ past 30 days TEQUILA Drinkers</t>
  </si>
  <si>
    <t>USA - P21+ past 30 days BOURBON Drinkers</t>
  </si>
  <si>
    <t>USA - P21+ past 30 days RUM Drinkers</t>
  </si>
  <si>
    <t>USA - P21+ past 30 days GIN Drinkers</t>
  </si>
  <si>
    <t>https://img1.wsimg.com/blobby/go/fa91e93a-72dd-4def-b76d-173477e02dd0/downloads/HUBBARD%20-%20USA%20-%20%20P21%2B%20FIVE%20of%20AMERICA_s%20MOST-E.pdf?ver=1712744281250</t>
  </si>
  <si>
    <t>https://img1.wsimg.com/blobby/go/fa91e93a-72dd-4def-b76d-173477e02dd0/downloads/HUBBARD%20-%20USA%20-%20P21%2B%20Las%20Vegas%20Casino%20SLOTS%20TA.pdf?ver=1712856153824</t>
  </si>
  <si>
    <t>https://img1.wsimg.com/blobby/go/fa91e93a-72dd-4def-b76d-173477e02dd0/downloads/HUBBARD%20-%20USA%20-%20P18%2B%20ONLINE%20GAMERS%20-%20PLAYERS%20O.pdf?ver=1712926765114</t>
  </si>
  <si>
    <t>https://img1.wsimg.com/blobby/go/fa91e93a-72dd-4def-b76d-173477e02dd0/downloads/HUBBARD%20-%20USA%20-%20P21%2B%202023%20AIRBNB%20vs.%20VRBO%20SHOR.pdf?ver=1712954819000</t>
  </si>
  <si>
    <t>USA - P21+ 2023 Las Vegas Casino SLOTS Players</t>
  </si>
  <si>
    <t>USA - P21+ 2023 Las Vegas Casino TABLE GAMES Players</t>
  </si>
  <si>
    <t>USA - P21+ 2023 Las Vegas Casino SPORTSBOOK Players</t>
  </si>
  <si>
    <t>USA - P18+ 2023 Online/App PUZZLE/TRIVIA Video Game Players</t>
  </si>
  <si>
    <t>USA - P18+ 2023 Online/App FANTASY/ROLE-PLAY Video Game Players</t>
  </si>
  <si>
    <t>USA - P18+ 2023 Online/App POKER/CASINO Video Game Players</t>
  </si>
  <si>
    <t>USA - P18+ 2023 Online/App FIRST-PERSON SHOOTER Video Game Players</t>
  </si>
  <si>
    <t>USA - P18+ 2023 Online/App MULTI-PLAYER  BATTLE Video Game Players</t>
  </si>
  <si>
    <t>USA - P25-64 2023 AIRBNB Short-Term Vacation Rental Users</t>
  </si>
  <si>
    <t>USA - P25-64 2023 VRBO Short-Term Vacation Rental Users</t>
  </si>
  <si>
    <t>USA - P18+ 2023 ADVANCE AUTO PARTS Shopppers</t>
  </si>
  <si>
    <t>USA - P18+ 2023 AUTOZONE Shopppers</t>
  </si>
  <si>
    <t>USA - P18+ 2023 NAPA AUTO PARTS Shopppers</t>
  </si>
  <si>
    <t>USA - P18+ 2023 O'REILLY AUTO PARTS Shopppers</t>
  </si>
  <si>
    <t>USA - P18+ 2023 PEP BOYS AUTO PARTS Shopppers</t>
  </si>
  <si>
    <t>https://img1.wsimg.com/blobby/go/fa91e93a-72dd-4def-b76d-173477e02dd0/downloads/HUBBARD%20-%20USA%20-%20P21%2B%202023%20SHOPPERS%20OF%205%20NATION.pdf?ver=1713057862131</t>
  </si>
  <si>
    <t>USA - P25-64 Purchased Items at THE HOME DEPOT in 2023</t>
  </si>
  <si>
    <t>USA - P25-64 Purchased Items at LOWE'S in 2023</t>
  </si>
  <si>
    <t>USA - P25-64 Purchased Items at ACE HARDWARE in 2023</t>
  </si>
  <si>
    <t>USA - P25-64 Purchased Items at TRACTOR SSUPPLY CO in 2023</t>
  </si>
  <si>
    <t>USA - P25-64 Purchased Items at TRUE VALUE in 2023</t>
  </si>
  <si>
    <t>https://img1.wsimg.com/blobby/go/fa91e93a-72dd-4def-b76d-173477e02dd0/downloads/HUBBARD%20-%20USA%20-%20P25-64%20TOP-5%20HOME%20IMPROVEMENT%20.pdf?ver=1713182734633</t>
  </si>
  <si>
    <t>USA - P25-64 Purchasers and Lessees of New 2020-2023 TOYOTA Vehicles</t>
  </si>
  <si>
    <t>USA - P25-64 Purchasers and Lessees of New 2020-2023 HONDA Vehicles</t>
  </si>
  <si>
    <t>USA - P25-64 Purchasers and Lessees of New 2020-2023 HYUNDAI Vehicles</t>
  </si>
  <si>
    <t>USA - P25-64 Purchasers and Lessees of New 2020-2023 KIA Vehicles</t>
  </si>
  <si>
    <t>USA - P25-64 Purchasers and Lessees of New 2020-2023 NISSAN Vehicles</t>
  </si>
  <si>
    <t>USA - P18+ Full-Time TRANSPORTATION Sector Workers</t>
  </si>
  <si>
    <t>USA - P18+ Full-Time CONSTRUCTION Sector Workers</t>
  </si>
  <si>
    <t>USA - P18+ Full-Time FOOD &amp; RESTAURANT Sector Workers</t>
  </si>
  <si>
    <t>USA - P18+ Full-Time PROTECTIVE Sector Workers</t>
  </si>
  <si>
    <t>USA - P18+ Full-Time INSTALLATION &amp; MAINTENANCE Sector Workers</t>
  </si>
  <si>
    <t>https://img1.wsimg.com/blobby/go/fa91e93a-72dd-4def-b76d-173477e02dd0/downloads/HUBBARD%20-%20USA%20-%20%20Purchasers%20and%20Lessees%20of%20NEW.pdf?ver=1713218491327</t>
  </si>
  <si>
    <t>https://img1.wsimg.com/blobby/go/fa91e93a-72dd-4def-b76d-173477e02dd0/downloads/HUBBARD%20-%20USA%20-%205%20DIFFERENT%20TYPES%20of%20F-T%20BLUE-.pdf?ver=1713354762041</t>
  </si>
  <si>
    <t xml:space="preserve">WPB DMA VS. USA P18+ </t>
  </si>
  <si>
    <t>WPB DMA VS. USA P25-64</t>
  </si>
  <si>
    <t>WPB DMA VS. USA P35+</t>
  </si>
  <si>
    <t>USA - P18+ $100+/wk SUPERRMRKET SPENDERS</t>
  </si>
  <si>
    <t>USA - P18+ $150+/wk SUPERRMRKET SPENDERS</t>
  </si>
  <si>
    <t>USA - P18+ $200+/wk SUPERRMRKET SPENDERS</t>
  </si>
  <si>
    <t>USA - P18+ $300+/wk SUPERRMRKET SPENDERS</t>
  </si>
  <si>
    <t>USA - P18+ $400+/wk SUPERRMRKET SPENDERS</t>
  </si>
  <si>
    <t>https://img1.wsimg.com/blobby/go/fa91e93a-72dd-4def-b76d-173477e02dd0/downloads/HUBBARD%20-%20USA%20-%20WEST%20PALM%20BEACH%20DMA%20vs.%20USA%20Ja.pdf?ver=1713384583022</t>
  </si>
  <si>
    <t>https://img1.wsimg.com/blobby/go/fa91e93a-72dd-4def-b76d-173477e02dd0/downloads/HUBBARD%20-%20USA%20-%20%24100%2B%20%24150%2B%20%24200%2B%20%24300%2B%20%24400%2B%20.pdf?ver=1713453027364</t>
  </si>
  <si>
    <t>USA - P25-64 past 7 days purchasers of FRESH MEAT</t>
  </si>
  <si>
    <t>USA - P25-64 past 7 days purchasers of PACKAGED MEAT</t>
  </si>
  <si>
    <t>USA - P25-64 past 7 days purchasers of READY-TO-EAT CEREAL</t>
  </si>
  <si>
    <t>USA - P25-64 past 7 days purchasers of FROZEN PIZZA</t>
  </si>
  <si>
    <t>https://img1.wsimg.com/blobby/go/fa91e93a-72dd-4def-b76d-173477e02dd0/downloads/HUBBARD%20-%20USA%20-%20P25-64%20Weekly%20Buyers%20of%205%20SUPE.pdf?ver=1713522956412</t>
  </si>
  <si>
    <t>USA - P25-64 past 7 days purchasers of PRETZELS, CHIPS, POPCORN</t>
  </si>
  <si>
    <t>USA - P18+ past 7 days COCA-COLA Drinkers</t>
  </si>
  <si>
    <t>USA - P18+ past 7 days PEPSI Drinkers</t>
  </si>
  <si>
    <t>USA - P18+ past 7 days SPRITE Drinkers</t>
  </si>
  <si>
    <t>USA - P18+ past 7 days DR PEPPER Drinkers</t>
  </si>
  <si>
    <t>USA - P18+ past 7 days MOUNTAIN DEW Drinkers</t>
  </si>
  <si>
    <t xml:space="preserve">USA - P35+ Registered Likely Presidential Election Voters </t>
  </si>
  <si>
    <t xml:space="preserve">USA - P35+ Registered Likely DEMOCRAT Presidential Election Voters </t>
  </si>
  <si>
    <t xml:space="preserve">USA - P35+ Registered Likely REPUBLICAN Presidential Election Voters </t>
  </si>
  <si>
    <t xml:space="preserve">USA - P35+ Registered Likely INDEPENDENT Presidential Election Voters </t>
  </si>
  <si>
    <t>https://img1.wsimg.com/blobby/go/fa91e93a-72dd-4def-b76d-173477e02dd0/downloads/HUBBARD%20-%20USA%20-%20P35%2B%20RGSTD%20LIKELY%20PRESIDENTIAL.pdf?ver=1713814389290</t>
  </si>
  <si>
    <t>https://img1.wsimg.com/blobby/go/fa91e93a-72dd-4def-b76d-173477e02dd0/downloads/HUBBARD%20-%20USA%20-%20P25-64%20Weekly%20Drinkers%20of%205%20Di.pdf?ver=1713648537782</t>
  </si>
  <si>
    <t>USA - P35+ Single-Family Homeowners who plan to REMODEL BATHROOM in 2024</t>
  </si>
  <si>
    <t>USA - P35+ Single-Family Homeowners who plan to BUY WINDOWS in 2024</t>
  </si>
  <si>
    <t>USA - P35+ Single-Family Homeowners who plan to REMODEL KITCHEN in 2024</t>
  </si>
  <si>
    <t>USA - P35+ Single-Family Homeowners who plan to REPLACE ROOF  in 2024</t>
  </si>
  <si>
    <t>USA - P35+ Single-Family Homeowners who plan to REPLACE WINDOWS in 2024</t>
  </si>
  <si>
    <t>https://img1.wsimg.com/blobby/go/fa91e93a-72dd-4def-b76d-173477e02dd0/downloads/HUBBARD%20-%20USA%20-%20P35%2B%20MAJOR%20HOME%20IMPROVEMENT%20PL.pdf?ver=1713903620946</t>
  </si>
  <si>
    <t>USA - P18+ past 3 months PAYPAL users</t>
  </si>
  <si>
    <t>USA - P18+ past 3 months VENMO users</t>
  </si>
  <si>
    <t>USA - P18+ past 3 months CASH APP users</t>
  </si>
  <si>
    <t>USA - P18+ past 3 months APPLE PAY users</t>
  </si>
  <si>
    <t>USA - P18+ past 3 months GOOGLE PAY users</t>
  </si>
  <si>
    <t>https://img1.wsimg.com/blobby/go/fa91e93a-72dd-4def-b76d-173477e02dd0/downloads/HUBBARD%20-%20USA%20-%20%20P18%2B%20FIVE%20of%20AMERICA_s%20MOST-U.pdf?ver=1713985057982</t>
  </si>
  <si>
    <t>USA - P18+ past 12mo 5K and Marathon Runners</t>
  </si>
  <si>
    <t>USA - P18+ past 12mo Skiers and Snowboarders</t>
  </si>
  <si>
    <t>USA - P18+ past 12mo Yoga and Pilates Participants</t>
  </si>
  <si>
    <t>USA - P18+ past 12mo Golfers</t>
  </si>
  <si>
    <t>USA - P18+ past 12mo Group Fitness Class Participants</t>
  </si>
  <si>
    <t>https://img1.wsimg.com/blobby/go/fa91e93a-72dd-4def-b76d-173477e02dd0/downloads/HUBBARD%20-%20USA%20-%20%20P18%2B%20FIVE%20of%20AMERICA_s%20FAVORI.pdf?ver=1714070754739</t>
  </si>
  <si>
    <t>USA - P18+ purchased a New Mattress from MATTRESS FIRM in 2023</t>
  </si>
  <si>
    <t>USA - P18+ purchased a New Mattress from IKEA in 2023</t>
  </si>
  <si>
    <t>USA - P18+ purchased a New Mattress from ASHLEY HOMESTORE in 2023</t>
  </si>
  <si>
    <t>USA - P18+ purchased a New Mattress from CRATE &amp; BARREL in 2023</t>
  </si>
  <si>
    <t>USA - P18+ purchased a New Mattress from SLEEP NUMBER in 2023</t>
  </si>
  <si>
    <t>https://img1.wsimg.com/blobby/go/fa91e93a-72dd-4def-b76d-173477e02dd0/downloads/HUBBARD%20-%20USA%20-%20%20P18%2B%20FIVE%20of%20AMERICA_s%20TOP%20MA.pdf?ver=1714201810708</t>
  </si>
  <si>
    <t>https://img1.wsimg.com/blobby/go/fa91e93a-72dd-4def-b76d-173477e02dd0/downloads/HUBBARD%20-%20USA%20-%20PHOENIX%2C%20AZ%2C%20DMA%20Jan%202023-Feb%20.pdf?ver=1714421556477</t>
  </si>
  <si>
    <t>USA - P18+ Phoenix DMA vs. USA R1 2024</t>
  </si>
  <si>
    <t>USA - P25-64 Phoenix DMA vs. USA R1 2024</t>
  </si>
  <si>
    <t>USA - P35+ Phoenix DMA vs. USA R1 2024</t>
  </si>
  <si>
    <t>USA - P18+ past 7 days ABC-TV viewers</t>
  </si>
  <si>
    <t>USA - P18+ past 7 days CBS-TV viewers</t>
  </si>
  <si>
    <t>USA - P18+ past 7 days NBC-TV viewers</t>
  </si>
  <si>
    <t>USA - P18+ past 7 days FOX-TV viewers</t>
  </si>
  <si>
    <t>USA - P18+ past 7 days PBS-TV viewers</t>
  </si>
  <si>
    <t>https://img1.wsimg.com/blobby/go/fa91e93a-72dd-4def-b76d-173477e02dd0/downloads/HUBBARD%20-%20USA%20-%20%20P18%2B%20LEGACY%20NETWORK%20WEEKLY%20TV.pdf?ver=1714498020496</t>
  </si>
  <si>
    <t>USA - P18+ MSP DMA Residents vs. P18+ USA Residents</t>
  </si>
  <si>
    <t>USA - P25-64 MSP DMA Residents vs. P25-64 USA Residents</t>
  </si>
  <si>
    <t>USA - P35+ MSP DMA Residents vs. P18+ USA Residents</t>
  </si>
  <si>
    <t>https://img1.wsimg.com/blobby/go/fa91e93a-72dd-4def-b76d-173477e02dd0/downloads/HUBBARD%20-%20USA%20-%20MINNEAPOLIS-ST.%20PAUL%2C%20MN%2C%20DMA%20.pdf?ver=1714747575525</t>
  </si>
  <si>
    <t>USA - W25-64 MSP DMA Residents vs. W25-64 USA Residents</t>
  </si>
  <si>
    <t>USA - M25-64 MSP DMA Residents vs. M25-64 USA Residents</t>
  </si>
  <si>
    <t>USA - P18+ past 7 days TORTILLA BUYERS</t>
  </si>
  <si>
    <t>USA - P18+ past 30 days MEXICAN RESTAURANT CUSTOMERS</t>
  </si>
  <si>
    <t>USA - P18+ past 7 days SALSA BUYERS</t>
  </si>
  <si>
    <t>USA - P18+ past 30 days TACO BELL CUSTOMERS</t>
  </si>
  <si>
    <t>USA - P18+ SPANISH-LANGUAGE-DOMINANT HISPANICS</t>
  </si>
  <si>
    <t>https://img1.wsimg.com/blobby/go/fa91e93a-72dd-4def-b76d-173477e02dd0/downloads/HUBBARD%20-%20USA%20-%20P18%2B%20MEXICAN%20FOOD%20CONSUMERS%20%2B%20.pdf?ver=1715085527987</t>
  </si>
  <si>
    <t>https://img1.wsimg.com/blobby/go/fa91e93a-72dd-4def-b76d-173477e02dd0/downloads/HUBBARD%20-%20USA%20-%20P18%2B%20ALLERGY%20MED%20%26%20ALLERGY-FRE.pdf?ver=1715104784786</t>
  </si>
  <si>
    <t>USA - P18+ past 12mo ALLERGY MEDICATION Buyers</t>
  </si>
  <si>
    <t>USA - P18+ past 12mo DAIRY-FREE PRODUCT Buyers</t>
  </si>
  <si>
    <t>USA - P18+ past 12mo GLUTEN-FREE PRODUCT Buyers</t>
  </si>
  <si>
    <t>USA - P18+ past 12mo NUT-FREE PRODUCT Buyers</t>
  </si>
  <si>
    <t>USA - P18+ past 12mo KETO DIET PRODUCT Buyers</t>
  </si>
  <si>
    <t>USA - P18+ past 30 days McDonald's Customers</t>
  </si>
  <si>
    <t>USA - P18+ past 30 days BURGER KING Customers</t>
  </si>
  <si>
    <t>USA - P18+ past 30 days Wendy's Customers</t>
  </si>
  <si>
    <t>USA - P18+ past 30 days Culver's Customers</t>
  </si>
  <si>
    <t>USA - P18+ past 30 days FIVE GUYS BURGERS and FRIES Customers</t>
  </si>
  <si>
    <t>USA - P18+ past 12 MONTHS $100-$249 New LAWN MOWER Buyers</t>
  </si>
  <si>
    <t>USA - P18+ past 12 MONTHS $250-$499 New LAWN MOWER Buyers</t>
  </si>
  <si>
    <t>USA - P18+ past 12 MONTHS $500-$999 New LAWN MOWER Buyers</t>
  </si>
  <si>
    <t>USA - P18+ past 12 MONTHS $1,000-$2,999 New LAWN TRACTOR Buyers</t>
  </si>
  <si>
    <t>USA - P18+ past 12 MONTHS $3,000 or more New LAWN TRACTOR Buyers</t>
  </si>
  <si>
    <t>https://img1.wsimg.com/blobby/go/fa91e93a-72dd-4def-b76d-173477e02dd0/downloads/HUBBARD%20-%20USA%20-%20P18%2B%20PAST%2030%20DAYS%20USERS%20OF%205%20B.pdf?ver=1715118610704</t>
  </si>
  <si>
    <t>https://img1.wsimg.com/blobby/go/fa91e93a-72dd-4def-b76d-173477e02dd0/downloads/HUBBARD%20-%20USA%20-%20P18%2B%20PAST%2012MO%20LAWN%20MOWER%20%26%20LA.pdf?ver=1715190636786</t>
  </si>
  <si>
    <t>St. Louis Metro Area Persons 18+ with College Degrees &amp; White-Collar Jobs</t>
  </si>
  <si>
    <t>St. Louis Metro Area Persons 35-64 with College Degrees &amp; White-Collar Jobs</t>
  </si>
  <si>
    <t>USA - M25-64 CINCINNATI, OH, DMA Residents vs. M25-64 USA Residents</t>
  </si>
  <si>
    <t>USA - P18+ CINCINNATI, OH, DMA Residents vs. P18+ USA Residents</t>
  </si>
  <si>
    <t>USA - P25-64 CINCINNATI, OH, DMA Residents vs. P25-64 USA Residents</t>
  </si>
  <si>
    <t>USA - W25-64 CINCINNATI, OH, DMA Residents vs. W25-64 USA Residents</t>
  </si>
  <si>
    <t>USA - P35+ CINCINNATI, OH, DMA Residents vs. P35+ USA Residents</t>
  </si>
  <si>
    <t>https://img1.wsimg.com/blobby/go/fa91e93a-72dd-4def-b76d-173477e02dd0/downloads/HUBBARD%20-%20USA%20-%20CINCINNATI%2C%20OH%2C%20DMA%20Jan%202023-F.pdf?ver=1715366368779</t>
  </si>
  <si>
    <t>https://img1.wsimg.com/blobby/go/fa91e93a-72dd-4def-b76d-173477e02dd0/downloads/HUBBARD%20-%20USA%20-%20P18%2B%20MOVIE%20THEATER%20GOERS%20-%20soe.pdf?ver=1715624421332</t>
  </si>
  <si>
    <t>USA - P18+ Watched a New Movie Release on Opening Weekend</t>
  </si>
  <si>
    <t>USA - P18+ Watched a New Movie Release w/in 2-wks of Opening Weekend</t>
  </si>
  <si>
    <t>USA - P18+ Watched a New Movie Release afte 2-wks of Opening Weekend</t>
  </si>
  <si>
    <t>USA - P18+ Watched a Movie at a Movie Theater in the past 30 days</t>
  </si>
  <si>
    <t>USA - P18+ Watched a Movie at a Movie Theater in the past 3 months</t>
  </si>
  <si>
    <t>USA - P18+ used CARVIVAL Cruise line for a Cruise Vacation past 3 yrs</t>
  </si>
  <si>
    <t>USA - P18+ used ROYAL CARIBBEAN Cruise line for a Cruise Vacation past 3 yrs</t>
  </si>
  <si>
    <t>USA - P18+ used NCL (Norwegian) Cruise line for a Cruise Vacation past 3 yrs</t>
  </si>
  <si>
    <t>USA - P18+ used PRINCESS Cruise line for a Cruise Vacation past 3 yrs</t>
  </si>
  <si>
    <t>USA - P18+ used HOLLAND AMERICA Cruise line for a Cruise Vacation past 3 yrs</t>
  </si>
  <si>
    <t>https://img1.wsimg.com/blobby/go/fa91e93a-72dd-4def-b76d-173477e02dd0/downloads/HUBBARD%20-%20USA%20-%20P18%2B%20PAST%203%20YEARS%20CRUISE%20LINE%20.pdf?ver=1715712140924</t>
  </si>
  <si>
    <t>USA - P18+ Plan to Buy a POOL, HOT TUB, OR SPA in 2024</t>
  </si>
  <si>
    <t>USA - P18+ Plan to Buy a SECOND HOME in 2024</t>
  </si>
  <si>
    <t>USA - P18+ Plan to Buy a RV or MOTORHOME in 2024</t>
  </si>
  <si>
    <t>USA - P18+ Plan to Buy a MOTORCYCLE in 2024</t>
  </si>
  <si>
    <t>USA - P18+ Plan to Buy a BOAT in 2024</t>
  </si>
  <si>
    <t>https://img1.wsimg.com/blobby/go/fa91e93a-72dd-4def-b76d-173477e02dd0/downloads/HUBBARD%20-%20USA%20-%20P18%2B%20PLANNED%20PURCHASES%20OF%20TOYS.pdf?ver=1715795120604</t>
  </si>
  <si>
    <t>USA - P18+ CHICAGO, IL, DMA Residents vs. P18+ USA Residents</t>
  </si>
  <si>
    <t>USA - P25-64 CHICAGO, IL, DMA Residents vs. P25-64 USA Residents</t>
  </si>
  <si>
    <t>USA - W25-64 CHICAGO, IL, DMA Residents vs. W25-64 USA Residents</t>
  </si>
  <si>
    <t>USA - M25-64 CHICAGO, IL, DMA Residents vs. M25-64 USA Residents</t>
  </si>
  <si>
    <t>USA - P35+ CHICAGO, IL, DMA Residents vs. P35+ USA Residents</t>
  </si>
  <si>
    <t>USA - P18+ SEATTLE-TACOMA, WA, DMA Residents vs. P18+ USA Residents</t>
  </si>
  <si>
    <t>USA - P25-64 SEATTLE-TACOMA, WA, DMA Residents vs. P25-64 USA Residents</t>
  </si>
  <si>
    <t>USA - W25-64 SEATTLE-TACOMA, WA, DMA Residents vs. W25-64 USA Residents</t>
  </si>
  <si>
    <t>USA - M25-64 SEATTLE-TACOMA, WA, DMA Residents vs. M25-64 USA Residents</t>
  </si>
  <si>
    <t>USA - P35+ SEATTLE-TACOMA, WA, DMA Residents vs. P35+ USA Residents</t>
  </si>
  <si>
    <t>https://img1.wsimg.com/blobby/go/fa91e93a-72dd-4def-b76d-173477e02dd0/downloads/HUBBARD%20-%20USA%20-%20CHICAGO%2C%20IL%2C%20DMA%20Jan%202023-Mar%20.pdf?ver=1715888481619</t>
  </si>
  <si>
    <t>https://img1.wsimg.com/blobby/go/fa91e93a-72dd-4def-b76d-173477e02dd0/downloads/HUBBARD%20-%20USA%20-%20SEATTLE-TACOMA%2C%20WA%2C%20DMA%20Jan%2020.pdf?ver=1715888462703</t>
  </si>
  <si>
    <t>USA - P18+ past 7 days CNN Cable TV News Viewers</t>
  </si>
  <si>
    <t>USA - P18+ past 7 days FOX NEWS CHANNEL Cable TV News Viewers</t>
  </si>
  <si>
    <t>USA - P18+ past 7 days MSNBC Cable TV News Viewers</t>
  </si>
  <si>
    <t>USA - P18+ past 7 days NEWSNATION Cable TV News Viewers</t>
  </si>
  <si>
    <t>USA - P18+ past 7 days CHEDDAR NEWS Cable TV News Viewers</t>
  </si>
  <si>
    <t>USA - P18+ Purchased or Leased (HH) a New FORD MUSTANG</t>
  </si>
  <si>
    <t>USA - P18+ Purchased or Leased (HH) a New JEEP GLADIATOR</t>
  </si>
  <si>
    <t>USA - P18+ Purchased or Leased (HH) a New CHEVROLET CORVETTE</t>
  </si>
  <si>
    <t>USA - P18+ Purchased or Leased (HH) a New DODGE CHALLENGER</t>
  </si>
  <si>
    <t>USA - P18+ Purchased or Leased (HH) a New CADILLAC ESCALADE</t>
  </si>
  <si>
    <t>https://img1.wsimg.com/blobby/go/fa91e93a-72dd-4def-b76d-173477e02dd0/downloads/HUBBARD%20-%20USA%20-%20P18%2B%20PAST%207%20DAYS%20VIEWERS%20OF%205%20.pdf?ver=1716373289596</t>
  </si>
  <si>
    <t>https://img1.wsimg.com/blobby/go/fa91e93a-72dd-4def-b76d-173477e02dd0/downloads/HUBBARD%20-%20USA%20-%20P18%2B%20PURCHASERS%20AND%20LESSEES%20OF.pdf?ver=1716400158582</t>
  </si>
  <si>
    <t>USA - P18+ Transacted an AUTO LOAN Online in the past 6 months</t>
  </si>
  <si>
    <t>USA - P18+ Transacted AUTO INSURANCE Online in the past 6 months</t>
  </si>
  <si>
    <t>USA - P18+ Transacted a HOME MORTGAGE Online in the past 6 months</t>
  </si>
  <si>
    <t>USA - P18+ Transacted HOMEOWNERS INSURANCE Online in the past 6 months</t>
  </si>
  <si>
    <t>USA - P18+ Transacted a LIFE INSURANCE POLICY Online in the past 6 months</t>
  </si>
  <si>
    <t>https://img1.wsimg.com/blobby/go/fa91e93a-72dd-4def-b76d-173477e02dd0/downloads/HUBBARD%20-%20USA%20-%20P18%2B%205%20FINANCE%20%26%20INSURANCE%20ITE.pdf?ver=1716479392616</t>
  </si>
  <si>
    <t>https://img1.wsimg.com/blobby/go/fa91e93a-72dd-4def-b76d-173477e02dd0/downloads/HUBBARD%20-%20USA%20-%20P18%2B%205%20TYPES%20OF%20HEALTHCARE%20SPE.pdf?ver=1716496200166</t>
  </si>
  <si>
    <t>USA - P18+ used a CHIROPRACTOR in the past 12 months</t>
  </si>
  <si>
    <t>USA - P18+ used an ORTHOPEDIST in the past 12 months</t>
  </si>
  <si>
    <t>USA - P18+ used an AUDIOLOGIST in the past 12 months</t>
  </si>
  <si>
    <t>USA - P18+ used an ORTHODONTIST in the past 12 months</t>
  </si>
  <si>
    <t>USA - P18+ used a COSMETIC SURGEON in the past 12 months</t>
  </si>
  <si>
    <t>USA - P18+ past 12mo PERSONAL INJURY ATTORNEY Users as of March 2024</t>
  </si>
  <si>
    <t>https://img1.wsimg.com/blobby/go/fa91e93a-72dd-4def-b76d-173477e02dd0/downloads/HUBBARD%20-%20USA%20-%205%20DEMOGRAPHICS%20OF%20PAST%2012MOS%20P.pdf?ver=1716564254877</t>
  </si>
  <si>
    <t>USA - P25-64 past 12mo PERSONAL INJURY ATTORNEY Users as of March 2024</t>
  </si>
  <si>
    <t>USA - W25-64 past 12mo PERSONAL INJURY ATTORNEY Users as of March 2024</t>
  </si>
  <si>
    <t>USA - M25-64 past 12mo PERSONAL INJURY ATTORNEY Users as of March 2024</t>
  </si>
  <si>
    <t>USA - P35+ past 12mo PERSONAL INJURY ATTORNEY Users as of March 2024</t>
  </si>
  <si>
    <t>USA - P18+ Live in the WASHINGTON, DC, DMA Feb23-Apr24</t>
  </si>
  <si>
    <t>USA - P25-64 Live in the WASHINGTON, DC, DMA Feb23-Apr24</t>
  </si>
  <si>
    <t>USA - W25-64 Live in the WASHINGTON, DC, DMA Feb23-Apr24</t>
  </si>
  <si>
    <t>USA - M25-64 Live in the WASHINGTON, DC, DMA Feb23-Apr24</t>
  </si>
  <si>
    <t>USA - P35+ Live in the WASHINGTON, DC, DMA Feb23-Apr24</t>
  </si>
  <si>
    <t>https://img1.wsimg.com/blobby/go/fa91e93a-72dd-4def-b76d-173477e02dd0/downloads/HUBBARD%20-%20USA%20-%20WASHINGTON%2C%20DC%2C%20DMA%20Feb%202023-A.pdf?ver=1717437162336</t>
  </si>
  <si>
    <t>USA - P18+ Expecting Parents</t>
  </si>
  <si>
    <t>USA - P18+ Parents of Children Under 2 Years Old</t>
  </si>
  <si>
    <t>USA - P18+ Parents of Children Age 2-5 Years Old</t>
  </si>
  <si>
    <t>USA - P18+ Parents of Children Age 6-11 Years Old</t>
  </si>
  <si>
    <t>USA - P18+ Parents of Children Age 12-17 Years Old</t>
  </si>
  <si>
    <t>https://img1.wsimg.com/blobby/go/fa91e93a-72dd-4def-b76d-173477e02dd0/downloads/HUBBARD%20-%20USA%20-%20FIVE%20TYPES%20OF%20PARENTS%20OF%20CHILD.pdf?ver=1717533469706</t>
  </si>
  <si>
    <t>Cincinnati - $100K+HHI Single-Family Homeowners (OH Counties) need Electrician</t>
  </si>
  <si>
    <t>95.;8%</t>
  </si>
  <si>
    <t>https://img1.wsimg.com/blobby/go/fa91e93a-72dd-4def-b76d-173477e02dd0/downloads/HUBBARD%20INTERACTIVE%20CINCINNATI%20-%20TRI-COUNTY%20EL.pdf?ver=1717691874993</t>
  </si>
  <si>
    <t>USA - P18+ Very Interested in UFC (Ultimate Fighting)</t>
  </si>
  <si>
    <t>USA - P18+ Attended 10+ UFC (Ultimate Fighting) Events past 12mos</t>
  </si>
  <si>
    <t>USA - P18+ Watched UFC (Ultimate Fighting) on Pay-Per-View</t>
  </si>
  <si>
    <t>USA - P18+ Watched UFC (Ultimate Fighting) on TV (Any)</t>
  </si>
  <si>
    <t>USA - P18+ Plan to Bet on UFC (Ultimate Fighting) Fights next 12mos</t>
  </si>
  <si>
    <t>https://img1.wsimg.com/blobby/go/fa91e93a-72dd-4def-b76d-173477e02dd0/downloads/HUBBARD%20-%20USA%20-%205%20TYPES%20OF%20UFC%20FANS%20-%20soefa.ai.pdf?ver=1717780551233</t>
  </si>
  <si>
    <t>USA - P18+ Very Interested in WWE (Pro Wrestling)</t>
  </si>
  <si>
    <t>USA - P18+ Attended 1+ WWE (Pro Wrestling) Events past 12mos</t>
  </si>
  <si>
    <t>USA - P18+ Attended 3+ WWE (Pro Wrestling) Events past 12mos</t>
  </si>
  <si>
    <t>USA - P18+ Watched WWE (Pro Wrestling) on Pay-Per-View past 12mos</t>
  </si>
  <si>
    <t>USA - P18+ Watched WWE (Pro Wrestling) on TV (Any) past 12mos</t>
  </si>
  <si>
    <t>https://img1.wsimg.com/blobby/go/fa91e93a-72dd-4def-b76d-173477e02dd0/downloads/HUBBARD%20-%20USA%20-%205%20TYPES%20OF%20WWE%20FANS%20-%20soefa.ai.pdf?ver=1718033965716</t>
  </si>
  <si>
    <t>USA - P18+ past 30 days users of X (formerly "Twitter") Aug23-Apr24</t>
  </si>
  <si>
    <t>https://img1.wsimg.com/blobby/go/fa91e93a-72dd-4def-b76d-173477e02dd0/downloads/HUBBARD%20-%20USA%20-%20X%20-%20Formerly%20Twitter%20-%20past%2030.pdf?ver=1718052672538</t>
  </si>
  <si>
    <t>USA - P25-64 past 30 days users of X (formerly "Twitter") Aug23-Apr24</t>
  </si>
  <si>
    <t>USA - W25-64 past 30 days users of X (formerly "Twitter") Aug23-Apr24</t>
  </si>
  <si>
    <t>USA - M35-64 past 30 days users of X (formerly "Twitter") Aug23-Apr24</t>
  </si>
  <si>
    <t>USA - P35+ past 30 days users of X (formerly "Twitter") Aug23-Apr24</t>
  </si>
  <si>
    <t>USA - P25-64 Plan to take an ALL-INCLUSIVE RESORT Vacation next 12 months</t>
  </si>
  <si>
    <t>USA - P25-64 Plan to take a CRUISE Vacation next 12 months</t>
  </si>
  <si>
    <t>USA - P25-64 Plan to take a GAMBLING/CASINO TRIP Vacation next 12 months</t>
  </si>
  <si>
    <t>USA - P25-64 Plan to take a SKI/SNOWBOARD Vacation next 12 months</t>
  </si>
  <si>
    <t>USA - P25-64 Plan to take a THEME PARK Vacation next 12 months</t>
  </si>
  <si>
    <t>https://img1.wsimg.com/blobby/go/fa91e93a-72dd-4def-b76d-173477e02dd0/downloads/HUBBARD%20-%20USA%20-%205%20TYPES%20OF%20P25-64%20VACATION%20PLA.pdf?ver=1718122524474</t>
  </si>
  <si>
    <t>USA - P18+ past 12mos Paid-Ticket Live Music ROCK Concert Goers</t>
  </si>
  <si>
    <t>USA - P18+ past 12mos Paid-Ticket Live Music COUNTRY Concert Goers</t>
  </si>
  <si>
    <t>USA - P18+ past 12mos Paid-Ticket Live Music R&amp;B/RAP/HIP-HOP Concert Goers</t>
  </si>
  <si>
    <t>USA - P18+ past 12mos Paid-Ticket Live Music JAZZ/BLUES/ETC. Concert Goers</t>
  </si>
  <si>
    <t>USA - P18+ past 12mos Paid-Ticket Live Music OPERA/CLASSICAL Concert Goers</t>
  </si>
  <si>
    <t>https://img1.wsimg.com/blobby/go/fa91e93a-72dd-4def-b76d-173477e02dd0/downloads/HUBBARD%20-%20USA%20-%205%20TYPES%20OF%20PAID%20TICKET%20LIVE%20MU.pdf?ver=1718203484800</t>
  </si>
  <si>
    <t>USA - P25-64 Plan to Buy/Lease a New $30K+MSRP COMPACT CAR next 12mos</t>
  </si>
  <si>
    <t>https://img1.wsimg.com/blobby/go/fa91e93a-72dd-4def-b76d-173477e02dd0/downloads/HUBBARD%20-%20USA%20-%205%20TYPES%20OF%20P25-64%20PLANNED%2030KP.pdf?ver=1718272310688</t>
  </si>
  <si>
    <t>USA - P25-64 Plan to Buy/Lease a New $30K+MSRP ELECTRIC VEHICLE next 12mos</t>
  </si>
  <si>
    <t>USA - P25-64 Plan to Buy/Lease a New $30K+MSRP MIDIZE CAR next 12mos</t>
  </si>
  <si>
    <t>USA - P25-64 Plan to Buy/Lease a New $30K+MSRP PICKUP TRUCK next 12mos</t>
  </si>
  <si>
    <t>USA - P25-64 Plan to Buy/Lease a New $30K+MSRP SUV next 12mos</t>
  </si>
  <si>
    <t>USA - P25-64 Plan to Buy/Lease a New $45K+MSRP COMPACT CAR next 12mos</t>
  </si>
  <si>
    <t>https://img1.wsimg.com/blobby/go/fa91e93a-72dd-4def-b76d-173477e02dd0/downloads/HUBBARD%20-%20USA%20-%205%20TYPES%20OF%20P25-64%20PLANNED%2045KP.pdf?ver=1718292296917</t>
  </si>
  <si>
    <t>USA - P25-64 Plan to Buy/Lease a New $45K+MSRP ELECTRIC CAR next 12mos</t>
  </si>
  <si>
    <t>USA - P25-64 Plan to Buy/Lease a New $45K+MSRP MIDSIZE CAR next 12mos</t>
  </si>
  <si>
    <t>USA - P25-64 Plan to Buy/Lease a New $45K+MSRP PICKUP TRUCK next 12mos</t>
  </si>
  <si>
    <t>USA - P25-64 Plan to Buy/Lease a New $45K+MSRP SUV next 12mos</t>
  </si>
  <si>
    <t>USA - P25-64 used AVIS for a Rental Car 1+ time past 12 months</t>
  </si>
  <si>
    <t>https://img1.wsimg.com/blobby/go/fa91e93a-72dd-4def-b76d-173477e02dd0/downloads/HUBBARD%20-%20USA%20-%20PAST%2012MO%20USERS%20OF%20FIVE%20TOP%20RE.pdf?ver=1718381406388</t>
  </si>
  <si>
    <t>USA - P25-64 used BUDGET for a Rental Car 1+ time past 12 months</t>
  </si>
  <si>
    <t>USA - P25-64 used ENTERPRISE for a Rental Car 1+ time past 12 months</t>
  </si>
  <si>
    <t>USA - P25-64 used HERTZ for a Rental Car 1+ time past 12 months</t>
  </si>
  <si>
    <t>USA - P25-64 used NATIONAL for a Rental Car 1+ time past 12 months</t>
  </si>
  <si>
    <t>USA - P18+ used the LYFT Rideshare App 1+ times past 30 days</t>
  </si>
  <si>
    <t>https://img1.wsimg.com/blobby/go/fa91e93a-72dd-4def-b76d-173477e02dd0/downloads/HUBBARD%20-%20USA%20-%205%20DEMOS%20OF%20PAST%2030%20DAYS%20LYFT%20R.pdf?ver=1718394953816</t>
  </si>
  <si>
    <t>USA - P25-64 used the LYFT Rideshare App 1+ times past 30 days</t>
  </si>
  <si>
    <t>USA - W25-64 used the LYFT Rideshare App 1+ times past 30 days</t>
  </si>
  <si>
    <t>USA - M25-64 used the LYFT Rideshare App 1+ times past 30 days</t>
  </si>
  <si>
    <t>USA - P35+ used the LYFT Rideshare App 1+ times past 30 days</t>
  </si>
  <si>
    <t>USA - P18+ past 30 days UBER Rideshare App Users</t>
  </si>
  <si>
    <t>USA - P25-64 past 30 days UBER Rideshare App Users</t>
  </si>
  <si>
    <t>USA - W25-64 past 30 days UBER Rideshare App Users</t>
  </si>
  <si>
    <t>USA - M35-64 past 30 days UBER Rideshare App Users</t>
  </si>
  <si>
    <t>USA - P35+ past 30 days UBER Rideshare App Users</t>
  </si>
  <si>
    <t>https://img1.wsimg.com/blobby/go/fa91e93a-72dd-4def-b76d-173477e02dd0/downloads/HUBBARD%20-%20USA%20-%205%20DEMOS%20OF%20PAST%2030%20DAYS%20UBER%20R.pdf?ver=1718653544251</t>
  </si>
  <si>
    <t>USA - P21+ past 30 days WHITE CLAW HARD SELTZER Drinkers</t>
  </si>
  <si>
    <t>https://img1.wsimg.com/blobby/go/fa91e93a-72dd-4def-b76d-173477e02dd0/downloads/HUBBARD%20-%20USA%20-%205%20PAST%2030%20DAYS%20HARD%20SELTZER%20%26%20.pdf?ver=1718798365914</t>
  </si>
  <si>
    <t>USA - P21+ past 30 days TRULY HARD SELTZER Drinkers</t>
  </si>
  <si>
    <t>USA - P21+ past 30 days CAPE LINE SPARKLING COCKTAIL Drinkers</t>
  </si>
  <si>
    <t>USA - P21+ past 30 days ARNOLD PALMER SPIKED Drinkers</t>
  </si>
  <si>
    <t>USA - P21+ past 30 days RITAS (Any Flavor) Drinkers</t>
  </si>
  <si>
    <t>https://img1.wsimg.com/blobby/go/fa91e93a-72dd-4def-b76d-173477e02dd0/downloads/HUBBARD%20-%20USA%20-%205%20DEMOS%20OF%20PAST%2030%20DAYS%20WHITE%20.pdf?ver=1718798424630</t>
  </si>
  <si>
    <t>USA - P21-49 past 30 days WHITE CLAW HARD SELTZER Drinkers</t>
  </si>
  <si>
    <t>USA - W21-49 past 30 days WHITE CLAW HARD SELTZER Drinkers</t>
  </si>
  <si>
    <t>USA - M21-49 past 30 days WHITE CLAW HARD SELTZER Drinkers</t>
  </si>
  <si>
    <t>USA - P235-64 past 30 days WHITE CLAW HARD SELTZER Drinkers</t>
  </si>
  <si>
    <t>West Palm Beach DMA - P35+ Single-Family Homeowners PTB New WINDOWS</t>
  </si>
  <si>
    <t>https://img1.wsimg.com/blobby/go/fa91e93a-72dd-4def-b76d-173477e02dd0/downloads/HUBBARD%20-%20West%20Palm%20Beach%20-%20WINDOW%20WORLD%20-%20soe.pdf?ver=1718829209116</t>
  </si>
  <si>
    <t>USA - P25-64 past 30 days ZILLOW Users who Plan to Buy a Home next 12mos</t>
  </si>
  <si>
    <t>https://img1.wsimg.com/blobby/go/fa91e93a-72dd-4def-b76d-173477e02dd0/downloads/HUBBARD%20-%20USA%20-%205%20TYPES%20OF%20P25-64%20PAST%2030%20DAYS.pdf?ver=1718900969416</t>
  </si>
  <si>
    <t>USA - P25-64 past 30 days ZILLOW Users shopping for a Home Loan</t>
  </si>
  <si>
    <t>USA - P25-64 past 30 days ZILLOW Users shopping for Homeowners Insurance</t>
  </si>
  <si>
    <t>USA - P25-64 past 30 days ZILLOW Users who Plan to Sell their Home next 12mos</t>
  </si>
  <si>
    <t>USA - P25-64 past 30 days ZILLOW Users using a Real Estate Agent</t>
  </si>
  <si>
    <t>USA - P25-64 used the BOOKING.COM Travel App/Website past 30 days</t>
  </si>
  <si>
    <t>https://img1.wsimg.com/blobby/go/fa91e93a-72dd-4def-b76d-173477e02dd0/downloads/HUBBARD%20-%20USA%20-%205%20TYPES%20OF%20P25-64%20PAST%2030%20DAYS.pdf?ver=1718916592119</t>
  </si>
  <si>
    <t>USA - P25-64 used the EXPEDIA Travel App/Website past 30 days</t>
  </si>
  <si>
    <t>USA - P25-64 used the GOOGLE FLIGHTS Travel App/Website past 30 days</t>
  </si>
  <si>
    <t>USA - P25-64 used the HOTELS.COM Travel App/Website past 30 days</t>
  </si>
  <si>
    <t>USA - P25-64 used the TRIPADVISOR Travel App/Website past 30 days</t>
  </si>
  <si>
    <t>USA - W18+ past 3mo MACY'S In-Store Shoppers spending $500+ on Women's Shoes</t>
  </si>
  <si>
    <t>https://img1.wsimg.com/blobby/go/fa91e93a-72dd-4def-b76d-173477e02dd0/downloads/HUBBARD%20-%20USA%20-%205%20TYPES%20OF%20W18PLUS%20500PLUS%20MAC.pdf?ver=1718988243646</t>
  </si>
  <si>
    <t>USA - W18+ past 3mo MACY'S In-Store Shoppers spending $500+ on Handbags/Purses</t>
  </si>
  <si>
    <t>USA - W18+ past 3mo MACY'S In-Store Shoppers spending $500+ on Fine Jewelry</t>
  </si>
  <si>
    <t>USA - W18+ past 3mo MACY'S In-Store Shoppers spending $500+ on Cosmetics/Perfumes</t>
  </si>
  <si>
    <t>USA - W18+ past 3mo MACY'S In-Store Shoppers spending $500+ on Skin Care Items</t>
  </si>
  <si>
    <t xml:space="preserve">USA - P18+ past 3mo MACY'S In-Store Shoppers </t>
  </si>
  <si>
    <t>https://img1.wsimg.com/blobby/go/fa91e93a-72dd-4def-b76d-173477e02dd0/downloads/HUBBARD%20-%20USA%20-%205%20DEMOS%20OF%20MACY_S%20PAST%203-MONTH.pdf?ver=1718997534454</t>
  </si>
  <si>
    <t xml:space="preserve">USA - P25-64 past 3mo MACY'S In-Store Shoppers </t>
  </si>
  <si>
    <t xml:space="preserve">USA - W25-64 past 3mo MACY'S In-Store Shoppers </t>
  </si>
  <si>
    <t xml:space="preserve">USA - M25-64 past 3mo MACY'S In-Store Shoppers </t>
  </si>
  <si>
    <t xml:space="preserve">USA - P35+ past 3mo MACY'S In-Store Shoppers </t>
  </si>
  <si>
    <t>https://img1.wsimg.com/blobby/go/fa91e93a-72dd-4def-b76d-173477e02dd0/downloads/HUBBARD%20-%20USA%20-%205%20BRANDS%20OF%20P21PLUS%20E%26J%20GALLO%20.pdf?ver=1719246203723</t>
  </si>
  <si>
    <t>https://img1.wsimg.com/blobby/go/fa91e93a-72dd-4def-b76d-173477e02dd0/downloads/HUBBARD%20-%20USA%20-%20P21PLUS%205%20TYPES%20OF%20PLANNED%20EVE.pdf?ver=1719260292388</t>
  </si>
  <si>
    <t>USA - P21+ past 3 months ALAMOS Wine Drinkers</t>
  </si>
  <si>
    <t>USA - P21+ past 3 months ANDRE California Champagne Drinkers</t>
  </si>
  <si>
    <t>USA - P21+ past 3 months APOTHIC Wine Drinkers</t>
  </si>
  <si>
    <t>USA - P21+ past 3 months BAREFOOT Wine Drinkers</t>
  </si>
  <si>
    <t>USA - P21+ past 3 months BLACK BOX Wine Drinkers</t>
  </si>
  <si>
    <t>USA - P21+ Plan to Attend a WINE TASTING Event in 2024</t>
  </si>
  <si>
    <t>USA - P21+ Plan to Attend a BEER TASTING Event in 2024</t>
  </si>
  <si>
    <t>USA - P21+ Plan to Attend a FOOD TASTING Event in 2024</t>
  </si>
  <si>
    <t>USA - P21+ Plan to Attend a BUSINESS NETWORKING Event in 2024</t>
  </si>
  <si>
    <t>USA - P21+ Plan to Attend a SINGLES Event in 2024</t>
  </si>
  <si>
    <t>https://img1.wsimg.com/blobby/go/fa91e93a-72dd-4def-b76d-173477e02dd0/downloads/Hubbard%20-%20Seattle-Tacoma%20-%20EMERALD%20QUEEN%20CASIN.pdf?ver=1719407993669</t>
  </si>
  <si>
    <t>https://img1.wsimg.com/blobby/go/fa91e93a-72dd-4def-b76d-173477e02dd0/downloads/HUBBARD%20-%20CHICAGO%20-%20LOYOLA%20ADVANCEMENT%20-%20FUNDR.pdf?ver=1719408016160</t>
  </si>
  <si>
    <t>https://img1.wsimg.com/blobby/go/fa91e93a-72dd-4def-b76d-173477e02dd0/downloads/HUBBARD%20-%20USA%20-%205%20MORE%20BRANDS%20OF%20P21PLUS%20E%26J%20G.pdf?ver=1719331567970</t>
  </si>
  <si>
    <t>https://img1.wsimg.com/blobby/go/fa91e93a-72dd-4def-b76d-173477e02dd0/downloads/HUBBARD%20-%20USA%20-%20YES%20EVEN%205%20MORE%20BRANDS%20OF%20P21P.pdf?ver=1719396464274</t>
  </si>
  <si>
    <t>Seattle-Tacoma Metro P21+ past 12 months EMERALD QUEEN CASINO Users</t>
  </si>
  <si>
    <t>Chicago - P35+ Likely Charitable Givers to LOYOLA UNIVERSITY</t>
  </si>
  <si>
    <t>USA - P21+ past 3 months CARLO ROSSI Wine Drinkers</t>
  </si>
  <si>
    <t>USA - P21+ past 3 months COS du BOIS Wine Drinkers</t>
  </si>
  <si>
    <t>USA - P21+ past 3 months ECCO DOMANI Wine Drinkers</t>
  </si>
  <si>
    <t>USA - P21+ past 3 months ESTANCIA Wine Drinkers</t>
  </si>
  <si>
    <t>USA - P21+ past 3 months LA MARCA Prosecco Drinkers</t>
  </si>
  <si>
    <t>USA - P21+ past 3 months LIBERTY CREEK Wine Drinkers</t>
  </si>
  <si>
    <t>USA - P21+ past 3 months MARK WEST Wine Drinkers</t>
  </si>
  <si>
    <t>USA - P21+ past 3 months MIRASSOU Wine Drinkers</t>
  </si>
  <si>
    <t>USA - P21+ past 3 months REX-GOLIATH Wine Drinkers</t>
  </si>
  <si>
    <t>USA - P21+ past 3 months GALLO FAMILY VINEYARDS Wine Drinkers</t>
  </si>
  <si>
    <t>https://img1.wsimg.com/blobby/go/fa91e93a-72dd-4def-b76d-173477e02dd0/downloads/HUBBARD%20-%20USA%20-%205%20TYPES%20OF%20P21PLUS%20FTECGs%20LOOK.pdf?ver=1719437267849</t>
  </si>
  <si>
    <t>https://img1.wsimg.com/blobby/go/fa91e93a-72dd-4def-b76d-173477e02dd0/downloads/HUBBARD%20-%20USA%20-%20P21PLUS%20FTECGs%20LOOKING%20FOR%20NEW.pdf?ver=1719437291528</t>
  </si>
  <si>
    <t>https://img1.wsimg.com/blobby/go/fa91e93a-72dd-4def-b76d-173477e02dd0/downloads/HUBBARD%20-%20USA%20-%20P18%2B%20TOP-5%20CELL%20PHONE%20BRANDS%20O.pdf?ver=1719583441657</t>
  </si>
  <si>
    <t>https://img1.wsimg.com/blobby/go/fa91e93a-72dd-4def-b76d-173477e02dd0/downloads/HUBBARD%20-%20USA%20-%20P18%2B%20TOP-5%20CELL%20PHONE%20COS%20USER.pdf?ver=1719583463109</t>
  </si>
  <si>
    <t xml:space="preserve">USA - P21+ Full-Time-Employed College Grad Commty/Social Svcs using INDEED </t>
  </si>
  <si>
    <t xml:space="preserve">USA - P21+ Full-Time-Employed College Grad Computer &amp; Math using INDEED </t>
  </si>
  <si>
    <t xml:space="preserve">USA - P21+ Full-Time-Employed College Grad Healtcare &amp; Techn using INDEED </t>
  </si>
  <si>
    <t xml:space="preserve">USA - P21+ Full-Time-Employed College Grad Legal Industry using INDEED </t>
  </si>
  <si>
    <t xml:space="preserve">USA - P21+ Full-Time-Employed College Grad Sales &amp; Related using INDEED </t>
  </si>
  <si>
    <t>USA - P21+ Full-Time-Employed College Grads using INDEED to look for New Job</t>
  </si>
  <si>
    <t>USA - P21+ Full-Time-Employed College Grads using GLASSDOOR to look for New Job</t>
  </si>
  <si>
    <t>USA - P21+ Full-Time-Employed College Grads using CAREERBUILDER to look for New Job</t>
  </si>
  <si>
    <t>USA - P21+ Full-Time-Employed College Grads using MONSTER to look for New Job</t>
  </si>
  <si>
    <t>USA - P21+ Full-Time-Employed College Grads using ZIPRECRUITER to look for New Job</t>
  </si>
  <si>
    <t>USA - P18+ Own an APPLE (iPHONE) Cellular Phone</t>
  </si>
  <si>
    <t>USA - P18+ Own a SAMSUNG Cellular Phone</t>
  </si>
  <si>
    <t>USA - P18+ Own a MOTOROLA Cellular Phone</t>
  </si>
  <si>
    <t>USA - P18+ Own an ALCATEL Cellular Phone</t>
  </si>
  <si>
    <t>USA - P18+ Own a ZTE Cellular Phone</t>
  </si>
  <si>
    <t>USA - P18+ with T-MOBILE who Plan to Switch Cell Phone Carriers next 12mos</t>
  </si>
  <si>
    <t>USA - P18+ with AT&amp;T who Plan to Switch Cell Phone Carriers next 12mos</t>
  </si>
  <si>
    <t>USA - P18+ with VERIZON who Plan to Switch Cell Phone Carriers next 12mos</t>
  </si>
  <si>
    <t>USA - P18+ with XFINITY MOBILE who Plan to Switch Cell Phone Carriers next 12mos</t>
  </si>
  <si>
    <t>USA - P18+ with BOOST MOBILE who Plan to Switch Cell Phone Carriers next 12mos</t>
  </si>
  <si>
    <t>https://img1.wsimg.com/blobby/go/fa91e93a-72dd-4def-b76d-173477e02dd0/downloads/HUBBARD%20-%20USA%20-%205%20SMALL%20BUSINESS%20TYPES%20P25-64%20.pdf?ver=1719849064291</t>
  </si>
  <si>
    <t>https://img1.wsimg.com/blobby/go/fa91e93a-72dd-4def-b76d-173477e02dd0/downloads/HUBBARD%20-%20USA%20-%205%20TYPES%20OF%20P18PLUS%20McDONALD_S%20.pdf?ver=1719849079859</t>
  </si>
  <si>
    <t>https://img1.wsimg.com/blobby/go/fa91e93a-72dd-4def-b76d-173477e02dd0/downloads/HUBBARD%20-%20USA%20-%205%20STORES%20WHERE%20P18PLUS%20BOUGHT%20.pdf?ver=1719866349135</t>
  </si>
  <si>
    <t>https://img1.wsimg.com/blobby/go/fa91e93a-72dd-4def-b76d-173477e02dd0/downloads/HUBBARD%20-%20USA%20-%20P18PLUS%205%20TOP%20CHICKEN%20QSRs%20USE.pdf?ver=1719933953270</t>
  </si>
  <si>
    <t>USA - P25-64 made an in-store Purchase past 3mos at a DAY SPA</t>
  </si>
  <si>
    <t>USA - P25-64 made an in-store Purchase past 3mos at a DRY CLEANER</t>
  </si>
  <si>
    <t>USA - P25-64 made an in-store Purchase past 3mos at a FLORIST</t>
  </si>
  <si>
    <t>USA - P25-64 made an in-store Purchase past 3mos at a FINE JEWELRY STORE</t>
  </si>
  <si>
    <t>USA - P25-64 made an in-store Purchase past 3mos at a SHOE STORE</t>
  </si>
  <si>
    <t>USA - P18+ who used McDONALD's 1+times past 30 days for BREAKFAST</t>
  </si>
  <si>
    <t>USA - P18+ who used McDONALD's 1+times past 30 days for LUNCH</t>
  </si>
  <si>
    <t>USA - P18+ who used McDONALD's 1+times past 30 days for DINNER</t>
  </si>
  <si>
    <t>USA - P18+ who used McDONALD's 1+times past 30 days for OTHER REASON</t>
  </si>
  <si>
    <t>USA - P18+ who used McDONALD's 1+times past 30 days for ANY OCCASION</t>
  </si>
  <si>
    <t>USA - P18+ Purchased New Glasses/Contacts past 12mos at COSTCO VISION</t>
  </si>
  <si>
    <t>USA - P18+ Purchased New Glasses/Contacts past 12mos at AMERICA'S BEST</t>
  </si>
  <si>
    <t>USA - P18+ Purchased New Glasses/Contacts past 12mos at WALMART VISION</t>
  </si>
  <si>
    <t>USA - P18+ Purchased New Glasses/Contacts past 12mos at VISIONWORKS</t>
  </si>
  <si>
    <t>USA - P18+ Purchased New Glasses/Contacts past 12mos at LENSCRAFTERS</t>
  </si>
  <si>
    <t>USA - P18+ who used CHICK-FIL-A 1+times in the past 30 days</t>
  </si>
  <si>
    <t>USA - P18+ who used CHURCH'S TEXAS CHICKEN 1+times in the past 30 days</t>
  </si>
  <si>
    <t>USA - P18+ who used KFC 1+times in the past 30 days</t>
  </si>
  <si>
    <t>USA - P18+ who used POPEYES LOUISIANA KITCHEN 1+times in the past 30 days</t>
  </si>
  <si>
    <t>USA - P18+ who used WINGSTOP 1+times in the past 30 days</t>
  </si>
  <si>
    <t>Chicago - $75K+HHI P35+ TIMESHARE VACATION PROPERTY Owners</t>
  </si>
  <si>
    <t>https://img1.wsimg.com/blobby/go/fa91e93a-72dd-4def-b76d-173477e02dd0/downloads/HUBBARD%20-%20CHICAGO%20-%20%2475K%2BHHI%20P35%2B%20TIMESHARE%20VA.pdf?ver=1720001184327</t>
  </si>
  <si>
    <t>https://img1.wsimg.com/blobby/go/fa91e93a-72dd-4def-b76d-173477e02dd0/downloads/HUBBARD%20-%20USA%20-%205%20MEDIA%20P21PLUS%20MADE%20A%20PURCHAS.pdf?ver=1720035670870</t>
  </si>
  <si>
    <t>https://img1.wsimg.com/blobby/go/fa91e93a-72dd-4def-b76d-173477e02dd0/downloads/HUBBARD%20-%20USA%20-%205%20SHARES%20OF%20MEDIA%20P21PLUS%20MADE.pdf?ver=1720190559547</t>
  </si>
  <si>
    <t>https://img1.wsimg.com/blobby/go/fa91e93a-72dd-4def-b76d-173477e02dd0/downloads/HUBBARD%20-%20USA%20-%205%20TYPES%20OF%20P18PLUS%20WNBA%20FANS%20-.pdf?ver=1720458797989</t>
  </si>
  <si>
    <t>https://img1.wsimg.com/blobby/go/fa91e93a-72dd-4def-b76d-173477e02dd0/downloads/HUBBARD%20-%20USA%20-%205%20TOP%20C-STORES%20WHERE%20P18PLUS%20B.pdf?ver=1720532165823</t>
  </si>
  <si>
    <t>USA - P18+ made a Purchase in the past 3mos as a Result of Ads on WEBSITES</t>
  </si>
  <si>
    <t>USA - P18+ made a Purchase in the past 3mos as a Result of Ads on SOCIAL MEDIA</t>
  </si>
  <si>
    <t>USA - P18+ made a Purchase in the past 3mos as a Result of Ads on AUDIO MEDIA</t>
  </si>
  <si>
    <t>USA - P18+ made a Purchase in the past 3mos as a Result of Ads on VIDEO MEDIA</t>
  </si>
  <si>
    <t>USA - P18+ made a Purchase in the past 3mos as a Result of Ads on OOH MEDIA</t>
  </si>
  <si>
    <t>USA - P18+ made a Purchase in the past 3mos as a Result of Ads on STREAMING VIDEO SVCs</t>
  </si>
  <si>
    <t>USA - P18+ made a Purchase in the past 3mos as a Result of Ads on LOCAL AM/FM RADIO</t>
  </si>
  <si>
    <t>USA - P18+ made a Purchase in the past 3mos as a Result of Ads on PODCASTS</t>
  </si>
  <si>
    <t>USA - P18+ made a Purchase in the past 3mos as a Result of Ads on STREAMIING AUDIO SVCs</t>
  </si>
  <si>
    <t>USA - P18+ made a Purchase in the past 3mos as a Result of Ads on LOCAL TV &amp; CABLE</t>
  </si>
  <si>
    <t>USA - P18+ Attended 1-2 WNBA Games past 12 months</t>
  </si>
  <si>
    <t>USA - P18+ Attended 3-9 WNBA Games past 12 months</t>
  </si>
  <si>
    <t>USA - P18+ Attended 10+ WNBA Games past 12 months</t>
  </si>
  <si>
    <t>USA - P18+ Streamed WNBA Games Online past 12 months</t>
  </si>
  <si>
    <t>USA - P18+ Watched WNBA Games on TV (Broadcast or Cable) past 12 months</t>
  </si>
  <si>
    <t>USA - P18+ Bought Gas for Vehicle(s) at WAWA in the past 7 days</t>
  </si>
  <si>
    <t>USA - P18+ Bought Gas for Vehicle(s) at 7-ELEVEN in the past 7 days</t>
  </si>
  <si>
    <t>USA - P18+ Bought Gas for Vehicle(s) at CASEY'S in the past 7 days</t>
  </si>
  <si>
    <t>USA - P18+ Bought Gas for Vehicle(s) at CIRCLE-K in the past 7 days</t>
  </si>
  <si>
    <t>USA - P18+ Bought Gas for Vehicle(s) at SPEEDWAY in the past 7 days</t>
  </si>
  <si>
    <t>82..9%</t>
  </si>
  <si>
    <t>https://img1.wsimg.com/blobby/go/fa91e93a-72dd-4def-b76d-173477e02dd0/downloads/HUBBARD%20-%20USA%20-%20W18PLUS%20IN-STORE%20SPENDERS%20AT%205.pdf?ver=1720616805969</t>
  </si>
  <si>
    <t>https://img1.wsimg.com/blobby/go/fa91e93a-72dd-4def-b76d-173477e02dd0/downloads/HUBBARD%20-%20USA%20-%205%20TOP%20STORES%20WHERE%20P18PLUS%20BOU.pdf?ver=1720630685355</t>
  </si>
  <si>
    <t>https://img1.wsimg.com/blobby/go/fa91e93a-72dd-4def-b76d-173477e02dd0/downloads/HUBBARD%20-%20USA%20-%205%20TYPES%20OF%20P18PLUS%20HISPANICS%20-.pdf?ver=1720644407050</t>
  </si>
  <si>
    <t>https://img1.wsimg.com/blobby/go/fa91e93a-72dd-4def-b76d-173477e02dd0/downloads/HUBBARD%20-%20USA%20-%205%20DEMOS%20OF%20P18PLUS%20LINKEDIN%20US.pdf?ver=1720703261469</t>
  </si>
  <si>
    <t>USA - W18+ purchased items an an ANTHROPOLOGY Shopping Mall Store past 3mos.</t>
  </si>
  <si>
    <t>USA - W18+ purchased items an a CHICO'S Shopping Mall Store past 3mos.</t>
  </si>
  <si>
    <t>USA - W18+ purchased items an a FOREVER 21 Shopping Mall Store past 3mos.</t>
  </si>
  <si>
    <t>USA - W18+ purchased items an an H&amp;M Shopping Mall Store past 3mos.</t>
  </si>
  <si>
    <t>USA - W18+ purchased items an a VICTORIA'S SECRET Shopping Mall Store past 3mos.</t>
  </si>
  <si>
    <t>USA - P18+ purchased New Tires past 12mos at COSTCO</t>
  </si>
  <si>
    <t>USA - P18+ purchased New Tires past 12mos at DISCOUNT TIRE CO.</t>
  </si>
  <si>
    <t>USA - P18+ purchased New Tires past 12mos at FIRESTONE COMPLETE AUTO CARE</t>
  </si>
  <si>
    <t>USA - P18+ purchased New Tires past 12mos at GOODYEAR AUTO SERVICE CENTERS</t>
  </si>
  <si>
    <t>USA - P18+ purchased New Tires past 12mos at LES SCHWAB TIRES</t>
  </si>
  <si>
    <t>USA - P18+ HISPANICS</t>
  </si>
  <si>
    <t>USA - P18+ ENGLISH-LANGUAGE-DOMINANT HISPANICS</t>
  </si>
  <si>
    <t>USA - P18+ HISPANICS BORN IN THE USA</t>
  </si>
  <si>
    <t>USA - P18+ HISPANICS LIVED IN THE USA LESS THAN 3 YEARS</t>
  </si>
  <si>
    <t>USA - past 30 days P18+ LINKEDIN Users as of April 30, 2024</t>
  </si>
  <si>
    <t>USA - past 30 days P25-64 LINKEDIN Users as of April 30, 2024</t>
  </si>
  <si>
    <t>USA - past 30 days W25-64 LINKEDIN Users as of April 30, 2024</t>
  </si>
  <si>
    <t>USA - past 30 days M25-64 LINKEDIN Users as of April 30, 2024</t>
  </si>
  <si>
    <t>USA - past 30 days P35+ LINKEDIN Users as of April 30, 2024</t>
  </si>
  <si>
    <t>https://img1.wsimg.com/blobby/go/fa91e93a-72dd-4def-b76d-173477e02dd0/downloads/HUBBARD%20-%20USA%20-%205%20TOP%20FREE%20AD-SUPPORTED%20AUDIO%20.pdf?ver=1720797338830</t>
  </si>
  <si>
    <t>https://img1.wsimg.com/blobby/go/fa91e93a-72dd-4def-b76d-173477e02dd0/downloads/HUBBARD%20-%20USA%20-%20P18PLUS%20PAST12MO%20GIVERS%20TO%205%20D.pdf?ver=1720808278018</t>
  </si>
  <si>
    <t>https://img1.wsimg.com/blobby/go/fa91e93a-72dd-4def-b76d-173477e02dd0/downloads/HUBBARD%20-%20USA%20-%20P21%2B%20Weekly%20Drinkers%20of%205%20Diff.pdf?ver=1720817050911</t>
  </si>
  <si>
    <t>https://img1.wsimg.com/blobby/go/fa91e93a-72dd-4def-b76d-173477e02dd0/downloads/HUBBARD%20-%20USA%20-%20P21%2B%20Weekly%20Drinkers%20of%205%20Diff.pdf?ver=1721065903895</t>
  </si>
  <si>
    <t>https://img1.wsimg.com/blobby/go/fa91e93a-72dd-4def-b76d-173477e02dd0/downloads/HUBBARD%20-%20USA%20-%20%24500K%2BHH%20NET%20WORTH%20P35%2B%20USERS%20.pdf?ver=1721135711556</t>
  </si>
  <si>
    <t>https://img1.wsimg.com/blobby/go/fa91e93a-72dd-4def-b76d-173477e02dd0/downloads/Hubbard%20-%20Cincinnati%20-%20TRI%20STATE%20MEN_S%20HEALTH%20.pdf?ver=1721135861486</t>
  </si>
  <si>
    <t>USA - P18+ past 7 days listeners to Free Ad-Supported AMAZON MUSIC</t>
  </si>
  <si>
    <t>USA - P18+ past 7 days listeners to Free Ad-Supported IHEART RADIO</t>
  </si>
  <si>
    <t>USA - P18+ past 7 days listeners to Free Ad-Supported SPOTIFY</t>
  </si>
  <si>
    <t>USA - P18+ past 7 days listeners to Free Ad-Supported PANDORA</t>
  </si>
  <si>
    <t>USA - P18+ past 7 days listeners to Free Ad-Supported YOUTUBE MUSIC</t>
  </si>
  <si>
    <t>USA - P18+ past 12 months Givers of Money to ARTS/CULTURAL Charities</t>
  </si>
  <si>
    <t>USA - P18+ past 12 months Givers of Money to EDUCATIONAL/ACADEMIC Charities</t>
  </si>
  <si>
    <t>USA - P18+ past 12 months Givers of Money to HEALTHCARE/MEDICAL Charities</t>
  </si>
  <si>
    <t>USA - P18+ past 12 months Givers of Money to MILITARY/VETERANS Charities</t>
  </si>
  <si>
    <t>USA - P18+ past 12 months Givers of Money to SOCIAL CARE/WELFARE Charities</t>
  </si>
  <si>
    <t>USA - P21+ past 7 days drinkers of COORS LIGHT Domestic Light Beer</t>
  </si>
  <si>
    <t>USA - P21+ past 7 days drinkers of BUD LIGHT Domestic Light Beer</t>
  </si>
  <si>
    <t>USA - P21+ past 7 days drinkers of MILLER LITE  Domestic Light Beer</t>
  </si>
  <si>
    <t>USA - P21+ past 7 days drinkers of MICHELOB ULTRA  Domestic Light Beer</t>
  </si>
  <si>
    <t>USA - P21+ past 7 days drinkers of BUSCH LIGHT Domestic Light Beer</t>
  </si>
  <si>
    <t>USA - P21+ past 7 days drinkers of BUDWEISER Domestic Regular Beer</t>
  </si>
  <si>
    <t>USA - P21+ past 7 days drinkers of MILLER HIGH LIFE Domestic Regular Beer</t>
  </si>
  <si>
    <t>USA - P21+ past 7 days drinkers of COORS ORIGINAL Domestic Regular Beer</t>
  </si>
  <si>
    <t>USA - P21+ past 7 days drinkers of PABST BLUE RIBBON Domestic Regular Beer</t>
  </si>
  <si>
    <t>USA - P21+ past 7 days drinkers of YUENGLING LAGER Domestic Regular Beer</t>
  </si>
  <si>
    <t>USA - P35+ $500K+HH NET WORTH past 12 months users of TAX PREPARATION FIRMS</t>
  </si>
  <si>
    <t>USA - P35+ $500K+HH NET WORTH past 12 months users of ACCOUNTANTS</t>
  </si>
  <si>
    <t>USA - P35+ $500K+HH NET WORTH past 12 months users of FINANCIAL PLANNERS</t>
  </si>
  <si>
    <t>USA - P35+ $500K+HH NET WORTH past 12 months users of STOCKBROKERRS</t>
  </si>
  <si>
    <t>USA - P35+ $500K+HH NET WORTH past 12 months users of ESTATE PLANNERS</t>
  </si>
  <si>
    <t>Cincinnati - M35+ who purchase PRESCRIPTION MEDICINE Online every 6 months</t>
  </si>
  <si>
    <t>https://img1.wsimg.com/blobby/go/fa91e93a-72dd-4def-b76d-173477e02dd0/downloads/HUBBARD%20-%20USA%20-%20P25-64%20PAST%204YR%20PURCHASERS%20%26%20L.pdf?ver=1721220334277</t>
  </si>
  <si>
    <t>https://img1.wsimg.com/blobby/go/fa91e93a-72dd-4def-b76d-173477e02dd0/downloads/HUBBARD%20-%20CHICAGO%20-%20LOYOLA%20-%20ALL%20P18%2B%20UNDERGRA.pdf?ver=1721221748076</t>
  </si>
  <si>
    <t>https://img1.wsimg.com/blobby/go/fa91e93a-72dd-4def-b76d-173477e02dd0/downloads/HUBBARD%20-%20CHICAGO%20-%20LOYOLA%20ADVANCEMENT%20-%20FUNDR.pdf?ver=1721221770832</t>
  </si>
  <si>
    <t>https://img1.wsimg.com/blobby/go/fa91e93a-72dd-4def-b76d-173477e02dd0/downloads/HUBBARD%20-%20USA%20-%20P18%2B%205%20TARGETS%20FOR%20COLLEGE%20NEW.pdf?ver=1721250908116</t>
  </si>
  <si>
    <t>https://img1.wsimg.com/blobby/go/fa91e93a-72dd-4def-b76d-173477e02dd0/downloads/HUBBARD%20-%20USA%20-%20P25-64%205%20TARGETS%20FOR%20ONLINE%20SE.pdf?ver=1721316745324</t>
  </si>
  <si>
    <t>https://img1.wsimg.com/blobby/go/fa91e93a-72dd-4def-b76d-173477e02dd0/downloads/HUBBARD%20-%20Minneapolis-St.%20Paul%20-%20FRESCADOS%20TOR.pdf?ver=1721325555236</t>
  </si>
  <si>
    <t>https://img1.wsimg.com/blobby/go/fa91e93a-72dd-4def-b76d-173477e02dd0/downloads/HUBBARD%20-%20USA%20-%20P18%2B%20USERS%20OF%205%20DIFFERENT%20AIRL.pdf?ver=1721396425087</t>
  </si>
  <si>
    <t>https://img1.wsimg.com/blobby/go/fa91e93a-72dd-4def-b76d-173477e02dd0/downloads/HUBBARD%20-%20Minneapolis-St.%20Paul%20-%20PORT%20OF%20SUBS%20.pdf?ver=1721407262739</t>
  </si>
  <si>
    <t>USA - P25-64 past 4 years Purhasers and Lessees of New FORD F150 Pickup Trucks</t>
  </si>
  <si>
    <t>USA - P25-64 past 4 years Purhasers and Lessees of New CHEVROLET SILVERADO Pickup Trucks</t>
  </si>
  <si>
    <t>USA - P25-64 past 4 years Purhasers and Lessees of New TOYOTA TACOMA Pickup Trucks</t>
  </si>
  <si>
    <t>USA - P25-64 past 4 years Purhasers and Lessees of New GMC SIERRA Pickup Trucks</t>
  </si>
  <si>
    <t>USA - P25-64 past 4 years Purhasers and Lessees of New RAM 1500 Pickup Trucks</t>
  </si>
  <si>
    <t>Chicago - P18+ Undergrads (not yet enrolled) who Plan to Go Back to School to earn a Degree</t>
  </si>
  <si>
    <t>Chicago - P18+ who Gave Money in the paast 12 months to ANY CHARITY</t>
  </si>
  <si>
    <t>USA - P18+ High School Grads (not yet enrolled) who Plan to Go Back to School for a Degree</t>
  </si>
  <si>
    <t>USA - P18+ with Some College (not yet enrolled) who Plan to Go Back to School for a Degree</t>
  </si>
  <si>
    <t>USA - P18+ with an Associate's (not yet enrolled) who Plan to Go Back to School for a Degree</t>
  </si>
  <si>
    <t>USA - P18+ with a Bachelor's (not yet enrolled) who Plan to Go Back to School for a Degree</t>
  </si>
  <si>
    <t>USA - P18+ Postgraduates (not yet enrolled) who Plan to Go Back to School for a Degree</t>
  </si>
  <si>
    <t>USA - P25-64 who spent $100-$249 ONLINE on BLINDS/WINDOW COVERINGS past 12mos</t>
  </si>
  <si>
    <t>USA - P25-64 who spent $250-$499 ONLINE on BLINDS/WINDOW COVERINGS past 12mos</t>
  </si>
  <si>
    <t>USA - P25-64 who spent $500-$999 ONLINE on BLINDS/WINDOW COVERINGS past 12mos</t>
  </si>
  <si>
    <t>USA - P25-64 who spent $1,000-$2,999 ONLINE on BLINDS/WINDOW COVERINGS past 12mos</t>
  </si>
  <si>
    <t>USA - P25-64 who spent $3,000 or more ONLINE on BLINDS/WINDOW COVERINGS past 12mos</t>
  </si>
  <si>
    <t>Minneapolis-St. Paul - P18+ who bought TORTILLAS past 7 days where FRESCADOS are sold</t>
  </si>
  <si>
    <t>USA - P18+ who Flew RT from the USA to MEXICO on AMERICAN AIRLINES past 12mos</t>
  </si>
  <si>
    <t>USA - P18+ who Flew RT from the USA to MEXICO on SOUTHWEST AIRLINES past 12mos</t>
  </si>
  <si>
    <t>USA - P18+ who Flew RT from the USA to MEXICO on UNITED AIRLINES past 12mos</t>
  </si>
  <si>
    <t>USA - P18+ who Flew RT from the USA to MEXICO on DELTA AIRLINES past 12mos</t>
  </si>
  <si>
    <t>USA - P18+ who Flew RT from the USA to MEXICO on JETBLUE AIRLINES past 12mos</t>
  </si>
  <si>
    <t>74..8%</t>
  </si>
  <si>
    <t>Minneapolis-St. Paul - P18+ past 30 days users of SUB SANDWICH QSRs for PORT OF SUBS</t>
  </si>
  <si>
    <t>USA - P18+ Pet Owners who shopped (in-store or Online) AMAZON past 3mos.</t>
  </si>
  <si>
    <t>https://img1.wsimg.com/blobby/go/fa91e93a-72dd-4def-b76d-173477e02dd0/downloads/HUBBARD%20-%20USA%20-%20P18%2B%20PAST%203MO%20SHOPPERS%20OF%205%20DI.pdf?ver=1721423852685</t>
  </si>
  <si>
    <t>USA - P18+ Pet Owners who shopped (in-store or Online) WALMART past 3mos.</t>
  </si>
  <si>
    <t>USA - P18+ Pet Owners who shopped (in-store or Online) PETSMART past 3mos.</t>
  </si>
  <si>
    <t>USA - P18+ Pet Owners who shopped (in-store or Online) PETCO past 3mos.</t>
  </si>
  <si>
    <t>USA - P18+ Pet Owners who shopped (in-store or Online) CHEWY.COM past 3mos.</t>
  </si>
  <si>
    <t>USA - P25-64 past 4 years Purchasers and Lessees of New AUDI Vehicles</t>
  </si>
  <si>
    <t>https://img1.wsimg.com/blobby/go/fa91e93a-72dd-4def-b76d-173477e02dd0/downloads/HUBBARD%20-%20USA%20-%20P25-64%20NEW%20PURCHASERS%20AND%20LESS.pdf?ver=1721677370758</t>
  </si>
  <si>
    <t>USA - P25-64 past 4 years Purchasers and Lessees of New BMW Vehicles</t>
  </si>
  <si>
    <t>USA - P25-64 past 4 years Purchasers and Lessees of New MERCEDES-BENZ Vehicles</t>
  </si>
  <si>
    <t>USA - P25-64 past 4 years Purchasers and Lessees of New PORSCHE Vehicles</t>
  </si>
  <si>
    <t>USA - P25-64 past 4 years Purchasers and Lessees of New VOLKSWAGEN Vehicles</t>
  </si>
  <si>
    <t>P18+ used DUNKIN' past 30 days as a COFFEE HOUSE/COFFEE BAR QSR</t>
  </si>
  <si>
    <t>https://img1.wsimg.com/blobby/go/fa91e93a-72dd-4def-b76d-173477e02dd0/downloads/HUBBARD%20-%20USA%20-%20P18%2B%20PAST%20MO%20USERS%20OF%205%20COFFEE.pdf?ver=1721762369335</t>
  </si>
  <si>
    <t>P18+ used STARBUCKS past 30 days as a COFFEE HOUSE/COFFEE BAR QSR</t>
  </si>
  <si>
    <t>P18+ used PANERA BREAD past 30 days as a COFFEE HOUSE/COFFEE BAR QSR</t>
  </si>
  <si>
    <t>P18+ used CARIBOU COFFEE past 30 days as a COFFEE HOUSE/COFFEE BAR QSR</t>
  </si>
  <si>
    <t>P18+ used DUTCH BROS. past 30 days as a COFFEE HOUSE/COFFEE BAR QSR</t>
  </si>
  <si>
    <t>Seattle - P18+ used DICK'S DINER QSRs past 30 days</t>
  </si>
  <si>
    <t>https://img1.wsimg.com/blobby/go/fa91e93a-72dd-4def-b76d-173477e02dd0/downloads/HUBBARD%20-%20USA%20-%20P18%2B%20PAST%2030%20DAYS%20USERS%20OF%205%20T.pdf?ver=1721852717522</t>
  </si>
  <si>
    <t>Phoenix - P18+ used FILIBERTO'S MEXICAN QSRs past 30 days</t>
  </si>
  <si>
    <t>Chicago - P18+ used PORTILLO'S QSRs past 30 days</t>
  </si>
  <si>
    <t>Washington, DC - P18+ used LEDO PIZZA QSRs past 30 days</t>
  </si>
  <si>
    <t>West Palm Beach - P18+ used BUD'S CHICKEN &amp; SEAFOOD QSRs past 30 days</t>
  </si>
  <si>
    <t>USA - P25-54 Plan to Switch AUTO INSURANCE Provider in the next 12mos.</t>
  </si>
  <si>
    <t>https://img1.wsimg.com/blobby/go/fa91e93a-72dd-4def-b76d-173477e02dd0/downloads/HUBBARD%20-%20USA%20%2B%204%20DMAS%20-%20P25-54s%20WHO%20PLAN%20TO%20S.pdf?ver=1722003752409</t>
  </si>
  <si>
    <t>Seattle - P25-54 Plan to Switch AUTO INSURANCE Provider in the next 12mos.</t>
  </si>
  <si>
    <t>St. Louis -  P25-54 Plan to Switch AUTO INSURANCE Provider in the next 12mos.</t>
  </si>
  <si>
    <t>Chicago -  P25-54 Plan to Switch AUTO INSURANCE Provider in the next 12mos.</t>
  </si>
  <si>
    <t>Washington, DC -  P25-54 Plan to Switch AUTO INSURANCE Provider in the next 12mos.</t>
  </si>
  <si>
    <t>https://img1.wsimg.com/blobby/go/fa91e93a-72dd-4def-b76d-173477e02dd0/downloads/HUBBARD%20-%20USA%20-%205%20TYPES%20OF%20P25-54%20PAST%203MOS%20IK.pdf?ver=1722343951085</t>
  </si>
  <si>
    <t>https://img1.wsimg.com/blobby/go/fa91e93a-72dd-4def-b76d-173477e02dd0/downloads/HUBBARD%20-%20USA%20-%20P25-64%20PAST%204YR%20PURCHASERS%20%26%20L.pdf?ver=1722359135966</t>
  </si>
  <si>
    <t>https://img1.wsimg.com/blobby/go/fa91e93a-72dd-4def-b76d-173477e02dd0/downloads/HUBBARD%20-%20USA%20-%205%20DEMOS%20OF%20PAST%2012MOS%20PAID%20LAB.pdf?ver=1722421955447</t>
  </si>
  <si>
    <t>https://img1.wsimg.com/blobby/go/fa91e93a-72dd-4def-b76d-173477e02dd0/downloads/HUBBARD%20-%20USA%20-%205%20STORES%20WHERE%20P25-54s%20BOUGHT%20.pdf?ver=1722442371383</t>
  </si>
  <si>
    <t>USA - P25-54s who shopped at IKEA past 3mos for HOME ACCESSORIES</t>
  </si>
  <si>
    <t>USA - P25-54s who shopped at IKEA past 3mos for a NEW MATTRESS</t>
  </si>
  <si>
    <t>USA - P25-54s who shopped at IKEA past 3mos for NEW FURNITURE</t>
  </si>
  <si>
    <t>USA - P25-54s who shopped at IKEA past 3mos for a NEW KITCHEN</t>
  </si>
  <si>
    <t>USA - P25-54s who shopped at IKEA past 3mos for a NEW BATHROOM</t>
  </si>
  <si>
    <t>USA - P25-64s who purchased or leased a New HONDA CR-V past 4 yrs</t>
  </si>
  <si>
    <t>USA - P25-64s who purchased or leased a New TOYOTA RAV4 past 4 yrs</t>
  </si>
  <si>
    <t>USA - P25-64s who purchased or leased a New CHEVROLET EQUINOX past 4 yrs</t>
  </si>
  <si>
    <t>USA - P25-64s who purchased or leased a New HYUNDAI TUCSON past 4 yrs</t>
  </si>
  <si>
    <t>USA - P25-64s who purchased or leased a New NISSAN ROGUE past 4 yrs</t>
  </si>
  <si>
    <t>USA - P18+ past 12mo Purchasers of Paid Labor New Car Radio/Car Stereo</t>
  </si>
  <si>
    <t>USA - P18-34 past 12mo Purchasers of Paid Labor New Car Radio/Car Stereo</t>
  </si>
  <si>
    <t>USA - P25-54 past 12mo Purchasers of Paid Labor New Car Radio/Car Stereo</t>
  </si>
  <si>
    <t>USA - W25-54 past 12mo Purchasers of Paid Labor New Car Radio/Car Stereo</t>
  </si>
  <si>
    <t>USA - M25-54 past 12mo Purchasers of Paid Labor New Car Radio/Car Stereo</t>
  </si>
  <si>
    <t>USA - P25-54s who puchased New Appliance(s) at THE HOME DEPOT past 12mos</t>
  </si>
  <si>
    <t>USA - P25-54s who puchased New Appliance(s) at LOWE'S past 12mos</t>
  </si>
  <si>
    <t>USA - P25-54s who puchased New Appliance(s) at BEST BUY past 12mos</t>
  </si>
  <si>
    <t>USA - P25-54s who puchased New Appliance(s) at COSTCO past 12mos</t>
  </si>
  <si>
    <t>USA - P25-54s who puchased New Appliance(s) at SAM'S CLUB past 12mos</t>
  </si>
  <si>
    <t>https://img1.wsimg.com/blobby/go/fa91e93a-72dd-4def-b76d-173477e02dd0/downloads/HUBBARD%20-%20USA%20-%20P18%2B%20INTEGRATED%20NEWSPAPER%20AUDI.pdf?ver=1722932725813</t>
  </si>
  <si>
    <t>https://img1.wsimg.com/blobby/go/fa91e93a-72dd-4def-b76d-173477e02dd0/downloads/HUBBARD%20-%20Minneapolis-St.%20Paul%20-%20BY%20THE%20YARD%202.pdf?ver=1722932809726</t>
  </si>
  <si>
    <t>https://img1.wsimg.com/blobby/go/fa91e93a-72dd-4def-b76d-173477e02dd0/downloads/HUBBARD%20-%20USA%20-%20P18%2B%205%20DIFFERENT%20NFL%20TEAM%20DMA%20.pdf?ver=1723063715725</t>
  </si>
  <si>
    <t>https://img1.wsimg.com/blobby/go/fa91e93a-72dd-4def-b76d-173477e02dd0/downloads/HUBBARD%20-%20USA%20-%20P18%2B%20PAST%203%20MONTHS%20DOLLAR%20STOR.pdf?ver=1723154020592</t>
  </si>
  <si>
    <t>https://img1.wsimg.com/blobby/go/fa91e93a-72dd-4def-b76d-173477e02dd0/downloads/HUBBARD%20-%20Seattle%20%20-%20P21%2B%20CASINO%20GAMBLERS%20W-IN.pdf?ver=1723216221070</t>
  </si>
  <si>
    <t>Chicago - P18+ Online and/or Print Readers (INA) of the CHICAGO TRIBUNE</t>
  </si>
  <si>
    <t>Washington, DC - P18+ Online and/or Print Readers (INA) of THE WASHINGTON POST</t>
  </si>
  <si>
    <t>Seattle - P18+ Online and/or Print Readers (INA) of THE SEATTLE TIMES</t>
  </si>
  <si>
    <t>Phoenix - P18+ Online and/or Print Readers (INA) of the ARIZONA REPUBLIC</t>
  </si>
  <si>
    <t>Minneapolis - P18+ Online and/or Print Readers (INA) of the STAR TRIBUNE</t>
  </si>
  <si>
    <t>Minneapolis - $150K+HHI P35-64 Single-Fam Homeowners who Entertain, Grill, own a Pool</t>
  </si>
  <si>
    <t>Chicago - P18+ Watch Stream Attend Listen Follow the CHICAGO BEARS NFL Football Team</t>
  </si>
  <si>
    <t>Cincinnati - P18+ Watch Stream Attend Listen Follow the CINCINNATI BENGALS NFL Football Team</t>
  </si>
  <si>
    <t>Minneapolis - P18+ Watch Stream Attend Listen Follow the MINNESOTA VIKINGS NFL Football Team</t>
  </si>
  <si>
    <t>Phoenix - P18+ Watch Stream Attend Listen Follow the ARIZONA CARDINALS NFL Football Team</t>
  </si>
  <si>
    <t>Seattle - P18+ Watch Stream Attend Listen Follow the SEATTLE SEAHAWKS NFL Football Team</t>
  </si>
  <si>
    <t>USA - P18+ shopped at DOLLAR GENERAL in the past 3 months</t>
  </si>
  <si>
    <t>USA - P18+ shopped at DOLLAR TREE in the past 3 months</t>
  </si>
  <si>
    <t>USA - P18+ shopped at FAMILY DOLLAR in the past 3 months</t>
  </si>
  <si>
    <t>USA - P18+ shopped at ANY DOLLAR STORE in the past 3 months</t>
  </si>
  <si>
    <t>USA - P18+ DID NOT shop at ANY DOLLAR STORE in the past 3 months</t>
  </si>
  <si>
    <t>Seattle - P21+ past 12mos Casino Gamblers w/in 45mi ANGEL OF THE WINDS CASINO RESORT</t>
  </si>
  <si>
    <t>https://img1.wsimg.com/blobby/go/fa91e93a-72dd-4def-b76d-173477e02dd0/downloads/HUBBARD%20-%20USA%20-%20P18%2B%20PAST%2030%20DAYS%20USERS%20OF%205%20N.pdf?ver=1723483977331</t>
  </si>
  <si>
    <t>https://img1.wsimg.com/blobby/go/fa91e93a-72dd-4def-b76d-173477e02dd0/downloads/HUBBARD%20-%20USA%20-%20P25-54%20PAST%2030%20DAYS%20USERS%20OF%205.pdf?ver=1723483996548</t>
  </si>
  <si>
    <t>https://img1.wsimg.com/blobby/go/fa91e93a-72dd-4def-b76d-173477e02dd0/downloads/HUBBARD%20-%20USA%20-%20P18%2B%20PAST%2030%20DAYS%20POWERBALL%20TI.pdf?ver=1723583972971</t>
  </si>
  <si>
    <t>https://img1.wsimg.com/blobby/go/fa91e93a-72dd-4def-b76d-173477e02dd0/downloads/HUBBARD%20-%20USA%20-%20P18%2B%20PAST%2030%20DAYS%20SCRATCH-OFF%20.pdf?ver=1723583990996</t>
  </si>
  <si>
    <t>https://img1.wsimg.com/blobby/go/fa91e93a-72dd-4def-b76d-173477e02dd0/downloads/HUBBARD%20-%20USA%20-%20P25-54%20PAST%203%20MONTHS%20SIMON%20MAL.pdf?ver=1723738277783</t>
  </si>
  <si>
    <t>https://img1.wsimg.com/blobby/go/fa91e93a-72dd-4def-b76d-173477e02dd0/downloads/HUBBARD%20-%20USA%20-%20P25-54%20PAST%2030%20DAYS%20SIMON%20MALL.pdf?ver=1723738246260</t>
  </si>
  <si>
    <t>USA - P18+ past 30 days users of OLIVE GARDEN for Sit-Down Dining</t>
  </si>
  <si>
    <t>USA - P18+ past 30 days users of RED LOBSTER for Sit-Down Dining</t>
  </si>
  <si>
    <t>USA - P18+ past 30 days users of OUTBACK STEAKHOUSE for Sit-Down Dining</t>
  </si>
  <si>
    <t>USA - P18+ past 30 days users of GOLDEN CORRAL for Sit-Down Dining</t>
  </si>
  <si>
    <t>USA - P18+ past 30 days users of P.F. CHANG'S for Sit-Down Dining</t>
  </si>
  <si>
    <t>USA - P25-54 past 30 days users of OLIVE GARDEN for Sit-Down Dining</t>
  </si>
  <si>
    <t>USA - P25-54 past 30 days users of RED LOBSTER for Sit-Down Dining</t>
  </si>
  <si>
    <t>USA - P25-54 past 30 days users of OUTBACK STEAKHOUSE for Sit-Down Dining</t>
  </si>
  <si>
    <t>USA - P25-54 past 30 days users of GOLDEN CORRAL for Sit-Down Dining</t>
  </si>
  <si>
    <t>USA - P25-54 past 30 days users of P.F. CHANG'S for Sit-Down Dining</t>
  </si>
  <si>
    <t>USA - P18+ past 30 days purchasers of 1+ POWERBALL Lottery Tickets</t>
  </si>
  <si>
    <t>USA - P18+ past 30 days purchasers of 1-2 POWERBALL Lottery Tickets</t>
  </si>
  <si>
    <t>USA - P18+ past 30 days purchasers of 3-4 POWERBALL Lottery Tickets</t>
  </si>
  <si>
    <t>USA - P18+ past 30 days purchasers of 5+ POWERBALL Lottery Tickets</t>
  </si>
  <si>
    <t>USA - P18+ past 30 days purchasers of NO POWERBALL Lottery Tickets</t>
  </si>
  <si>
    <t>USA - P18+ past 30 days purchasers of 1+ SCRATCH-OFF Lottery Tickets</t>
  </si>
  <si>
    <t>USA - P18+ past 30 days purchasers of 1-2 SCRATCH-OFF Lottery Tickets</t>
  </si>
  <si>
    <t>USA - P18+ past 30 days purchasers of 3-4 SCRATCH-OFF Lottery Tickets</t>
  </si>
  <si>
    <t>USA - P18+ past 30 days purchasers of 5+ SCRATCH-OFF Lottery Tickets</t>
  </si>
  <si>
    <t>USA - P18+ past 30 days purchasers of NO SCRATCH-OFF Lottery Tickets</t>
  </si>
  <si>
    <t>Chicago - P25-54 past 3 months shoppers of any SIMON Mall</t>
  </si>
  <si>
    <t>Washington, DC - P25-54 past 3 months shoppers of any SIMON Mall</t>
  </si>
  <si>
    <t>Seattle - P25-54 past 3 months shoppers of any SIMON Mall</t>
  </si>
  <si>
    <t>Phoenix - P25-54 past 3 months shoppers of any SIMON Mall</t>
  </si>
  <si>
    <t>West Palm Beach - P25-54 past 3 months shoppers of any SIMON Mall</t>
  </si>
  <si>
    <t>Chicago - P25-54 past 30 days shoppers of any SIMON Mall</t>
  </si>
  <si>
    <t>Washington, DC - P25-54 past 30 days shoppers of any SIMON Mall</t>
  </si>
  <si>
    <t>Seattle - P25-54 past 30 days shoppers of any SIMON Mall</t>
  </si>
  <si>
    <t>Phoenix - P25-54 past 30 days shoppers of any SIMON Mall</t>
  </si>
  <si>
    <t>West Palm Beach - P25-54 past 30 days shoppers of any SIMON Mall</t>
  </si>
  <si>
    <t>West Palm Beach DMA - $100K+HHI Boat Owners for WEST MARINE</t>
  </si>
  <si>
    <t>https://img1.wsimg.com/blobby/go/fa91e93a-72dd-4def-b76d-173477e02dd0/downloads/HUBBARD%20-%20WEST%20PALM%20BEACH-BOCA%20RATON%20DMA%20-%20WES.pdf?ver=1723812728129</t>
  </si>
  <si>
    <t>84..5%</t>
  </si>
  <si>
    <t>USA - P65+ Medicare Beneficiaries who take Prescription ARTHRITIS Drugs</t>
  </si>
  <si>
    <t>https://img1.wsimg.com/blobby/go/fa91e93a-72dd-4def-b76d-173477e02dd0/downloads/HUBBARD%20-%20USA%20-%20P65%2B%20MEDICARE%20USERS%20OF%205%20TYPES.pdf?ver=1723839571869</t>
  </si>
  <si>
    <t>USA - P65+ Medicare Beneficiaries who take Prescription CHOLESTEROL Drugs</t>
  </si>
  <si>
    <t>USA - P65+ Medicare Beneficiaries who take Prescription DIABETES Drugs</t>
  </si>
  <si>
    <t>USA - P65+ Medicare Beneficiaries who take Prescription DIGESTIVE/ULCER Drugs</t>
  </si>
  <si>
    <t>USA - P65+ Medicare Beneficiaries who take Prescription HIGH BLOOD PRESSURE Drugs</t>
  </si>
  <si>
    <t>Minneapolis-St.Paul - P18+ past 12mo. Users of MSP International Airport</t>
  </si>
  <si>
    <t>https://img1.wsimg.com/blobby/go/fa91e93a-72dd-4def-b76d-173477e02dd0/downloads/HUBBARD%20-%20USA%20-%20P18%2B%20LOCAL%20DMA%20USERS%20OF%205%20MORE.pdf?ver=1724161857834</t>
  </si>
  <si>
    <t>St. Louis - P18+ past 12mo. Users of STL International Airport</t>
  </si>
  <si>
    <t>Cincinnati - P18+ past 12mo. Users of CVG International Airport</t>
  </si>
  <si>
    <t>West Palm Beach - P18+ past 12mo. Users of PBI International Airport</t>
  </si>
  <si>
    <t>West Palm Beach - P18+ past 12mo. Users of FLL International Airport</t>
  </si>
  <si>
    <t>Phoenix - P18+ past 12mo. Users of PHX International Airport</t>
  </si>
  <si>
    <t>https://img1.wsimg.com/blobby/go/fa91e93a-72dd-4def-b76d-173477e02dd0/downloads/HUBBARD%20-%20USA%20-%20P18%2B%20LOCAL%20DMA%20USERS%20OF%205%20MORE.pdf?ver=1724161838585</t>
  </si>
  <si>
    <t>Phoenix - P18+ past 12mo. Users of AZA International Airport</t>
  </si>
  <si>
    <t>Seattle-Tacoma - P18+ past 12mo. Users of SEA International Airport</t>
  </si>
  <si>
    <t>Seattle-Tacoma - P18+ past 12mo. Users of PAE International Airport</t>
  </si>
  <si>
    <t>Seattle-Tacoma - P18+ past 12mo. Users of BLI International Airport</t>
  </si>
  <si>
    <t>Chicago - P18+ past 12mo. Users of ORD International Airport</t>
  </si>
  <si>
    <t>https://img1.wsimg.com/blobby/go/fa91e93a-72dd-4def-b76d-173477e02dd0/downloads/HUBBARD%20-%20USA%20-%20P18%2B%20LOCAL%20DMA%20USERS%20OF%205%20DIFF.pdf?ver=1724161814709</t>
  </si>
  <si>
    <t>Chicago - P18+ past 12mo. Users of MDW International Airport</t>
  </si>
  <si>
    <t>Washington, DC - P18+ past 12mo. Users of IAD International Airport</t>
  </si>
  <si>
    <t>Washington, DC - P18+ past 12mo. Users of DCA International Airport</t>
  </si>
  <si>
    <t>Washington, DC - P18+ past 12mo. Users of BWI International Airport</t>
  </si>
  <si>
    <t>USA - P25-54 Parents of Kids Ages 6-College  $100+on Shoes at DICK'S SPORTING GOODS</t>
  </si>
  <si>
    <t>https://img1.wsimg.com/blobby/go/fa91e93a-72dd-4def-b76d-173477e02dd0/downloads/HUBBARD%20-%20USA%20-%20P25-54%20PARENTS%20OF%20KIDS%206%2B%20SPEN.pdf?ver=1724275078453</t>
  </si>
  <si>
    <t>USA - P25-54 Parents of Kids Ages 6-College  $100+on Shoes at FAMOUS FOOTWEAR</t>
  </si>
  <si>
    <t>USA - P25-54 Parents of Kids Ages 6-College  $100+on Shoes at DSW</t>
  </si>
  <si>
    <t>USA - P25-54 Parents of Kids Ages 6-College  $100+on Shoes at FOOT LOCKER</t>
  </si>
  <si>
    <t>USA - P25-54 Parents of Kids Ages 6-College  $100+on Shoes at FINISH LINE</t>
  </si>
  <si>
    <t>St. Louis - P25-64 past 3-6 months Jewelry and Collectibles Shoppers</t>
  </si>
  <si>
    <t>https://img1.wsimg.com/blobby/go/fa91e93a-72dd-4def-b76d-173477e02dd0/downloads/HUBBARD%20-%20St.%20Louis%20-%20JEWELS%20ON%20HAMPTON%20-%20soef.pdf?ver=1724275112497</t>
  </si>
  <si>
    <t>USA - P18+ Plan to Buy a $20,000+ Used Vehicle and might use eBay Motors</t>
  </si>
  <si>
    <t>https://img1.wsimg.com/blobby/go/fa91e93a-72dd-4def-b76d-173477e02dd0/downloads/HUBBARD%20-%20USA%20-%20P18%2B%20PLANNING%20TO%20BUY%20%2420K%2BUSED.pdf?ver=1724352718206</t>
  </si>
  <si>
    <t>USA - P18+ Plan to Buy a $20,000+ Used Vehicle and might use CARMAX</t>
  </si>
  <si>
    <t>USA - P18+ Plan to Buy a $20,000+ Used Vehicle and might use CARS.com</t>
  </si>
  <si>
    <t>USA - P18+ Plan to Buy a $20,000+ Used Vehicle and might use AUTOTRADER</t>
  </si>
  <si>
    <t>USA - P18+ Plan to Buy a $20,000+ Used Vehicle and might use CARVANA</t>
  </si>
  <si>
    <t>https://img1.wsimg.com/blobby/go/fa91e93a-72dd-4def-b76d-173477e02dd0/downloads/HUBBARD%20-%20USA%20-%20P18%2B%20USING%203%2BCREDIT%20CARDS%20PAST.pdf?ver=1724445218213</t>
  </si>
  <si>
    <t>https://img1.wsimg.com/blobby/go/fa91e93a-72dd-4def-b76d-173477e02dd0/downloads/HUBBARD%20-%20USA%20-%20P25-54s%20USING%203%2BCREDIT%20CARDS%20P.pdf?ver=1724445186476</t>
  </si>
  <si>
    <t>https://img1.wsimg.com/blobby/go/fa91e93a-72dd-4def-b76d-173477e02dd0/downloads/HUBBARD%20-%20USA%20-%205%20DEMOS%20OF%20PAST%203%20MOS%20BUYERS%20O.pdf?ver=1724741926557</t>
  </si>
  <si>
    <t>USA - P18+ who used 3+ Credit Cards past 3mos including their VISA Card</t>
  </si>
  <si>
    <t>USA - P18+ who used 3+ Credit Cards past 3mos including their MASTERCARD</t>
  </si>
  <si>
    <t>USA - P18+ who used 3+ Credit Cards past 3mos including their DISCOVER Card</t>
  </si>
  <si>
    <t>USA - P18+ who used 3+ Credit Cards past 3mos including their AMERICAN EXPRESS</t>
  </si>
  <si>
    <t>USA - P18+ who used 3+ Credit Cards past 3mos including their STORE CREDIT Card</t>
  </si>
  <si>
    <t>USA - P25-54 who used 3+ Credit Cards past 3mos including their VISA Card</t>
  </si>
  <si>
    <t>USA - P25-54 who used 3+ Credit Cards past 3mos including their MASTERCARD</t>
  </si>
  <si>
    <t>USA - P25-54 who used 3+ Credit Cards past 3mos including their DISCOVER Card</t>
  </si>
  <si>
    <t>USA - P25-54 who used 3+ Credit Cards past 3mos including their AMERICAN EXPRESS</t>
  </si>
  <si>
    <t>USA - P25-54 who used 3+ Credit Cards past 3mos including their STORE CREDIT Card</t>
  </si>
  <si>
    <t>USA - P25-54s who Purchased Items at HOMEGOODS in the past 3 months</t>
  </si>
  <si>
    <t>USA - W25-54s who Purchased Items at HOMEGOODS in the past 3 months</t>
  </si>
  <si>
    <t>USA - M25-54s who Purchased Items at HOMEGOODS in the past 3 months</t>
  </si>
  <si>
    <t>USA - P35-64s who Purchased Items at HOMEGOODS in the past 3 months</t>
  </si>
  <si>
    <t>USA - P50+ who Purchased Items at HOMEGOODS in the past 3 months</t>
  </si>
  <si>
    <t>USA - P25-54s SINGLE FAMILY HOME Purchased Items at HOMEGOODS past 3mos</t>
  </si>
  <si>
    <t>USA - P25-54s CONDOMINIUM Purchased Items at HOMEGOODS past 3mos</t>
  </si>
  <si>
    <t>USA - P25-54s TOWNHOME Purchased Items at HOMEGOODS past 3mos</t>
  </si>
  <si>
    <t>USA - P25-54s APARTMENT Purchased Items at HOMEGOODS past 3mos</t>
  </si>
  <si>
    <t>USA - P25-54s &lt;1 YEAR IN HOME Purchased Items at HOMEGOODS past 3mos</t>
  </si>
  <si>
    <t>https://img1.wsimg.com/blobby/go/fa91e93a-72dd-4def-b76d-173477e02dd0/downloads/HUBBARD%20-%20USA%2B4%20DMAs%20-%20P18%2B%20PAST%2012MOS%20AUTO%20GL.pdf?ver=1724855314669</t>
  </si>
  <si>
    <t>https://img1.wsimg.com/blobby/go/fa91e93a-72dd-4def-b76d-173477e02dd0/downloads/HUBBARD%20-%20USA%2B4%20MORE%20DMAs%20-%20P18%2B%20PAST%2012MOS%20AU.pdf?ver=1724855341163</t>
  </si>
  <si>
    <t>USA - P18+ INSURED Pd. Labor past 12mos AUTO GLASS Replace/Repair Customers</t>
  </si>
  <si>
    <t>Chicago - P18+ INSURED Pd. Labor past 12mos AUTO GLASS Replace/Repair Customers</t>
  </si>
  <si>
    <t>Washington, DC - P18+ INSURED Pd. Labor past 12mos AUTO GLASS Replace/Repair Customers</t>
  </si>
  <si>
    <t>Seattle - P18+ INSURED Pd. Labor past 12mos AUTO GLASS Replace/Repair Customers</t>
  </si>
  <si>
    <t>Phoenix - P18+ INSURED Pd. Labor past 12mos AUTO GLASS Replace/Repair Customers</t>
  </si>
  <si>
    <t>Minneapolis - P18+ INSURED Pd. Labor past 12mos AUTO GLASS Replace/Repair Customers</t>
  </si>
  <si>
    <t>St. Louis - P18+ INSURED Pd. Labor past 12mos AUTO GLASS Replace/Repair Customers</t>
  </si>
  <si>
    <t>Cincinnati - P18+ INSURED Pd. Labor past 12mos AUTO GLASS Replace/Repair Customers</t>
  </si>
  <si>
    <t>West Palm Beach - P18+ INSURED Pd. Labor past 12mos AUTO GLASS Replace/Repair Customers</t>
  </si>
  <si>
    <t>USA - P18+ drank TROPICANA Orange Juice in the past 7 days</t>
  </si>
  <si>
    <t>https://img1.wsimg.com/blobby/go/fa91e93a-72dd-4def-b76d-173477e02dd0/downloads/HUBBARD%20-%20USA%20-%20P18%2B%20PAST%207%20DAYS%20DRINKERS%20OF%205.pdf?ver=1724927394849</t>
  </si>
  <si>
    <t>USA - P18+ drank SIMPLY Orange Juice in the past 7 days</t>
  </si>
  <si>
    <t>USA - P18+ drank STORE BRAND Orange Juice in the past 7 days</t>
  </si>
  <si>
    <t>USA - P18+ drank MINUTE MAID Orange Juice in the past 7 days</t>
  </si>
  <si>
    <t>USA - P18+ drank FLORIDA'S NATURAL Orange Juice in the past 7 days</t>
  </si>
  <si>
    <t>USA - P21+ Plan to Bet on NCAA FOOTBALL and might use DRAFTKINGS</t>
  </si>
  <si>
    <t>https://img1.wsimg.com/blobby/go/fa91e93a-72dd-4def-b76d-173477e02dd0/downloads/HUBBARD%20-%20USA%20-%20P21%2B%20PLAN%20TO%20BET%20ON%20NCAA%20FOOTB.pdf?ver=1724961200482</t>
  </si>
  <si>
    <t>USA - P21+ Plan to Bet on NCAA FOOTBALL and might use FANDUEL</t>
  </si>
  <si>
    <t>USA - P21+ Plan to Bet on NCAA FOOTBALL and might use BETMGM</t>
  </si>
  <si>
    <t>USA - P21+ Plan to Bet on NCAA FOOTBALL and might use CAESARS SPORTSBOOK</t>
  </si>
  <si>
    <t>USA - P21+ Plan to Bet on NCAA FOOTBALL and might use POINTSBET</t>
  </si>
  <si>
    <t>Chicago - P21+ past 12 months CASINO users</t>
  </si>
  <si>
    <t>https://img1.wsimg.com/blobby/go/fa91e93a-72dd-4def-b76d-173477e02dd0/downloads/HUBBARD%20-%20CHICAGO%20-%20DMA%20-%20P21%2B%20PAST%2012MO%20CASI.pptx?ver=1724961219263</t>
  </si>
  <si>
    <t>Minneapolis-St. Paul - P18+ played GOLF one or more times in the past yr.</t>
  </si>
  <si>
    <t>https://img1.wsimg.com/blobby/go/fa91e93a-72dd-4def-b76d-173477e02dd0/downloads/HUBBARD%20-%20Minneapolis-St.%20Paul%20-%20P18%2B%20PAST%2012.pptx?ver=1724961232959</t>
  </si>
  <si>
    <t>https://img1.wsimg.com/blobby/go/fa91e93a-72dd-4def-b76d-173477e02dd0/downloads/HUBBARD%20-%20USA%20-%20P18%2B%20PAST%207%20DAYS%20DRINKERS%20OF%205.pdf?ver=1725042352091</t>
  </si>
  <si>
    <t>https://img1.wsimg.com/blobby/go/fa91e93a-72dd-4def-b76d-173477e02dd0/downloads/HUBBARD%20-%20USA%20-%20P18%2B%20LOCAL%20DMA%20VISITORS%20OF%205%20D.pdf?ver=1725394025249</t>
  </si>
  <si>
    <t>https://img1.wsimg.com/blobby/go/fa91e93a-72dd-4def-b76d-173477e02dd0/downloads/HUBBARD%20-%20USA%20-%20P18%2B%20LOCAL%20DMA%20VISITORS%20OF%205%20M.pdf?ver=1725394164498</t>
  </si>
  <si>
    <t>USA - P18+ past 7 days drinkers of AQUAFINA Bottled Water</t>
  </si>
  <si>
    <t>USA - P18+ past 7 days drinkers of DASANI Bottled Water</t>
  </si>
  <si>
    <t>USA - P18+ past 7 days drinkers of CRYSTAL GEYSER Bottled Water</t>
  </si>
  <si>
    <t>USA - P18+ past 7 days drinkers of GLACEAU SMART WATER Bottled Water</t>
  </si>
  <si>
    <t>USA - P18+ past 7 days drinkers of GLACEAU VITAMINWATER Bottled Water</t>
  </si>
  <si>
    <t>Chicago - P18+ past 12 months Visitors to the BROOKFIELD ZOO</t>
  </si>
  <si>
    <t>Chicago - P18+ past 12 months Visitors to the LINCOLN PARK ZOO</t>
  </si>
  <si>
    <t>Washington, DC - P18+ past 12 months Visitors to the SMITHSONIAN NATIONAL ZOO</t>
  </si>
  <si>
    <t>St. Louis - P18+ past 12 months Visitors to the SAINT LOUIS ZOO</t>
  </si>
  <si>
    <t>Seattle-Tacoma - P18+ past 12 months Visitors to the WOODLAND PARK ZOO</t>
  </si>
  <si>
    <t>Seattle-Tacoma - P18+ past 12 months Visitors to the POINT DEFIANCE ZOO</t>
  </si>
  <si>
    <t>Phoenix - P18+ past 12 months Visitors to the PHOENIX ZOO</t>
  </si>
  <si>
    <t>Minneapolis-St. Paul - P18+ past 12 months Visitors to the MINNESOTA ZOO</t>
  </si>
  <si>
    <t>Minneapolis-St. Paul - P18+ past 12 months Visitors to the COMO PARK ZOO</t>
  </si>
  <si>
    <t>Cincinnati - P18+ past 12 months Visitors to the CINCINNATI ZOO</t>
  </si>
  <si>
    <t>https://img1.wsimg.com/blobby/go/fa91e93a-72dd-4def-b76d-173477e02dd0/downloads/HUBBARD%20-%20USA%20-%20P18%2B%205%20TYPES%20OF%20US%20OPEN%20TENNIS.pdf?ver=1725455936472</t>
  </si>
  <si>
    <t>USA - 18+ US OPEN TENNIS Viewers who watch on ABC-TV</t>
  </si>
  <si>
    <t>USA - 18+ US OPEN TENNIS Viewers who watch on ESPN</t>
  </si>
  <si>
    <t>USA - 18+ US OPEN TENNIS Viewers who watch on ESPN2</t>
  </si>
  <si>
    <t>USA - 18+ US OPEN TENNIS Viewers who watch on ESPN+</t>
  </si>
  <si>
    <t>USA - 18+ US OPEN TENNIS Viewers who Plan to Bet on US OPEN TENNIS</t>
  </si>
  <si>
    <t>https://img1.wsimg.com/blobby/go/fa91e93a-72dd-4def-b76d-173477e02dd0/downloads/HUBBARD%20-%20USA%20-%20P18%2B%20PAST%207%20DAYS%20LISTENERS%20TO%20.pdf?ver=1725547249836</t>
  </si>
  <si>
    <t>https://img1.wsimg.com/blobby/go/fa91e93a-72dd-4def-b76d-173477e02dd0/downloads/HUBBARD%20-%20USA%20-%20P18%2B%20PAST%206MOS%20READERS%20OF%205%20CI.pdf?ver=1725567691671</t>
  </si>
  <si>
    <t>https://img1.wsimg.com/blobby/go/fa91e93a-72dd-4def-b76d-173477e02dd0/downloads/HUBBARD%20-%20USA%20-%20P25-64%20HOMEOWNERS%20-%205%20HOME%20SEC.pdf?ver=1725637456498</t>
  </si>
  <si>
    <t>https://img1.wsimg.com/blobby/go/fa91e93a-72dd-4def-b76d-173477e02dd0/downloads/HUBBARD%20-%20USA%20-%20P18%2B%20PAST%203YRS%20USERS%20OF%205%20OF%20A.pdf?ver=1725729926978</t>
  </si>
  <si>
    <t>USA - P18+ past 7 days listeners to ANY CHRISTIAN RADIO STATION</t>
  </si>
  <si>
    <t>USA - P18+ past 7 days listeners to ANY CHRISTIAN CONTEMPORARY RADIO STATION</t>
  </si>
  <si>
    <t>USA - P18+ past 7 days listeners to ANY CHRISTIAN ADULT CONTEMPORARY RADIO STATION</t>
  </si>
  <si>
    <t>USA - P18+ past 7 days listeners to ANY CHRISTIAN INSPIRATIONAL RADIO STATION</t>
  </si>
  <si>
    <t>USA - P18+ past 7 days listeners to ANY CHRISTIAN NEWS/TALK RADIO STATION</t>
  </si>
  <si>
    <t>Chicago - P18+ past 6 months readers of CHICAGO MAGAZINE</t>
  </si>
  <si>
    <t>Minneapolis-St. Paul  - P18+ past 6 months readers of MPLS-ST.PAUL MAGAZINE</t>
  </si>
  <si>
    <t>Phoenix - P18+ past 6 months readers of PHOENIX MAGAZINE</t>
  </si>
  <si>
    <t>Seattle - P18+ past 6 months readers of SEATTLE MET MAGAZINE</t>
  </si>
  <si>
    <t>Washington, DC - P18+ past 6 months readers of WASHINGTONIAN MAGAZINE</t>
  </si>
  <si>
    <t>USA - P25-64 Homeowners who own a HOME SECURITY SYSTEM</t>
  </si>
  <si>
    <t>USA - P25-64 Homeowners who plan to buy a HOME SECURITY SYSTEM</t>
  </si>
  <si>
    <t>USA - P25-64 Homeowners who DON'T own a HOME SECURITY SYSTEM</t>
  </si>
  <si>
    <t>USA - P25-64 Homeowners with a DOG who DON'T own a HOME SECURITY SYSTEM</t>
  </si>
  <si>
    <t>USA - P25-64 Homeowners with FIREARMS who DON'T own a HOME SECURITY SYSTEM</t>
  </si>
  <si>
    <t>Chicago - P18+ past 3yrs users of NORTHWESTERN MEMORIAL HOSPITAL</t>
  </si>
  <si>
    <t>St. Louis  - P18+ past 3yrs users of BARNES-JEWISH HOSPITAL</t>
  </si>
  <si>
    <t>Phoenix - P18+ past 3yrs users of UNIVERSITY MEDICAL CENTER HOSPITAL</t>
  </si>
  <si>
    <t>Seattle - P18+ past 3yrs users of UW MEDICAL CENTERL HOSPITAL</t>
  </si>
  <si>
    <t>Minneapolis - P18+ past 3yrs users of MAYO CLINIC HOSPITAL</t>
  </si>
  <si>
    <t>https://img1.wsimg.com/blobby/go/fa91e93a-72dd-4def-b76d-173477e02dd0/downloads/HUBBARD%20-%20USA%20-%20P18%2B%20OWNERS%20OF%205%20DOMESTIC%20ORPH.pdf?ver=1725911624663</t>
  </si>
  <si>
    <t>USA - P18+ Owners of an "Orphan" MERCURY light passenger vehicle</t>
  </si>
  <si>
    <t>USA - P18+ Owners of an "Orphan" OLDSMOBILE light passenger vehicle</t>
  </si>
  <si>
    <t>USA - P18+ Owners of an "Orphan" PLYMOUTH light passenger vehicle</t>
  </si>
  <si>
    <t>USA - P18+ Owners of an "Orphan" PONTIAC light passenger vehicle</t>
  </si>
  <si>
    <t>USA - P18+ Owners of an "Orphan" SATURN light passenger vehicle</t>
  </si>
  <si>
    <t>https://img1.wsimg.com/blobby/go/fa91e93a-72dd-4def-b76d-173477e02dd0/downloads/HUBBARD%20-%20USA%20-%20P25-54%20FULL-TIME%20WORK-FROM-HOM.pdf?ver=1725986468272</t>
  </si>
  <si>
    <t>https://img1.wsimg.com/blobby/go/fa91e93a-72dd-4def-b76d-173477e02dd0/downloads/HUBBARD%20-%20USA%20-%20P25-54%20FULL-TIME%20WORK-FROM-HOM.pdf?ver=1725986494112</t>
  </si>
  <si>
    <t>USA - P25-54 Full-Time Workerss who Work from Home (Most of the Time/Always)</t>
  </si>
  <si>
    <t>Chicago - P25-54 Full-Time Workerss who Work from Home (Most of the Time/Always)</t>
  </si>
  <si>
    <t>Washington, DC - P25-54 Full-Time Workerss who Work from Home (Most of the Time/Always)</t>
  </si>
  <si>
    <t>Seattle - P25-54 Full-Time Workerss who Work from Home (Most of the Time/Always)</t>
  </si>
  <si>
    <t>Phoenix - P25-54 Full-Time Workerss who Work from Home (Most of the Time/Always)</t>
  </si>
  <si>
    <t>Minneapolis - P25-54 Full-Time Workerss who Work from Home (Most of the Time/Always)</t>
  </si>
  <si>
    <t>St. Louis - P25-54 Full-Time Workerss who Work from Home (Most of the Time/Always)</t>
  </si>
  <si>
    <t>Cincinnati - P25-54 Full-Time Workerss who Work from Home (Most of the Time/Always)</t>
  </si>
  <si>
    <t>West Palm Beach - P25-54 Full-Time Workerss who Work from Home (Most of the Time/Always)</t>
  </si>
  <si>
    <t>https://img1.wsimg.com/blobby/go/fa91e93a-72dd-4def-b76d-173477e02dd0/downloads/HUBBARD%20-%20USA%2B4DMAs%20-%20P18%2B%20PAST%206MOS%20USERS%20OF%20.pdf?ver=1726071768694</t>
  </si>
  <si>
    <t>USA - P18+ past 6 months CRYPTOCURRENCY Users</t>
  </si>
  <si>
    <t>Chicago - P18+ past 6 months CRYPTOCURRENCY Users</t>
  </si>
  <si>
    <t>Washington, DC- P18+ past 6 months CRYPTOCURRENCY Users</t>
  </si>
  <si>
    <t>Seattle-Tacoma - P18+ past 6 months CRYPTOCURRENCY Users</t>
  </si>
  <si>
    <t>Phoenix - P18+ past 6 months CRYPTOCURRENCY Users</t>
  </si>
  <si>
    <t>https://img1.wsimg.com/blobby/go/fa91e93a-72dd-4def-b76d-173477e02dd0/downloads/HUBBARD%20-%20USA%20-%20CHICAGO%2BWASHINGTON%2C%20DC%20-%20P18%2B%20.pdf?ver=1726169607252</t>
  </si>
  <si>
    <t>Chicago - P18+ past 7 days users of METRA (suburbs) Rail</t>
  </si>
  <si>
    <t>Chicago - P18+ past 7 days users of CTA "L"/Subway Rail</t>
  </si>
  <si>
    <t>Washington, DC - P18+ past 7 days users of METRO Rail</t>
  </si>
  <si>
    <t>Washington, DC - P18+ past 12mos users of AMTRAK ACELA Rail</t>
  </si>
  <si>
    <t>Washington, DC - P18+ past 12mos users of OTHER AMTRAK Rail</t>
  </si>
  <si>
    <t>https://img1.wsimg.com/blobby/go/fa91e93a-72dd-4def-b76d-173477e02dd0/downloads/HUBBARD%20-%20USA%20-%205%20DMAs%20-%20PAST%207%20DAYS%20PURCHASER.pdf?ver=1726242504910</t>
  </si>
  <si>
    <t>Washington, DC - P18+ past 7 days purchasers of BOAR'S HEAD Lunch Meat products</t>
  </si>
  <si>
    <t>West Palm Beach - P18+ past 7 days purchasers of BOAR'S HEAD Lunch Meat products</t>
  </si>
  <si>
    <t>Cincinnati - P18+ past 7 days purchasers of BOAR'S HEAD Lunch Meat products</t>
  </si>
  <si>
    <t>Chicago - P18+ past 7 days purchasers of BOAR'S HEAD Lunch Meat products</t>
  </si>
  <si>
    <t>St. Louis - P18+ past 7 days purchasers of BOAR'S HEAD Lunch Meat products</t>
  </si>
  <si>
    <t>https://img1.wsimg.com/blobby/go/fa91e93a-72dd-4def-b76d-173477e02dd0/downloads/HUBBARD%20-%20USA%2B4DMAs%20-%20P18%2B%20CREDIT%20UNION%20USERS%20.pdf?ver=1726517634329</t>
  </si>
  <si>
    <t>Seattle - P18+ users of BECU (Boeing Employee Credit Union)</t>
  </si>
  <si>
    <t>Phoenix - P18+ users of DESERT FINANCIAL Credit Union</t>
  </si>
  <si>
    <t>Minneapolis - P18+ users of WINGS Credit Union</t>
  </si>
  <si>
    <t>St. Louis - P18+ users of FIRST COMMUNITY Credit Union</t>
  </si>
  <si>
    <t>Washiington, DC - P18+ users of NAVY FEDERAL Credit Union</t>
  </si>
  <si>
    <t>https://img1.wsimg.com/blobby/go/fa91e93a-72dd-4def-b76d-173477e02dd0/downloads/HUBBARD%20-%20USA%20-%20P18%2B%20USERS%20OF%205%20NICOTINE%20%26%20REL.pdf?ver=1726603587027</t>
  </si>
  <si>
    <t>https://img1.wsimg.com/blobby/go/fa91e93a-72dd-4def-b76d-173477e02dd0/downloads/HUBBARD%20-%20USA%20-%20P18%2B%20BOUGHT%20ITEMS%20AT%20ARTS%20%26%20CR.pdf?ver=1726661612201</t>
  </si>
  <si>
    <t>https://img1.wsimg.com/blobby/go/fa91e93a-72dd-4def-b76d-173477e02dd0/downloads/2060%20DIGITAL%20-%20CINCINNATI%20-%20P18%2B%20BUCKEYE%20LAW%20G.pdf?ver=1726661630467</t>
  </si>
  <si>
    <t>https://img1.wsimg.com/blobby/go/fa91e93a-72dd-4def-b76d-173477e02dd0/downloads/2060%20DIGITAL%20-%20CINCINNATI%20-%20GROCERY%20SHOPPERS%20W.pdf?ver=1726661644063</t>
  </si>
  <si>
    <t>USA - P18+ used MARIJANA/CANNABIS in the past 30 days</t>
  </si>
  <si>
    <t>USA - P18+ used CIGARETTES in the past 30 days</t>
  </si>
  <si>
    <t>USA - P18+ used VAPES in the past 30 days</t>
  </si>
  <si>
    <t>USA - P18+ used E-CIGARETTES in the past 30 days</t>
  </si>
  <si>
    <t>USA - P18+ used CHEWING TOBACCO/SNUFF/DIP in the past 30 days</t>
  </si>
  <si>
    <t>USA - P18+ bought items at HOBBY LOBBY past 3mos</t>
  </si>
  <si>
    <t>USA - P18+ bought items at MICHAELS past 3mos</t>
  </si>
  <si>
    <t>USA - P18+ bought items at JOANN past 3mos</t>
  </si>
  <si>
    <t>USA - P18+ regularly do ARTS &amp; CRAFTS projects</t>
  </si>
  <si>
    <t>USA - P18+ participated in SEWING projects past 12 months</t>
  </si>
  <si>
    <t>Cincinnati - P18+ FULL-TIME WORKERS who Drive 100+miles/wk to from their Jobs (PI Atty)</t>
  </si>
  <si>
    <t>Cincinnati - $75K+HHI P18+ weekly Grocery Shoppers w/in 15-mi New PUBLIX in Walton, KY</t>
  </si>
  <si>
    <t>Cincinnati - $75K+HHI W25-54 weekly Grocery Shoppers w/in 15-mi New PUBLIX in Walton, KY</t>
  </si>
  <si>
    <t>https://img1.wsimg.com/blobby/go/fa91e93a-72dd-4def-b76d-173477e02dd0/downloads/HUBBARD%20-%20USA%20-%20P18%2B%20ONLINE%20INVESTORS%20%26%20VIEWER.pdf?ver=1726684728699</t>
  </si>
  <si>
    <t>USA - P18+ past 7 days BLOOMBERG TELEVISION viewers</t>
  </si>
  <si>
    <t>USA - P18+ past 7 days CNBC viewers</t>
  </si>
  <si>
    <t>USA - P18+ past 7 days FOX BUSINESS viewers</t>
  </si>
  <si>
    <t>USA - P18+ past 30 days ONLINE INVESTORS</t>
  </si>
  <si>
    <t>USA - P18+ past 12 months ONLINE INVESTORS</t>
  </si>
  <si>
    <t>https://img1.wsimg.com/blobby/go/fa91e93a-72dd-4def-b76d-173477e02dd0/downloads/0071f0e4-cc72-47b2-8136-be4fd7637d7f/HUBBARD%20-%20USA%20-%20P21%2B%20PAST%2012%20MOS%20USERS%20OF%205%20OF.pdf?ver=1726781504096</t>
  </si>
  <si>
    <t>https://img1.wsimg.com/blobby/go/fa91e93a-72dd-4def-b76d-173477e02dd0/downloads/559f5ae0-6a2e-485f-9abc-168ac3318b8f/HUBBARD%20-%20USA%20-%20P21%2B%20PAST%2012%20MOS%20USERS%20OF%205%20MO.pdf?ver=1726781526276</t>
  </si>
  <si>
    <t>Chicago - P21+ past 12 months HORSESHOE HAMMOND CASINO users</t>
  </si>
  <si>
    <t>Chicago - P21+ past 12 months HARD ROCK CASINO NORTHERN INDIANA users</t>
  </si>
  <si>
    <t>Chicago - P21+ past 12 months HARRAH'S JOLIET CASINO users</t>
  </si>
  <si>
    <t>Cincinnati - P21+ past 12 months HARD ROCK CASINO CINCINNATI users</t>
  </si>
  <si>
    <t>Cincinnati - P21+ past 12 months HOLLYWOOD CASINO LAWRENCEBURG, IN users</t>
  </si>
  <si>
    <t>Phoenix - P21+ past 12 months HARRAH'S AK-CHIN CASINO users</t>
  </si>
  <si>
    <t>St. Louis - P21+ past 12 months HOLLYWOOD CASINO users</t>
  </si>
  <si>
    <t>St. Louis - P21+ past 12 months HORSESHOE ST. LOUIS CASINO users</t>
  </si>
  <si>
    <t>Washington, DC - P21+ past 12 months HOLLYWOOD CASINO AT CHARLES TOWN RACES users</t>
  </si>
  <si>
    <t>West Palm Beach - P21+ past 12 months SEMINOLE HARD ROCK CASINO users</t>
  </si>
  <si>
    <t xml:space="preserve">USA - Single P21+ past 30 days users of ONLINE DATING Apps/Websites </t>
  </si>
  <si>
    <t xml:space="preserve">USA - Single P21-34 past 30 days users of ONLINE DATING Apps/Websites </t>
  </si>
  <si>
    <t xml:space="preserve">USA - Single P25-54 past 30 days users of ONLINE DATING Apps/Websites </t>
  </si>
  <si>
    <t xml:space="preserve">USA - Single W25-54 past 30 days users of ONLINE DATING Apps/Websites </t>
  </si>
  <si>
    <t xml:space="preserve">USA - Single M25-54 past 30 days users of ONLINE DATING Apps/Websites </t>
  </si>
  <si>
    <t>https://img1.wsimg.com/blobby/go/fa91e93a-72dd-4def-b76d-173477e02dd0/downloads/6cea2610-0d94-4047-8dca-068d14bcd1d0/HUBBARD%20-%20USA%20-%205%20P21%2B%20DEMOS%20OF%20SINGLE%20PAST%20MO.pdf?ver=1726856188438</t>
  </si>
  <si>
    <t>https://img1.wsimg.com/blobby/go/fa91e93a-72dd-4def-b76d-173477e02dd0/downloads/58c93398-12e4-41a4-9aef-0cc24b7224f2/HUBBARD%20-%20USA%20-%20P18%2B%20POLITICAL%20PROTESTERS%20AND%20.pdf?ver=1727123912156</t>
  </si>
  <si>
    <t>USA - P18+ Democrats who participated in POLITICAL PROTESTS past 12 mos</t>
  </si>
  <si>
    <t>USA - P18+ Republicans who participated in POLITICAL PROTESTS past 12 mos</t>
  </si>
  <si>
    <t>USA - P18+ Democrats who attended POLITICAL RALLIES &amp; SPEECHES past 12 mos</t>
  </si>
  <si>
    <t>USA - P18+ Republicans who attended POLITICAL RALLIES &amp; SPEECHES past 12 mos</t>
  </si>
  <si>
    <t>USA - P18+ who did not participate in PROTESTS or attend POLITICAL SPEECHES past 12mos</t>
  </si>
  <si>
    <t>78..4%</t>
  </si>
  <si>
    <t>USA - P18+ past 12mos Vacation Air Travelers to EUROPE</t>
  </si>
  <si>
    <t>https://img1.wsimg.com/blobby/go/fa91e93a-72dd-4def-b76d-173477e02dd0/downloads/9855a814-ef09-438c-b071-6bd5dfd88100/HUBBARD%20-%20USA%2B4%20DMAs%20-%20P18%2B%20PAST%2012MO%20VACATION.pdf?ver=1727293633312</t>
  </si>
  <si>
    <t>Chicago - P18+ past 12mos Vacation Air Travelers to EUROPE</t>
  </si>
  <si>
    <t>Cincinnati - P18+ past 12mos Vacation Air Travelers to EUROPE</t>
  </si>
  <si>
    <t>Minneapolis-St. Paul - P18+ past 12mos Vacation Air Travelers to EUROPE</t>
  </si>
  <si>
    <t>Phoenix- P18+ past 12mos Vacation Air Travelers to EUROPE</t>
  </si>
  <si>
    <t>Seattle-Tacoma - P18+ past 12mos Vacation Air Travelers to EUROPE</t>
  </si>
  <si>
    <t>https://img1.wsimg.com/blobby/go/fa91e93a-72dd-4def-b76d-173477e02dd0/downloads/235bc265-ff57-45a4-8f23-30c15f1f2bbd/HUBBARD%20-%20USA%2B4%20MORE%20DMAs%20-%20P18%2B%20PAST%2012MO%20VAC.pdf?ver=1727293602833</t>
  </si>
  <si>
    <t>St. Louis - P18+ past 12mos Vacation Air Travelers to EUROPE</t>
  </si>
  <si>
    <t>Washington, DC - P18+ past 12mos Vacation Air Travelers to EUROPE</t>
  </si>
  <si>
    <t>West Palm Beach - P18+ past 12mos Vacation Air Travelers to EUROPE</t>
  </si>
  <si>
    <t>https://img1.wsimg.com/blobby/go/fa91e93a-72dd-4def-b76d-173477e02dd0/downloads/0d0859a7-ddc6-4b1c-87af-51b55559d321/HUBBARD%20-%20USA%2B4%20DMAs%20-%20P18%2B%20BARNES%20%26%20NOBLE%20CUS.pdf?ver=1727363912793</t>
  </si>
  <si>
    <t>USA - P18+ purchased Books at BARNES &amp; NOBLE in the past 3 months</t>
  </si>
  <si>
    <t>USA - P18+ purchased Books at ANY BOOKSTORE in the past 3 months</t>
  </si>
  <si>
    <t>USA - P18+ purchased Books ONLINE in the past 6 months</t>
  </si>
  <si>
    <t>USA - P18+ purchased Audiobooks ONLINE in the past 6 months</t>
  </si>
  <si>
    <t>USA - P18+reead Books ONLINE in the past 3 months</t>
  </si>
  <si>
    <t>$10.0 B</t>
  </si>
  <si>
    <t>https://img1.wsimg.com/blobby/go/fa91e93a-72dd-4def-b76d-173477e02dd0/downloads/679e5ea2-01c1-40b9-9818-7d2d6d4fb4da/HUBBARD%20-%20USA%20-%20P18%2B%20PAST%207%20DAYS%20DRINKERS-5%20BR.pdf?ver=1727378310692</t>
  </si>
  <si>
    <t>USA -  P18+ past 7 days drinkers of ARIZONA Tea (in Cans and Bottles)</t>
  </si>
  <si>
    <t>USA -  P18+ past 7 days drinkers of LIPTON Tea (in Cans and Bottles)</t>
  </si>
  <si>
    <t>USA -  P18+ past 7 days drinkers of SNAPPLE Tea (in Cans and Bottles)</t>
  </si>
  <si>
    <t>USA -  P18+ past 7 days drinkers of GOLD PEAK Tea (in Cans and Bottles)</t>
  </si>
  <si>
    <t>USA -  P18+ past 7 days drinkers of HONEST T  Tea (in Cans and Bottles)</t>
  </si>
  <si>
    <t>USA - P18+ past 12mo viewers of Dick Clark's New Year's Rockin' Eve w/Ryan Seacrest</t>
  </si>
  <si>
    <t>Chicago - P18+ past 12mo viewers of Dick Clark's New Year's Rockin' Eve w/Ryan Seacrest</t>
  </si>
  <si>
    <t>Washington, DC - P18+ past 12mo viewers of Dick Clark's New Year's Rockin' Eve w/Ryan Seacrest</t>
  </si>
  <si>
    <t>Seattle - P18+ past 12mo viewers of Dick Clark's New Year's Rockin' Eve w/Ryan Seacrest</t>
  </si>
  <si>
    <t>Phoenix - P18+ past 12mo viewers of Dick Clark's New Year's Rockin' Eve w/Ryan Seacrest</t>
  </si>
  <si>
    <t>Minneapolis - P18+ past 12mo viewers of Dick Clark's New Year's Rockin' Eve w/Ryan Seacrest</t>
  </si>
  <si>
    <t>St. Louis - P18+ past 12mo viewers of Dick Clark's New Year's Rockin' Eve w/Ryan Seacrest</t>
  </si>
  <si>
    <t>Cincinnati - P18+ past 12mo viewers of Dick Clark's New Year's Rockin' Eve w/Ryan Seacrest</t>
  </si>
  <si>
    <t>West Palm Beach - P18+ past 12mo viewers of Dick Clark's New Year's Rockin' Eve w/Ryan Seacrest</t>
  </si>
  <si>
    <t>https://img1.wsimg.com/blobby/go/fa91e93a-72dd-4def-b76d-173477e02dd0/downloads/22286c99-38a3-4b5e-91c8-9a4d2ce5a74e/HUBBARD%20-%20USA%2B4%20DMAs%20-%20P18%2B%20VIEWERS%20OF%20NEW%20YEA.pdf?ver=1727468131602</t>
  </si>
  <si>
    <t>https://img1.wsimg.com/blobby/go/fa91e93a-72dd-4def-b76d-173477e02dd0/downloads/710c2386-9107-4adb-bef5-f8c92c668141/HUBBARD-USA%2B4%20MORE%20DMAs-P18%2BVIEWERS%20NEW%20YEARS%20.pdf?ver=1727468153972</t>
  </si>
  <si>
    <t>https://img1.wsimg.com/blobby/go/fa91e93a-72dd-4def-b76d-173477e02dd0/downloads/97daf6e1-8638-451d-96f2-580fc587f2e0/HUBBARD-Seattle-P35%2B%26W35%2BSLOTS%26OTHER%20GAMBLERS1.pdf?ver=1727542572158</t>
  </si>
  <si>
    <t>Seattle - P35+ Slots and Other Gambling Players w/in 15-mi of MUCKLESHOOT BINGO</t>
  </si>
  <si>
    <t>https://img1.wsimg.com/blobby/go/fa91e93a-72dd-4def-b76d-173477e02dd0/downloads/0e6635c4-2e36-4b39-acea-0bca527a1acc/HUBBARD%20-%20USA%2B4DMAs%20-%20P18%2B%20PAST%203MO%20BUYERS%20AT%20.pdf?ver=1727776329875</t>
  </si>
  <si>
    <t>https://img1.wsimg.com/blobby/go/fa91e93a-72dd-4def-b76d-173477e02dd0/downloads/0e3fe2a4-65dd-46fc-9ef9-f6569353bafc/HUBBARD%20-%20USA%2B4%20MORE%20DMAs%20-%20P18%2B%20PAST%203MO%20BUYE.pdf?ver=1727776351514</t>
  </si>
  <si>
    <t>USA - P18+ past 3mos purchasers at BASS PRO SHOPS and/or CABELA'S</t>
  </si>
  <si>
    <t>Chicago - P18+ past 3mos purchasers at BASS PRO SHOPS and/or CABELA'S</t>
  </si>
  <si>
    <t>Washington, DC - P18+ past 3mos purchasers at BASS PRO SHOPS and/or CABELA'S</t>
  </si>
  <si>
    <t>Seattle - P18+ past 3mos purchasers at BASS PRO SHOPS and/or CABELA'S</t>
  </si>
  <si>
    <t>Phoenix - P18+ past 3mos purchasers at BASS PRO SHOPS and/or CABELA'S</t>
  </si>
  <si>
    <t>Minneapolis - P18+ past 3mos purchasers at BASS PRO SHOPS and/or CABELA'S</t>
  </si>
  <si>
    <t>St. Louis - P18+ past 3mos purchasers at BASS PRO SHOPS and/or CABELA'S</t>
  </si>
  <si>
    <t>Cincinnati - P18+ past 3mos purchasers at BASS PRO SHOPS and/or CABELA'S</t>
  </si>
  <si>
    <t>West Palm Beach - P18+ past 3mos purchasers at BASS PRO SHOPS and/or CABELA'S</t>
  </si>
  <si>
    <t>https://img1.wsimg.com/blobby/go/fa91e93a-72dd-4def-b76d-173477e02dd0/downloads/bd1d0194-c5a4-46aa-91fa-99b1acd1c23d/HUBBARD%20-%20USA%2B4DMAs%20-%20P21%2B%20PAST%2030%20DAYS%20CRAFT%20.pdf?ver=1727881578486</t>
  </si>
  <si>
    <t>https://img1.wsimg.com/blobby/go/fa91e93a-72dd-4def-b76d-173477e02dd0/downloads/221ed87c-7e1f-409d-9aa6-3984edf1a6ef/HUBBARD%20-%20USA%2B4%20MORE%20DMAs%20-%20P21%2B%20PAST%2030%20DAYS%20.pdf?ver=1727881596117</t>
  </si>
  <si>
    <t>USA - P21+ past 30 days Drinkers of CRAFT BEER and/or MICROBREWS</t>
  </si>
  <si>
    <t>Chicago - P21+ past 30 days Drinkers of CRAFT BEER and/or MICROBREWS</t>
  </si>
  <si>
    <t>Washington, DC - P21+ past 30 days Drinkers of CRAFT BEER and/or MICROBREWS</t>
  </si>
  <si>
    <t>Seattle - P21+ past 30 days Drinkers of CRAFT BEER and/or MICROBREWS</t>
  </si>
  <si>
    <t>Phoenix - P21+ past 30 days Drinkers of CRAFT BEER and/or MICROBREWS</t>
  </si>
  <si>
    <t>Minneapolis - P21+ past 30 days Drinkers of CRAFT BEER and/or MICROBREWS</t>
  </si>
  <si>
    <t>St. Louis - P21+ past 30 days Drinkers of CRAFT BEER and/or MICROBREWS</t>
  </si>
  <si>
    <t>Cincinnati - P21+ past 30 days Drinkers of CRAFT BEER and/or MICROBREWS</t>
  </si>
  <si>
    <t>West Palm Beach - P21+ past 30 days Drinkers of CRAFT BEER and/or MICROBREWS</t>
  </si>
  <si>
    <t>Phoenix - P45+ past 3yrs purchasers of DENTAL IMPLANTS w/in 20-mi ARIA DENTAL IMPLANT CTR</t>
  </si>
  <si>
    <t>https://img1.wsimg.com/blobby/go/fa91e93a-72dd-4def-b76d-173477e02dd0/downloads/5bad8434-4ca3-4e14-9014-f04c3d3c31cf/HUBBARD%20-%20PHOENIX%20-%20ARIA%20DENTAL%20IMPLANT%20CENTER.pdf?ver=1727952705569</t>
  </si>
  <si>
    <t>https://img1.wsimg.com/blobby/go/fa91e93a-72dd-4def-b76d-173477e02dd0/downloads/305c2555-ca99-4031-a7a5-420de73d9374/HUBBARD%20-%20USA%2B4%20DMAs%20-%20P18%2B%20VIEWERS%20OF%20MACY_S%20.pdf?ver=1728046408509</t>
  </si>
  <si>
    <t>https://img1.wsimg.com/blobby/go/fa91e93a-72dd-4def-b76d-173477e02dd0/downloads/25f03805-469c-4df0-a216-823238115277/HUBBARD%20-%20USA%2B4%20MORE%20DMAs%20-%20P18%2B%20VIEWERS%20OF%20MA.pdf?ver=1728046432500</t>
  </si>
  <si>
    <t>USA - P18+ past 12mos viewers of MACY'S THANKSGIVING DAY PARADE on NBC</t>
  </si>
  <si>
    <t>Chicago - P18+ past 12mos viewers of MACY'S THANKSGIVING DAY PARADE on NBC</t>
  </si>
  <si>
    <t>Washington, DC - P18+ past 12mos viewers of MACY'S THANKSGIVING DAY PARADE on NBC</t>
  </si>
  <si>
    <t>Seattle - P18+ past 12mos viewers of MACY'S THANKSGIVING DAY PARADE on NBC</t>
  </si>
  <si>
    <t>Phoenix - P18+ past 12mos viewers of MACY'S THANKSGIVING DAY PARADE on NBC</t>
  </si>
  <si>
    <t>Minneapolis - P18+ past 12mos viewers of MACY'S THANKSGIVING DAY PARADE on NBC</t>
  </si>
  <si>
    <t>St. Louis - P18+ past 12mos viewers of MACY'S THANKSGIVING DAY PARADE on NBC</t>
  </si>
  <si>
    <t>Cincinnati - P18+ past 12mos viewers of MACY'S THANKSGIVING DAY PARADE on NBC</t>
  </si>
  <si>
    <t>West Palm Beach - P18+ past 12mos viewers of MACY'S THANKSGIVING DAY PARADE on NBC</t>
  </si>
  <si>
    <t>https://img1.wsimg.com/blobby/go/fa91e93a-72dd-4def-b76d-173477e02dd0/downloads/d226bdff-aa86-41f8-bb8f-4b26aa37f9b7/HUBBARD%20-%20USA%2B4%20MIDWEST%20DMAs%20-%20P18%2B%20PAST%207%20DAY.pdf?ver=1728236168606</t>
  </si>
  <si>
    <t>https://img1.wsimg.com/blobby/go/fa91e93a-72dd-4def-b76d-173477e02dd0/downloads/64f185fa-3cd3-4127-823c-2db81ba53ca4/HUBBARD%20-%20USA%2B4%20MORE%20DMAs%20-%20P18%2B%20PAST%207%20DAYS%20B.pdf?ver=1728236198289</t>
  </si>
  <si>
    <t>https://img1.wsimg.com/blobby/go/fa91e93a-72dd-4def-b76d-173477e02dd0/downloads/767516e6-44af-4469-b2e0-b417dbe0123e/HUBBARD%20-%20USA%20-%20P18%2B%205%20DIFFERENT%20NHL%20TEAM%20DMA%20.pdf?ver=1728316586945</t>
  </si>
  <si>
    <t>https://img1.wsimg.com/blobby/go/fa91e93a-72dd-4def-b76d-173477e02dd0/downloads/fdce02b9-8c36-4644-babe-d23ea7a250fc/HUBBARD%20-%20Seattle%20-%20P18%2B%20WHO%20LIVE%20W-IN%20A%2010-MI.pdf?ver=1728394007664</t>
  </si>
  <si>
    <t>USA - P18+ past 7 days Buyers of FROZEN PIZZA</t>
  </si>
  <si>
    <t>Minneapolis - P18+ past 7 days Buyers of FROZEN PIZZA</t>
  </si>
  <si>
    <t>Chicago - P18+ past 7 days Buyers of FROZEN PIZZA</t>
  </si>
  <si>
    <t>St. Louis - P18+ past 7 days Buyers of FROZEN PIZZA</t>
  </si>
  <si>
    <t>Cincinnati - P18+ past 7 days Buyers of FROZEN PIZZA</t>
  </si>
  <si>
    <t>Seattle - P18+ past 7 days Buyers of FROZEN PIZZA</t>
  </si>
  <si>
    <t>Phoenix - P18+ past 7 days Buyers of FROZEN PIZZA</t>
  </si>
  <si>
    <t>Washington, DC - P18+ past 7 days Buyers of FROZEN PIZZA</t>
  </si>
  <si>
    <t>West Palm Beach - P18+ past 7 days Buyers of FROZEN PIZZA</t>
  </si>
  <si>
    <t>Seattle - P18+ who live within a 10-mi radius of Enumclaw, WA, 98022</t>
  </si>
  <si>
    <t>Chicago - P18+ Watch/Stream/Attend/Listen/Follow CHICAGO BLACKHAWKS</t>
  </si>
  <si>
    <t>Minneapolis - P18+ Watch/Stream/Attend/Listen/Follow MINNESOTA WILD</t>
  </si>
  <si>
    <t>St. Louis - P18+ Watch/Stream/Attend/Listen/Follow ST. LOUIS BLUES</t>
  </si>
  <si>
    <t>Seattle - P18+ Watch/Stream/Attend/Listen/Follow SEATTLE KRAKEN</t>
  </si>
  <si>
    <t>Washington, DC - P18+ Watch/Stream/Attend/Listen/Follow WASHINGTON CAPITALS</t>
  </si>
  <si>
    <t>Chicago - P21+ Fans of CHICAGO BLACKHAWKS who Plan to Bet on NHL Games</t>
  </si>
  <si>
    <t>Minneapolis - P21+ Fans of MINNESOTA WILD who Plan to Bet on NHL Games</t>
  </si>
  <si>
    <t>St. Louis - P21+ Fans of ST. LOUIS BLUES who Plan to Bet on NHL Games</t>
  </si>
  <si>
    <t>Seattle - P21+ Fans of SEATTLE KRAKEN who Plan to Bet on NHL Games</t>
  </si>
  <si>
    <t>Washington, DC - P21+ Fans of WASHINGTON CAPITALS who Plan to Bet on NHL Games</t>
  </si>
  <si>
    <t>https://img1.wsimg.com/blobby/go/fa91e93a-72dd-4def-b76d-173477e02dd0/downloads/cb8b54e2-cee0-4ed5-8f22-adc3be6a45e2/HUBBARD%20-%20USA%20-%20P21%2B%205%20NHL%20WSALFs%20WHO%20PLAN%20TO%20.pdf?ver=1728414684428</t>
  </si>
  <si>
    <t>https://img1.wsimg.com/blobby/go/fa91e93a-72dd-4def-b76d-173477e02dd0/downloads/ef3f3cd6-cca9-4d95-9b87-4e9a350821b8/HUBBARD%20-%20FLORIDA%20-%20P25%2B%205%20TOP%20HOMEOWNERS%20INSU.pdf?ver=1728493304779</t>
  </si>
  <si>
    <t>https://img1.wsimg.com/blobby/go/fa91e93a-72dd-4def-b76d-173477e02dd0/downloads/6d8e1342-0595-49cd-a739-739eab29fcf6/HUBBARD%20-%20USA%20-%20WEST%20PALM%20BEACH%20DMA%20vs.%20USA%20-%20.pdf?ver=1728734009032</t>
  </si>
  <si>
    <t>Florida - P25+ Homeowners covered by CITIZENS as their Homeowners Insurance Provider</t>
  </si>
  <si>
    <t>Florida - P25+ Homeowners covered by ALLSTATE as their Homeowners Insurance Provider</t>
  </si>
  <si>
    <t>Florida - P25+ Homeowners covered by STATE FARM as their Homeowners Insurance Provider</t>
  </si>
  <si>
    <t>Florida - P25+ Homeowners covered by PROGRESSIVE as their Homeowners Insurance Provider</t>
  </si>
  <si>
    <t>Florida - P25+ Homeowners covered by USAA as their Homeowners Insurance Provider</t>
  </si>
  <si>
    <t>West Palm Beach DMA Profile:  R2 2024 - P18+ vs. the USA as of August 31, 2024</t>
  </si>
  <si>
    <t>West Palm Beach DMA Profile:  R2 2024 - P25-54 vs. the USA as of August 31, 2024</t>
  </si>
  <si>
    <t>West Palm Beach DMA Profile:  R2 2024 - W25-54 vs. the USA as of August 31, 2024</t>
  </si>
  <si>
    <t>West Palm Beach DMA Profile:  R2 2024 - M25-54 vs. the USA as of August 31, 2024</t>
  </si>
  <si>
    <t>West Palm Beach DMA Profile:  R2 2024 - P50+ vs. the USA as of August 31, 2024</t>
  </si>
  <si>
    <t>https://img1.wsimg.com/blobby/go/fa91e93a-72dd-4def-b76d-173477e02dd0/downloads/67bbe490-3c94-4d4b-9cf6-d25e287a918e/HUBBARD%20-%20USA%2B4%20DMAs%20-%20P18%2B%20VIEWERS%20OF%20LOCAL%20T.pdf?ver=1729090510510</t>
  </si>
  <si>
    <t>https://img1.wsimg.com/blobby/go/fa91e93a-72dd-4def-b76d-173477e02dd0/downloads/27b91e72-c0e3-4dfe-b489-d754ecb52cfb/HUBBARD%20-%20USA%2B4%20MORE%20DMAs%20-%20P18%2B%20VIEWERS%20OF%20LO.pdf?ver=1729094666273</t>
  </si>
  <si>
    <t>USA - P18+ viewers of Local TV Newscasts (Early AM and/or Early PM and/or Late PM)</t>
  </si>
  <si>
    <t>Chicago - P18+ viewers of Local TV Newscasts (Early AM and/or Early PM and/or Late PM)</t>
  </si>
  <si>
    <t>Washington, DC  - P18+ viewers of Local TV Newscasts (Early AM and/or Early PM and/or Late PM)</t>
  </si>
  <si>
    <t>Seattle - P18+ viewers of Local TV Newscasts (Early AM and/or Early PM and/or Late PM)</t>
  </si>
  <si>
    <t>Phoenix - P18+ viewers of Local TV Newscasts (Early AM and/or Early PM and/or Late PM)</t>
  </si>
  <si>
    <t>Minneapolis - P18+ viewers of Local TV Newscasts (Early AM and/or Early PM and/or Late PM)</t>
  </si>
  <si>
    <t>St. Louis - P18+ viewers of Local TV Newscasts (Early AM and/or Early PM and/or Late PM)</t>
  </si>
  <si>
    <t>Cincinnati - P18+ viewers of Local TV Newscasts (Early AM and/or Early PM and/or Late PM)</t>
  </si>
  <si>
    <t>West Palm Beach - P18+ viewers of Local TV Newscasts (Early AM and/or Early PM and/or Late PM)</t>
  </si>
  <si>
    <t>https://img1.wsimg.com/blobby/go/fa91e93a-72dd-4def-b76d-173477e02dd0/downloads/caa6807f-a445-4298-b448-281ba30e4523/HUBBARD%20-%20USA%20-%20WEST%20PALM%20BEACH%20DMA%20-%20HUBBARD%20.pdf?ver=1729189663939</t>
  </si>
  <si>
    <t>https://img1.wsimg.com/blobby/go/fa91e93a-72dd-4def-b76d-173477e02dd0/downloads/e81bc628-2e21-4c64-8501-bb598ecc107c/HUBBARD%20-%20USA%20-%20WEST%20PALM%20BEACH%20DMA%20-%20IHEART%20R.pdf?ver=1729261566053</t>
  </si>
  <si>
    <t>West Palm Beach - P18+ past 7 days listeners to HUBBARD RADIO</t>
  </si>
  <si>
    <t>West Palm Beach - P18+ past 7 days listeners to HUBBARD RADIO'S WEAT-FM</t>
  </si>
  <si>
    <t>West Palm Beach - P18+ past 7 days listeners to HUBBARD RADIO'S WIRK-FM</t>
  </si>
  <si>
    <t>West Palm Beach - P18+ past 7 days listeners to HUBBARD RADIO'S WMBX-FM</t>
  </si>
  <si>
    <t>West Palm Beach - P18+ past 7 days listeners to HUBBARD RADIO'S WRMF-FM</t>
  </si>
  <si>
    <t>West Palm Beach - P18+ past 7 days listeners to IHEART RADIO</t>
  </si>
  <si>
    <t>West Palm Beach - P18+ past 7 days listeners to IHEART RADIO'S WKGR-FM</t>
  </si>
  <si>
    <t>West Palm Beach - P18+ past 7 days listeners to IHEART RADIO'S WLDI-FM</t>
  </si>
  <si>
    <t>West Palm Beach - P18+ past 7 days listeners to IHEART RADIO'S WOLL-FM</t>
  </si>
  <si>
    <t>West Palm Beach - P18+ past 7 days listeners to IHEART RADIO'S WQOL-FM</t>
  </si>
  <si>
    <t>https://img1.wsimg.com/blobby/go/fa91e93a-72dd-4def-b76d-173477e02dd0/downloads/0b40b845-e67b-4235-9299-568083cab9c9/HUBBARD%20-%20USA%2B4%20DMAs%20-%20P25%2B%20HOMEOWNERS%20SPENDIN.pdf?ver=1729542704995</t>
  </si>
  <si>
    <t>https://img1.wsimg.com/blobby/go/fa91e93a-72dd-4def-b76d-173477e02dd0/downloads/6cad122e-69e9-41f0-91f2-8681b192f722/HUBBARD%20-%20USA%2B4%20MORE%20DMAs%20-%20P25%2B%20HOMEOWNERS%20SP.pdf?ver=1729542736899</t>
  </si>
  <si>
    <t>USA - P25+ Single-Family Homeowners spending $5,000+ on HVAC Repair/Replace past 12mos</t>
  </si>
  <si>
    <t>Chicago - P25+ Single-Family Homeowners spending $5,000+ on HVAC Repair/Replace past 12mos</t>
  </si>
  <si>
    <t>Cincinnati - P25+ Single-Family Homeowners spending $5,000+ on HVAC Repair/Replace past 12mos</t>
  </si>
  <si>
    <t>Minneapolis - P25+ Single-Family Homeowners spending $5,000+ on HVAC Repair/Replace past 12mos</t>
  </si>
  <si>
    <t>Phoenix - P25+ Single-Family Homeowners spending $5,000+ on HVAC Repair/Replace past 12mos</t>
  </si>
  <si>
    <t>Seattle - P25+ Single-Family Homeowners spending $5,000+ on HVAC Repair/Replace past 12mos</t>
  </si>
  <si>
    <t>St. Louis - P25+ Single-Family Homeowners spending $5,000+ on HVAC Repair/Replace past 12mos</t>
  </si>
  <si>
    <t>Washington, DC - P25+ Single-Family Homeowners spending $5,000+ on HVAC Repair/Replace past 12mos</t>
  </si>
  <si>
    <t>West Palm Beach - P25+ Single-Family Homeowners spending $5,000+ on HVAC Repair/Replace past 12mos</t>
  </si>
  <si>
    <t>https://img1.wsimg.com/blobby/go/fa91e93a-72dd-4def-b76d-173477e02dd0/downloads/e7685d7a-9146-4154-ada3-47ed9cb85414/HUBBARD%20-%20USA%2B4%20DMAs%20-%20P18%2B%20ON%20ANXIETY%20DEPRESS.pdf?ver=1729759555853</t>
  </si>
  <si>
    <t>https://img1.wsimg.com/blobby/go/fa91e93a-72dd-4def-b76d-173477e02dd0/downloads/924bef6f-c901-4dae-b0a6-34570045697d/HUBBARD%20-%20USA%2B4%20MORE%20DMAs%20-%20P18%2B%20ON%20ANXIETY%20DE.pdf?ver=1729759574080</t>
  </si>
  <si>
    <t>USA - P18+ past 12 months users of Prescription ANTI-ANXIETY/DEPRESSION Meds</t>
  </si>
  <si>
    <t>Chicago - P18+ past 12 months users of Prescription ANTI-ANXIETY/DEPRESSION Meds</t>
  </si>
  <si>
    <t>Cincinnati - P18+ past 12 months users of Prescription ANTI-ANXIETY/DEPRESSION Meds</t>
  </si>
  <si>
    <t>Minneapolis - P18+ past 12 months users of Prescription ANTI-ANXIETY/DEPRESSION Meds</t>
  </si>
  <si>
    <t>Phoenix - P18+ past 12 months users of Prescription ANTI-ANXIETY/DEPRESSION Meds</t>
  </si>
  <si>
    <t>Seattle - P18+ past 12 months users of Prescription ANTI-ANXIETY/DEPRESSION Meds</t>
  </si>
  <si>
    <t>St. Louis - P18+ past 12 months users of Prescription ANTI-ANXIETY/DEPRESSION Meds</t>
  </si>
  <si>
    <t>Washington, DC - P18+ past 12 months users of Prescription ANTI-ANXIETY/DEPRESSION Meds</t>
  </si>
  <si>
    <t>West Palm Beach - P18+ past 12 months users of Prescription ANTI-ANXIETY/DEPRESSION Meds</t>
  </si>
  <si>
    <t>https://img1.wsimg.com/blobby/go/fa91e93a-72dd-4def-b76d-173477e02dd0/downloads/b8b1e672-fce4-4a4b-b8ea-2d771c8876d1/HUBBARD%20-%20USA%20-%20PHOENIX%20AZ%20DMA%20vs.%20USA%20-%205%20DEM.pdf?ver=1729853755106</t>
  </si>
  <si>
    <t>https://img1.wsimg.com/blobby/go/fa91e93a-72dd-4def-b76d-173477e02dd0/downloads/ddfc6d59-f2d4-43a7-b7b7-85f3f16cfabb/HUBBARD%20-%20USA%20-%20PHOENIX%20AZ%20METRO%20-%20HUBBARD%20RAD.pdf?ver=1729889323257</t>
  </si>
  <si>
    <t>https://img1.wsimg.com/blobby/go/fa91e93a-72dd-4def-b76d-173477e02dd0/downloads/1e041260-cd5d-4d24-be6b-b6d8c3aa4c62/HUBBARD%20-%20USA%20-%20PHOENIX%20AZ%20METRO%20-%20IHEART%20RADI.pdf?ver=1729889301958</t>
  </si>
  <si>
    <t>https://img1.wsimg.com/blobby/go/fa91e93a-72dd-4def-b76d-173477e02dd0/downloads/e35cd6fa-c859-4297-a053-0376d6b20598/HUBBARD%20-%20WASHINGTON%20DC%20DMA%20vs.%20USA%20-%20P18%2B%20%26%20P.pdf?ver=1730130915975</t>
  </si>
  <si>
    <t>Phoenix Metro - P18+ past 7 days HUBBARD RADIO Listeners</t>
  </si>
  <si>
    <t>Phoenix Metro - P18+ past 7 days IHEART RADIO Listeners</t>
  </si>
  <si>
    <t>Phoenix Metro - P18+ past 7 days HUBBARD RADIO Listeners to KAZG-AM</t>
  </si>
  <si>
    <t>Phoenix Metro - P18+ past 7 days HUBBARD RADIO Listeners to KDKB-FM</t>
  </si>
  <si>
    <t>Phoenix Metro - P18+ past 7 days HUBBARD RADIO Listeners to KSLX-FM</t>
  </si>
  <si>
    <t>Phoenix Metro - P18+ past 7 days HUBBARD RADIO Listeners to KUPD-FM</t>
  </si>
  <si>
    <t>Phoenix Metro - P18+ past 7 days IHEART RADIO Listeners to KESZ-FM</t>
  </si>
  <si>
    <t>Phoenix Metro - P18+ past 7 days IHEART RADIO Listeners to KMXP-FM</t>
  </si>
  <si>
    <t>Phoenix Metro - P18+ past 7 days IHEART RADIO Listeners to KNIX-FM</t>
  </si>
  <si>
    <t>Phoenix Metro - P18+ past 7 days IHEART RADIO Listeners to KYOT-FM</t>
  </si>
  <si>
    <t>Phoenix AZ DMA P18+ vs. USA R2 2024</t>
  </si>
  <si>
    <t>Phoenix AZ DMA P25-54 vs. USA R2 2024</t>
  </si>
  <si>
    <t>Phoenix AZ DMA W25-54 vs. USA R2 2024</t>
  </si>
  <si>
    <t>Phoenix AZ DMA M25-54 vs. USA R2 2024</t>
  </si>
  <si>
    <t>Phoenix AZ DMA P50+ vs. USA R2 2024</t>
  </si>
  <si>
    <t>Washington, DC - P18+ past 12 months users of JIFFY LUBE</t>
  </si>
  <si>
    <t>Washington, DC - P25-54 past 12 months users of JIFFY LUBE</t>
  </si>
  <si>
    <t>https://img1.wsimg.com/blobby/go/fa91e93a-72dd-4def-b76d-173477e02dd0/downloads/801114a5-955d-41b0-b808-1fd804279972/HUBBARD%20-%20USA%2B4%20MIDWEST%20DMAs%20-%20P18%2B%20PAST%2012%20MO.pdf?ver=1730320232102</t>
  </si>
  <si>
    <t>https://img1.wsimg.com/blobby/go/fa91e93a-72dd-4def-b76d-173477e02dd0/downloads/492ffb06-7906-4ce9-add0-2f4017e6c66d/HUBBARD%20-%20USA%20-%20MINNEAPOLIS-ST.%20PAUL%20DMA%20vs.%20U.pdf?ver=1730398558784</t>
  </si>
  <si>
    <t>USA - P18+ past 12 months GOLFERS</t>
  </si>
  <si>
    <t>Chicago - P18+ past 12 months GOLFERS</t>
  </si>
  <si>
    <t>Cincinnati - P18+ past 12 months GOLFERS</t>
  </si>
  <si>
    <t>Minneapolis-St. Paul - P18+ past 12 months GOLFERS</t>
  </si>
  <si>
    <t>St. Louis - P18+ past 12 months GOLFERS</t>
  </si>
  <si>
    <t>Minneapolis-St. Paul, MN DMA - P18+ vs. USA R2 2024</t>
  </si>
  <si>
    <t>Minneapolis-St. Paul, MN DMA - P25-54 vs. USA R2 2024</t>
  </si>
  <si>
    <t>Minneapolis-St. Paul, MN DMA - W25-54 vs. USA R2 2024</t>
  </si>
  <si>
    <t>Minneapolis-St. Paul, MN DMA - M25-54 vs. USA R2 2024</t>
  </si>
  <si>
    <t>Minneapolis-St. Paul, MN DMA - P50+ vs. USA R2 2024</t>
  </si>
  <si>
    <t>MSP Metro - P18+ HUBBARD RADIO KSTP-FM &amp; KTMY-FM past 7 days listeners</t>
  </si>
  <si>
    <t>MSP Metro - P18+ HUBBARD RADIO KSTP-FM past 7 days listeners</t>
  </si>
  <si>
    <t>MSP Metro - P18+ HUBBARD RADIO KTMY-FM past 7 days listeners</t>
  </si>
  <si>
    <t>MSP Metro - P18+ AM SPORTS RADIO past 7 days listeners</t>
  </si>
  <si>
    <t>MSP Metro - P18+ PODCAST  past 30 days listeners</t>
  </si>
  <si>
    <t>MSP Metro - P18+ IHEART RADIO past 7 days listeners</t>
  </si>
  <si>
    <t>MSP Metro - P18+ IHEART RADIO KEEY-FM past 7 days listeners</t>
  </si>
  <si>
    <t>MSP Metro - P18+ IHEART RADIO KFXN-FM past 7 days listeners</t>
  </si>
  <si>
    <t>MSP Metro - P18+ IHEART RADIO KQQL-FM past 7 days listeners</t>
  </si>
  <si>
    <t>https://img1.wsimg.com/blobby/go/fa91e93a-72dd-4def-b76d-173477e02dd0/downloads/0767cbff-094d-4849-b128-77f58d81ed24/HUBBARD%20-%20USA%20-%20MINNEAPOLIS-ST.%20PAUL%20METRO%20-%20H.pdf?ver=1730492898133</t>
  </si>
  <si>
    <t>https://img1.wsimg.com/blobby/go/fa91e93a-72dd-4def-b76d-173477e02dd0/downloads/691e4a57-5f80-4e4a-a45d-cdbc5eefe30a/HUBBARD%20-%20USA%20-%20MINNEAPOLIS-ST.%20PAUL%20METRO%20-%20I.pdf?ver=1730492954296</t>
  </si>
  <si>
    <t>MSP Metro - P18+ IHEART RADIO KDWB-FM past 7 days listeners</t>
  </si>
  <si>
    <t>Cincinnati - P18+ who Purchased Items In-Store past 3 months at ULTA BEAUTY</t>
  </si>
  <si>
    <t>https://img1.wsimg.com/blobby/go/fa91e93a-72dd-4def-b76d-173477e02dd0/downloads/750bb4f5-3415-4158-aaa0-e5694e957225/HUBBARD%20-%205%20DMAs%20of%20P18%2B%20WHO%20BOUGHT%20ITEMS%20AT%20U.pdf?ver=1730820748306</t>
  </si>
  <si>
    <t>Minneapolis - P18+ who Purchased Items In-Store past 3 months at ULTA BEAUTY</t>
  </si>
  <si>
    <t>Seattle - P18+ who Purchased Items In-Store past 3 months at ULTA BEAUTY</t>
  </si>
  <si>
    <t>St. Louis - P18+ who Purchased Items In-Store past 3 months at ULTA BEAUTY</t>
  </si>
  <si>
    <t>Washington, DC - P18+ who Purchased Items In-Store past 3 months at ULTA BEAUTY</t>
  </si>
  <si>
    <t>Chicago - P18+ who Plan to take a SKI or SNOWBOARD Vacation next 12 months</t>
  </si>
  <si>
    <t>https://img1.wsimg.com/blobby/go/fa91e93a-72dd-4def-b76d-173477e02dd0/downloads/ea03afc0-ae29-4662-9bf1-0d6732664abf/HUBBARD%20-%205%20DMAs%20of%20P18%2B%20WHO%20PLAN%20A%20SKI%20OR%20SNO.pdf?ver=1730845091948</t>
  </si>
  <si>
    <t>Washington, DC - P18+ who Plan to take a SKI or SNOWBOARD Vacation next 12 months</t>
  </si>
  <si>
    <t>Seattle - P18+ who Plan to take a SKI or SNOWBOARD Vacation next 12 months</t>
  </si>
  <si>
    <t>Phoenix - P18+ who Plan to take a SKI or SNOWBOARD Vacation next 12 months</t>
  </si>
  <si>
    <t>https://img1.wsimg.com/blobby/go/fa91e93a-72dd-4def-b76d-173477e02dd0/downloads/85a34cd2-e247-41e8-b3d8-ab00aac2a776/HUBBARD%20-%20USA%20-%20CINCINNATI%20OH%20DMA%20vs.%20USA%20-%205%20.pdf?ver=1731001104238</t>
  </si>
  <si>
    <t>https://img1.wsimg.com/blobby/go/fa91e93a-72dd-4def-b76d-173477e02dd0/downloads/8e973b10-880e-4345-8823-8a3255c4de7e/HUBBARD%20-%20USA%20-%20ST.%20LOUIS%20MO%20DMA%20vs.%20USA%20-%205%20D.pdf?ver=1731081766554</t>
  </si>
  <si>
    <t>USA - P18+ Cincinnati, OH, DMA vs. USA R2 2024</t>
  </si>
  <si>
    <t>USA - P25-54 Cincinnati, OH, DMA vs. USA R2 2024</t>
  </si>
  <si>
    <t>USA - W25-54 Cincinnati, OH, DMA vs. USA R2 2024</t>
  </si>
  <si>
    <t>USA - M25-54 Cincinnati, OH, DMA vs. USA R2 2024</t>
  </si>
  <si>
    <t>USA - P50+ Cincinnati, OH, DMA vs. USA R2 2024</t>
  </si>
  <si>
    <t>USA - P18+ St. Louis, MO DMA vs. USA R2 2024</t>
  </si>
  <si>
    <t>USA - P25-54 St. Louis, MO DMA vs. USA R2 2024</t>
  </si>
  <si>
    <t>USA - W25-54 St. Louis, MO DMA vs. USA R2 2024</t>
  </si>
  <si>
    <t>USA - M25-54 St. Louis, MO DMA vs. USA R2 2024</t>
  </si>
  <si>
    <t>USA - P50+ St. Louis, MO DMA vs. USA R2 2024</t>
  </si>
  <si>
    <t>https://img1.wsimg.com/blobby/go/fa91e93a-72dd-4def-b76d-173477e02dd0/downloads/463ee488-dd06-45f6-9a23-c0ef69fdaf64/HUBBARD%20-%20USA%20-%20CINCINNATI%20METRO%20-%20HUBBARD%20RAD.pdf?ver=1731426573489</t>
  </si>
  <si>
    <t>https://img1.wsimg.com/blobby/go/fa91e93a-72dd-4def-b76d-173477e02dd0/downloads/5cc59bf0-7560-4a8d-b194-20e52bb441fd/HUBBARD%20-%20USA%20-%20CINCINNATI%20METRO%20-%20CUMULUS%20RAD.pdf?ver=1731426619759</t>
  </si>
  <si>
    <t>https://img1.wsimg.com/blobby/go/fa91e93a-72dd-4def-b76d-173477e02dd0/downloads/8699133d-fae7-4008-a7c4-989a6d9e2586/HUBBARD%20-%20USA%20-%20ST.%20LOUIS%20METRO%20-%20HUBBARD%20RADI.pdf?ver=1731426638990</t>
  </si>
  <si>
    <t>https://img1.wsimg.com/blobby/go/fa91e93a-72dd-4def-b76d-173477e02dd0/downloads/5b5a5428-2f90-44d1-bfb3-76ad02e8b127/HUBBARD%20-%20USA%20-%20ST.%20LOUIS%20METRO%20-%20AUDACY%20RADIO.pdf?ver=1731426666185</t>
  </si>
  <si>
    <t>Cincinnati - P18+ past 7 days listeners to HUBBARD RADIO</t>
  </si>
  <si>
    <t>Cincinnati - P18+ past 7 days listeners to HUBBARD RADIO's WKRQ-FM</t>
  </si>
  <si>
    <t>Cincinnati - P18+ past 7 days listeners to HUBBARD RADIO's WREW-FM</t>
  </si>
  <si>
    <t>Cincinnati - P18+ past 7 days listeners to HUBBARD RADIO's WUBE-FM/WYGY-FM</t>
  </si>
  <si>
    <t>Cincinnati - P18+ past 7 days listeners to CUMULUS RADIO</t>
  </si>
  <si>
    <t>Cincinnati - P18+ past 7 days listeners to CUMULUS RADIO's WFTK-FM</t>
  </si>
  <si>
    <t>Cincinnati - P18+ past 7 days listeners to CUMULUS RADIO's WGRR-FM</t>
  </si>
  <si>
    <t>Cincinnati - P18+ past 7 days listeners to CUMULUS RADIO's WOFX-FM</t>
  </si>
  <si>
    <t>Cincinnati - P18+ past 7 days listeners to CUMULUS RADIO's WRRM-FM</t>
  </si>
  <si>
    <t>St. Louis - P18+ past 7 days listeners to HUBBARD RADIO's KPNT-FM</t>
  </si>
  <si>
    <t>St. Louis - P18+ past 7 days listeners to HUBBARD RADIO's KSHE-FM</t>
  </si>
  <si>
    <t>St. Louis - P18+ past 7 days listeners to HUBBARD RADIO's WARH-FM</t>
  </si>
  <si>
    <t>St. Louis - P18+ past 7 days listeners to HUBBARD RADIO's WIL-FM</t>
  </si>
  <si>
    <t>St. Louis - P18+ past 7 days listeners to HUBBARD RADIO's WXOS-FM</t>
  </si>
  <si>
    <t>St. Louis - P18+ past 7 days listeners to AUDACY RADIO's KEZK-FM</t>
  </si>
  <si>
    <t>St. Louis - P18+ past 7 days listeners to AUDACY RADIO's KFTK-FM</t>
  </si>
  <si>
    <t>St. Louis - P18+ past 7 days listeners to AUDACY RADIO's KMOX-AM</t>
  </si>
  <si>
    <t>St. Louis - P18+ past 7 days listeners to AUDACY RADIO's KYKY-FM</t>
  </si>
  <si>
    <t>St. Louis - P18+ past 7 days listeners to AUDACY RADIO's WFUN-FM</t>
  </si>
  <si>
    <t>USA - P18+  CHICAGO, IL, DMA vs. USA R2 2024</t>
  </si>
  <si>
    <t>USA - P25-54  CHICAGO, IL, DMA vs. USA R2 2024</t>
  </si>
  <si>
    <t>USA - W25-54  CHICAGO, IL, DMA vs. USA R2 2024</t>
  </si>
  <si>
    <t>USA - M25-54  CHICAGO, IL, DMA vs. USA R2 2024</t>
  </si>
  <si>
    <t>USA - P50+  CHICAGO, IL, DMA vs. USA R2 2024</t>
  </si>
  <si>
    <t>Chicago - P18+ past 7 days Listeners to HUBBARD RADIO</t>
  </si>
  <si>
    <t>Chicago - P18+ past 7 days Listeners to HUBBARD RADIO's WDRV-FM</t>
  </si>
  <si>
    <t>Chicago - P18+ past 7 days Listeners to HUBBARD RADIO's WTBC-FM</t>
  </si>
  <si>
    <t>Chicago - P18+ past 7 days Listeners to HUBBARD RADIO's WTMX-FM</t>
  </si>
  <si>
    <t>Chicago - P18+ past 7 days Listeners to AUDACY RADIO</t>
  </si>
  <si>
    <t>Chicago - P18+ past 7 days Listeners to AUDACY RADIO's WBBM-AM</t>
  </si>
  <si>
    <t>Chicago - P18+ past 7 days Listeners to AUDACY RADIO's WBBM-FM</t>
  </si>
  <si>
    <t>Chicago - P18+ past 7 days Listeners to AUDACY RADIO's WUSN-FM</t>
  </si>
  <si>
    <t>Chicago - P18+ past 7 days Listeners to AUDACY RADIO's WXRT-FM</t>
  </si>
  <si>
    <t>https://img1.wsimg.com/blobby/go/fa91e93a-72dd-4def-b76d-173477e02dd0/downloads/fbdf01c7-159a-4162-887c-f31ff2fd2a13/HUBBARD%20-%20USA%20-%20CHICAGO%20IL%20DMA%20vs.%20USA%20-%205%20DEM.pdf?ver=1731609761779</t>
  </si>
  <si>
    <t>https://img1.wsimg.com/blobby/go/fa91e93a-72dd-4def-b76d-173477e02dd0/downloads/df564e0b-eb59-42da-9527-49956a03c581/HUBBARD%20-%20USA%20-%20CHICAGO%20METRO%20-%20HUBBARD%20RADIO%20.pdf?ver=1731681998178</t>
  </si>
  <si>
    <t>https://img1.wsimg.com/blobby/go/fa91e93a-72dd-4def-b76d-173477e02dd0/downloads/a38d6e13-2edb-4d11-a9a0-dd025e00e58c/HUBBARD%20-%20USA%20-%20CHICAGO%20METRO%20-%20AUDACY%20RADIO%20A.pdf?ver=1731681887002</t>
  </si>
  <si>
    <t>USA - P18+  SEATTLE-TACOMA, WA, DMA vs. USA R2 2024</t>
  </si>
  <si>
    <t>https://img1.wsimg.com/blobby/go/fa91e93a-72dd-4def-b76d-173477e02dd0/downloads/74fdfe76-017e-4e3b-8239-48289a8948dc/HUBBARD%20-%20USA%20-%20SEATTLE-TACOMA%20DMA%20vs.%20USA%20-%205.pdf?ver=1731700507568</t>
  </si>
  <si>
    <t>USA - P25-54  SEATTLE-TACOMA, WA, DMA vs. USA R2 2024</t>
  </si>
  <si>
    <t>USA - W25-54  SEATTLE-TACOMA, WA, DMA vs. USA R2 2024</t>
  </si>
  <si>
    <t>USA - M25-54  SEATTLE-TACOMA, WA, DMA vs. USA R2 2024</t>
  </si>
  <si>
    <t>USA - P50+  SEATTLE-TACOMA, WA, DMA vs. USA R2 2024</t>
  </si>
  <si>
    <t>Seattle Metro - P18+ HUBBARD RADIO  past 7 days listeners</t>
  </si>
  <si>
    <t>Seattle Metro - P18+ HUBBARD RADIO KPNW-FM past 7 days listeners</t>
  </si>
  <si>
    <t>Seattle Metro - P18+ HUBBARD RADIO  KQMV-FM past 7 days listeners</t>
  </si>
  <si>
    <t>Seattle Metro - P18+ HUBBARD RADIO  KRWM-FM past 7 days listeners</t>
  </si>
  <si>
    <t>Seattle Metro - P18+ IHEART RADIO  past 7 days listeners</t>
  </si>
  <si>
    <t>Seattle Metro - P18+ IHEART RADIO KBKS-FM past 7 days listeners</t>
  </si>
  <si>
    <t>Seattle Metro - P18+ IHEART RADIO KJAQ-FM past 7 days listeners</t>
  </si>
  <si>
    <t>Seattle Metro - P18+ IHEART RADIO KJEB-FM  past 7 days listeners</t>
  </si>
  <si>
    <t>Seattle Metro - P18+ IHEART RADIO KZOK-FM past 7 days listeners</t>
  </si>
  <si>
    <t>https://img1.wsimg.com/blobby/go/fa91e93a-72dd-4def-b76d-173477e02dd0/downloads/986e5e23-8afb-41a1-a179-e60b24edb767/HUBBARD%20-%20USA%20-%20SEATTLE-TACOMA%20METRO%20-%20HUBBARD.pdf?ver=1731777152955</t>
  </si>
  <si>
    <t>https://img1.wsimg.com/blobby/go/fa91e93a-72dd-4def-b76d-173477e02dd0/downloads/fcbfb8ed-1f42-4c9b-a9ba-f83c698d00b7/HUBBARD%20-%20USA%20-%20SEATTLE-TACOMA%20METRO%20-%20IHEART%20.pdf?ver=1731777186564</t>
  </si>
  <si>
    <t>https://img1.wsimg.com/blobby/go/fa91e93a-72dd-4def-b76d-173477e02dd0/downloads/d2cd8c5d-808f-4f14-919d-fdebd43e3a7e/HUBBARD%20-%20USA%2B4%20DMAs%20of%20P18%2B%20WHO%20BOUGHT%20ITEMS%20.pdf?ver=1731969046168</t>
  </si>
  <si>
    <t>https://img1.wsimg.com/blobby/go/fa91e93a-72dd-4def-b76d-173477e02dd0/downloads/5b6109eb-0a38-4016-a9b1-ef6d26926f1a/HUBBARD%20-%20USA%2B4%20MORE%20DMAs%20of%20P18%2B%20WHO%20BOUGHT%20A.pdf?ver=1731969523415</t>
  </si>
  <si>
    <t>USA - P18+ purchased items in-store past 3 months at BEST BUY</t>
  </si>
  <si>
    <t>Chicago - P18+ purchased items in-store past 3 months at BEST BUY</t>
  </si>
  <si>
    <t>Washington, DC - P18+ purchased items in-store past 3 months at BEST BUY</t>
  </si>
  <si>
    <t>Seattle - P18+ purchased items in-store past 3 months at BEST BUY</t>
  </si>
  <si>
    <t>Phoenix - P18+ purchased items in-store past 3 months at BEST BUY</t>
  </si>
  <si>
    <t>Minneapolis - P18+ purchased items in-store past 3 months at BEST BUY</t>
  </si>
  <si>
    <t>St. Louis - P18+ purchased items in-store past 3 months at BEST BUY</t>
  </si>
  <si>
    <t>Cincinnati - P18+ purchased items in-store past 3 months at BEST BUY</t>
  </si>
  <si>
    <t>West Palm Beach - P18+ purchased items in-store past 3 months at BEST BUY</t>
  </si>
  <si>
    <t>Job #</t>
  </si>
  <si>
    <t>https://img1.wsimg.com/blobby/go/fa91e93a-72dd-4def-b76d-173477e02dd0/downloads/3639e7cf-5218-46c0-bfa1-50063e14a8f2/HUBBARD%20-%20USA%2B4%20DMAs%20P18%2B%20BOUGHT%20AT%20SEVEN%20%26%20i%20.pdf?ver=1732121004451</t>
  </si>
  <si>
    <t>https://img1.wsimg.com/blobby/go/fa91e93a-72dd-4def-b76d-173477e02dd0/downloads/369f50ff-833c-42cb-86c8-d7328e199e68/HUBBARD%20-%20USA%2B4%20MORE%20DMAs%20P18%2B%20BOUGHT%20AT%20SEVEN.pdf?ver=1732121024446</t>
  </si>
  <si>
    <t>USA - P18+ made a purchase at 7-ELEVEN or SPEEDWAY in the past 7 days</t>
  </si>
  <si>
    <t>Chicago - P18+ made a purchase at 7-ELEVEN or SPEEDWAY in the past 7 days</t>
  </si>
  <si>
    <t>Washington, DC - P18+ made a purchase at 7-ELEVEN or SPEEDWAY in the past 7 days</t>
  </si>
  <si>
    <t>Seattle - P18+ made a purchase at 7-ELEVEN or SPEEDWAY in the past 7 days</t>
  </si>
  <si>
    <t>Phoenix - P18+ made a purchase at 7-ELEVEN or SPEEDWAY in the past 7 days</t>
  </si>
  <si>
    <t>Minneapolis - P18+ made a purchase at 7-ELEVEN or SPEEDWAY in the past 7 days</t>
  </si>
  <si>
    <t>St. Louis - P18+ made a purchase at 7-ELEVEN or SPEEDWAY in the past 7 days</t>
  </si>
  <si>
    <t>Cincinnati - P18+ made a purchase at 7-ELEVEN or SPEEDWAY in the past 7 days</t>
  </si>
  <si>
    <t>West Palm Beach - P18+ made a purchase at 7-ELEVEN or SPEEDWAY in the past 7 days</t>
  </si>
  <si>
    <t>USA - W25-54 purchased items in-store past 3 months at TARGET</t>
  </si>
  <si>
    <t>Chicago - W25-54 purchased items in-store past 3 months at TARGET</t>
  </si>
  <si>
    <t>Washington, DC - W25-54 purchased items in-store past 3 months at TARGET</t>
  </si>
  <si>
    <t>Seattle - W25-54 purchased items in-store past 3 months at TARGET</t>
  </si>
  <si>
    <t>Phoenix - W25-54 purchased items in-store past 3 months at TARGET</t>
  </si>
  <si>
    <t>Minneapolis - W25-54 purchased items in-store past 3 months at TARGET</t>
  </si>
  <si>
    <t>St. Louis - W25-54 purchased items in-store past 3 months at TARGET</t>
  </si>
  <si>
    <t>Cincinnati - W25-54 purchased items in-store past 3 months at TARGET</t>
  </si>
  <si>
    <t>West Palm Beach - W25-54 purchased items in-store past 3 months at TARGET</t>
  </si>
  <si>
    <t>https://img1.wsimg.com/blobby/go/fa91e93a-72dd-4def-b76d-173477e02dd0/downloads/d32fac3d-7f5f-4e51-bdd6-d7dc930905b5/HUBBARD%20-%20USA%2B4%20DMAs%20of%20W25-54%20BOUGHT%20AT%20TARGE.pdf?ver=1732225603577</t>
  </si>
  <si>
    <t>https://img1.wsimg.com/blobby/go/fa91e93a-72dd-4def-b76d-173477e02dd0/downloads/750fd199-dc43-47e5-b1d1-ef16ecf082b6/HUBBARD%20-%20USA%2B4%20MORE%20DMAs%20of%20W25-54%20BOUGHT%20AT%20.pdf?ver=1732225629122</t>
  </si>
  <si>
    <t>Phoenix - P21+ past 30 days Drinkers of CRAFT BEER and/or MICROBREWS - R2 2024</t>
  </si>
  <si>
    <t>Phoenix - P21+ past 30 days Drinkers of DOMESTIC BEER - R2 2024</t>
  </si>
  <si>
    <t>Phoenix - P21+ past 30 days Drinkers of IMPORTED BEER - R2 2024</t>
  </si>
  <si>
    <t>Phoenix - P21+ past 30 days Drinkers of HARD SELTZERS - R2 2024</t>
  </si>
  <si>
    <t>Phoenix - P21+ past 30 days Drinkers of LIQUOR (Any Type) - R2 2024</t>
  </si>
  <si>
    <t>https://img1.wsimg.com/blobby/go/fa91e93a-72dd-4def-b76d-173477e02dd0/downloads/fb5025c5-7d2c-45e2-869c-6a1f2ec80d39/HUBBARD%20-%20USA%20-%20PHOENIX%20AZ%20METRO%20-%20P21%2B%20CRESCE.pdf?ver=1732302689709</t>
  </si>
  <si>
    <t>https://img1.wsimg.com/blobby/go/fa91e93a-72dd-4def-b76d-173477e02dd0/downloads/0c6e0f00-1c1f-4d36-a266-20ae3d009355/HUBBARD%20-%20USA%2B4%20DMAs%20of%20W25-54%20WHO%20BOUGHT%20ITEM.pdf?ver=1732658682870</t>
  </si>
  <si>
    <t>https://img1.wsimg.com/blobby/go/fa91e93a-72dd-4def-b76d-173477e02dd0/downloads/7d87decb-7f41-4349-8278-6c90beee2ffc/HUBBARD%20-%20USA%2B4%20MORE%20DMAs%20of%20W25-54%20WHO%20BOUGHT.pdf?ver=1732658660248</t>
  </si>
  <si>
    <t>USA - W25-54 purchased items online past 3 months on AMAZON</t>
  </si>
  <si>
    <t>Chicago - W25-54 purchased items online past 3 months on AMAZON</t>
  </si>
  <si>
    <t>Washington, DC - W25-54 purchased items online past 3 months on AMAZON</t>
  </si>
  <si>
    <t>Seattle - W25-54 purchased items online past 3 months on AMAZON</t>
  </si>
  <si>
    <t>Phoenix - W25-54 purchased items online past 3 months on AMAZON</t>
  </si>
  <si>
    <t>Minneapolis - W25-54 purchased items online past 3 months on AMAZON</t>
  </si>
  <si>
    <t>St. Louis - W25-54 purchased items online past 3 months on AMAZON</t>
  </si>
  <si>
    <t>Cincinnati - W25-54 purchased items online past 3 months on AMAZON</t>
  </si>
  <si>
    <t>West Palm Beach - W25-54 purchased items online past 3 months on AMAZON</t>
  </si>
  <si>
    <t>USA - P18+ Washington, DC, DMA vs. USA R2 2024</t>
  </si>
  <si>
    <t>USA - P25-54 Washington, DC, DMA vs. USA R2 2024</t>
  </si>
  <si>
    <t>USA - W25-54 Washington, DC, DMA vs. USA R2 2024</t>
  </si>
  <si>
    <t>USA - M25-54 Washington, DC, DMA vs. USA R2 2024</t>
  </si>
  <si>
    <t>USA - P50+ Washington, DC, DMA vs. USA R2 2024</t>
  </si>
  <si>
    <t>https://img1.wsimg.com/blobby/go/fa91e93a-72dd-4def-b76d-173477e02dd0/downloads/d2067fb8-7557-4572-b657-c245e271a370/HUBBARD%20-%20USA%20-%20WASHINGTON%20DC%20DMA%20vs.%20USA%20-%205%20.pdf?ver=1732806769182</t>
  </si>
  <si>
    <t>Washington DC - P18+ past 7 days Listeners to IHEART RADIO</t>
  </si>
  <si>
    <t>Washington DC - P18+ past 7 days Listeners to IHEART RADIO's WASH-FM</t>
  </si>
  <si>
    <t>Washington DC - P18+ past 7 days Listeners to IHEART RADIO's WBIG-FM</t>
  </si>
  <si>
    <t>Washington DC - P18+ past 7 days Listeners to IHEART RADIO's WIHT-FM</t>
  </si>
  <si>
    <t>Washington DC - P18+ past 7 days Listeners to IHEART RADIO's WWDC-FM</t>
  </si>
  <si>
    <t>Washington DC - P18+ past 7 days Listeners to AUDACY RADIO's WIAD-FM</t>
  </si>
  <si>
    <t>Washington DC - P18+ past 7 days Listeners to AUDACY RADIO</t>
  </si>
  <si>
    <t>Washington DC - P18+ past 7 days Listeners to AUDACY RADIO's WJFK-FM</t>
  </si>
  <si>
    <t>Washington DC - P18+ past 7 days Listeners to AUDACY RADIO's WLZL-FM</t>
  </si>
  <si>
    <t>Washington DC - P18+ past 7 days Listeners to AUDACY RADIO's WPGC-FM</t>
  </si>
  <si>
    <t>https://img1.wsimg.com/blobby/go/fa91e93a-72dd-4def-b76d-173477e02dd0/downloads/9fcfa115-f99d-4dce-904e-710cd5adfd28/HUBBARD%20-%20USA%20-%20WASHINGTON%20DC%20METRO%20-%20IHEART%20R.pdf?ver=1733243112152</t>
  </si>
  <si>
    <t>https://img1.wsimg.com/blobby/go/fa91e93a-72dd-4def-b76d-173477e02dd0/downloads/46886840-7967-4824-bff9-054aa89861cf/HUBBARD%20-%20USA%20-%20WASHINGTON%20DC%20METRO%20-%20AUDACY%20R.pdf?ver=1733243157405</t>
  </si>
  <si>
    <t>https://img1.wsimg.com/blobby/go/fa91e93a-72dd-4def-b76d-173477e02dd0/downloads/608239fb-8951-4c4c-a40e-c55d411d3e79/HUBBARD%20-%20USA%20-%20WASHINGTON%20DC%20METRO%20-%205%20LOCAL%20.pdf?ver=1733263988791</t>
  </si>
  <si>
    <t>Washington DC - P18+ past 30 days users of CAVA QSRs</t>
  </si>
  <si>
    <t>Washington DC - P18+ past 30 days users of DISTRICT TACO QSRs</t>
  </si>
  <si>
    <t>Washington DC - P18+ past 30 days users of JERRY'S SUBS &amp; PIZZA QSRs</t>
  </si>
  <si>
    <t>Washington DC - P18+ past 30 days users of LEDO PIZZA QSRs</t>
  </si>
  <si>
    <t>Washington DC - P18+ past 30 days users of TATTE BAKERY &amp; CAFE QSRs</t>
  </si>
  <si>
    <t>USA - P18+ Flew on SOUTHWEST Airlines in the past 12 months</t>
  </si>
  <si>
    <t>Chicago - P18+ Flew on SOUTHWEST Airlines in the past 12 months</t>
  </si>
  <si>
    <t>Washington, DC - P18+ Flew on SOUTHWEST Airlines in the past 12 months</t>
  </si>
  <si>
    <t>Seattle - P18+ Flew on SOUTHWEST Airlines in the past 12 months</t>
  </si>
  <si>
    <t>Phoenix - P18+ Flew on SOUTHWEST Airlines in the past 12 months</t>
  </si>
  <si>
    <t>Minneapolis - P18+ Flew on SOUTHWEST Airlines in the past 12 months</t>
  </si>
  <si>
    <t>St. Louis - P18+ Flew on SOUTHWEST Airlines in the past 12 months</t>
  </si>
  <si>
    <t>Cincinnati - P18+ Flew on SOUTHWEST Airlines in the past 12 months</t>
  </si>
  <si>
    <t>West Palm Beach - P18+ Flew on SOUTHWEST Airlines in the past 12 months</t>
  </si>
  <si>
    <t>https://img1.wsimg.com/blobby/go/fa91e93a-72dd-4def-b76d-173477e02dd0/downloads/497f6143-f40d-4baf-b032-f861b69e0b22/HUBBARD%20-%20USA%2B4%20DMAs%20of%20P18%2B%20WHO%20FLEW%20ON%20SOUTH.pdf?ver=1733425606409</t>
  </si>
  <si>
    <t>https://img1.wsimg.com/blobby/go/fa91e93a-72dd-4def-b76d-173477e02dd0/downloads/0faa3fff-adf4-45dd-9237-0757d508ef18/HUBBARD%20-%20USA%2B4%20MORE%20DMAs%20of%20P18%2B%20WHO%20FLEW%20SOU.pdf?ver=1733425586092</t>
  </si>
  <si>
    <t>https://img1.wsimg.com/blobby/go/fa91e93a-72dd-4def-b76d-173477e02dd0/downloads/1c1cedca-2693-4b52-b227-747673fe5e01/HUBBARD%20-%20USA%2B4%20DMAs%20of%20P18%2B%20WHO%20USED%20STARBUCK.pdf?ver=1733517623084</t>
  </si>
  <si>
    <t>https://img1.wsimg.com/blobby/go/fa91e93a-72dd-4def-b76d-173477e02dd0/downloads/a3f4a496-21be-45ec-8bcd-e41de039c352/HUBBARD%20-%20USA%2B4MORE%20DMAs%20of%20P18%2B%20WHO%20USED%20STAR.pdf?ver=1733517590593</t>
  </si>
  <si>
    <t>USA - P18+ used STARBUCKS in the past 30 days</t>
  </si>
  <si>
    <t>Chicago - P18+ used STARBUCKS in the past 30 days</t>
  </si>
  <si>
    <t>Washington, DC - P18+ used STARBUCKS in the past 30 days</t>
  </si>
  <si>
    <t>Seattle - P18+ used STARBUCKS in the past 30 days</t>
  </si>
  <si>
    <t>Phoenix - P18+ used STARBUCKS in the past 30 days</t>
  </si>
  <si>
    <t>Minneapolis - P18+ used STARBUCKS in the past 30 days</t>
  </si>
  <si>
    <t>St. Louis - P18+ used STARBUCKS in the past 30 days</t>
  </si>
  <si>
    <t>Cincinnati - P18+ used STARBUCKS in the past 30 days</t>
  </si>
  <si>
    <t>West Palm Beach - P18+ used STARBUCKS in the past 30 days</t>
  </si>
  <si>
    <t>USA - P18+ Own and Use an APPLE iPHONE Smartphone</t>
  </si>
  <si>
    <t>https://img1.wsimg.com/blobby/go/fa91e93a-72dd-4def-b76d-173477e02dd0/downloads/76260817-a1b4-4419-b1c2-8c1872580380/HUBBARD%20-%20USA%2B4%20DMAs%20of%20P18%2B%20WHO%20OWN%20AND%20USE%20A.pdf?ver=1733776094282</t>
  </si>
  <si>
    <t>Chicago - P18+ Own and Use an APPLE iPHONE Smartphone</t>
  </si>
  <si>
    <t>Washington, DC - P18+ Own and Use an APPLE iPHONE Smartphone</t>
  </si>
  <si>
    <t>Seattle - P18+ Own and Use an APPLE iPHONE Smartphone</t>
  </si>
  <si>
    <t>Phoenix - P18+ Own and Use an APPLE iPHONE Smartphone</t>
  </si>
  <si>
    <t>Minneapolis - P18+ Own and Use an APPLE iPHONE Smartphone</t>
  </si>
  <si>
    <t>https://img1.wsimg.com/blobby/go/fa91e93a-72dd-4def-b76d-173477e02dd0/downloads/d2218af7-db10-4966-aa5f-6a15377adbff/HUBBARD%20-%20USA%2B4MORE%20DMAs%20of%20P18%2B%20WHO%20OWN%20AND%20U.pdf?ver=1733776126865</t>
  </si>
  <si>
    <t>St. Louis - P18+ Own and Use an APPLE iPHONE Smartphone</t>
  </si>
  <si>
    <t>Cincinnati - P18+ Own and Use an APPLE iPHONE Smartphone</t>
  </si>
  <si>
    <t>West Palm Beach - P18+ Own and Use an APPLE iPHONE Smartphone</t>
  </si>
  <si>
    <t>https://img1.wsimg.com/blobby/go/fa91e93a-72dd-4def-b76d-173477e02dd0/downloads/0c3adb5b-705b-44b2-b656-25291eb46626/HUBBARD%20-%20USA%2B4%20DMAs%20of%20P18%2B%20WHO%20SHOPPED%20AT%20AL.pdf?ver=1733948361570</t>
  </si>
  <si>
    <t>https://img1.wsimg.com/blobby/go/fa91e93a-72dd-4def-b76d-173477e02dd0/downloads/386ff53c-4b08-4926-a315-669e5c8cb01e/HUBBARD%20-%20USA%2B4%20DMAs%20of%20P18%2B%20WHO%20SHOPPED%20AT%20TR.pdf?ver=1733948386123</t>
  </si>
  <si>
    <t>USA - P18+ Shopped for Groceries at ALDI in the past 7 days</t>
  </si>
  <si>
    <t>Chicago - P18+ Shopped for Groceries at ALDI in the past 7 days</t>
  </si>
  <si>
    <t>Minneapolis - P18+ Shopped for Groceries at ALDI in the past 7 days</t>
  </si>
  <si>
    <t>St. Louis - P18+ Shopped for Groceries at ALDI in the past 7 days</t>
  </si>
  <si>
    <t>Washington, DC - P18+ Shopped for Groceries at ALDI in the past 7 days</t>
  </si>
  <si>
    <t>USA - P18+ Shopped for Groceries at TRADER JOE'S in the past 7 days</t>
  </si>
  <si>
    <t>Chicago - P18+ Shopped for Groceries at TRADER JOE'S in the past 7 days</t>
  </si>
  <si>
    <t>Minneapolis - P18+ Shopped for Groceries at TRADER JOE'S in the past 7 days</t>
  </si>
  <si>
    <t>St. Louis - P18+ Shopped for Groceries at TRADER JOE'S in the past 7 days</t>
  </si>
  <si>
    <t>Washington, DC - P18+ Shopped for Groceries at TRADER JOE'S in the past 7 days</t>
  </si>
  <si>
    <t>https://img1.wsimg.com/blobby/go/fa91e93a-72dd-4def-b76d-173477e02dd0/downloads/ec9b4957-673d-4cb6-b605-0a7cb4bf5222/HUBBARD%20-%20USA%2B4%20DMAs%20of%20P18%2B%20WHO%20ARE%20COVERED%20B.pdf?ver=1734100626273</t>
  </si>
  <si>
    <t>https://img1.wsimg.com/blobby/go/fa91e93a-72dd-4def-b76d-173477e02dd0/downloads/dbe208a5-ac6c-4182-bd39-760bcaf13d5a/HUBBARD%20-%20USA%2B4MORE%20DMAs%20of%20P18%2B%20WHO%20ARE%20COVER.pdf?ver=1734100576075</t>
  </si>
  <si>
    <t>USA - P18+ who use UnitedHealthcare as their Health Insurance Provider</t>
  </si>
  <si>
    <t>Chicago - P18+ who use UnitedHealthcare as their Health Insurance Provider</t>
  </si>
  <si>
    <t>Washington, DC - P18+ who use UnitedHealthcare as their Health Insurance Provider</t>
  </si>
  <si>
    <t>Seattle - P18+ who use UnitedHealthcare as their Health Insurance Provider</t>
  </si>
  <si>
    <t>Phoenix - P18+ who use UnitedHealthcare as their Health Insurance Provider</t>
  </si>
  <si>
    <t>Minneapolis - P18+ who use UnitedHealthcare as their Health Insurance Provider</t>
  </si>
  <si>
    <t>St. Louis - P18+ who use UnitedHealthcare as their Health Insurance Provider</t>
  </si>
  <si>
    <t>Cincinnati - P18+ who use UnitedHealthcare as their Health Insurance Provider</t>
  </si>
  <si>
    <t>West Palm Beach - P18+ who use UnitedHealthcare as their Health Insurance Provider</t>
  </si>
  <si>
    <t>Minneapolis - P25+ Single-Family Homeowners who used a PEST CONTROL Service past 12mos</t>
  </si>
  <si>
    <t>USA - P18+ who Live in a Household with One or More SMART SPEAKERS</t>
  </si>
  <si>
    <t>Chicago - P18+ who Live in a Household with One or More SMART SPEAKERS</t>
  </si>
  <si>
    <t>Washington, DC - P18+ who Live in a Household with One or More SMART SPEAKERS</t>
  </si>
  <si>
    <t>Seattle - P18+ who Live in a Household with One or More SMART SPEAKERS</t>
  </si>
  <si>
    <t>Phoenix - P18+ who Live in a Household with One or More SMART SPEAKERS</t>
  </si>
  <si>
    <t>Minneapolis - P18+ who Live in a Household with One or More SMART SPEAKERS</t>
  </si>
  <si>
    <t>St. Louis - P18+ who Live in a Household with One or More SMART SPEAKERS</t>
  </si>
  <si>
    <t>Cincinnati - P18+ who Live in a Household with One or More SMART SPEAKERS</t>
  </si>
  <si>
    <t>West Palm Beach - P18+ who Live in a Household with One or More SMART SPEAKERS</t>
  </si>
  <si>
    <t>https://img1.wsimg.com/blobby/go/fa91e93a-72dd-4def-b76d-173477e02dd0/downloads/cf321c07-38c9-4b9a-ab9a-6c84baab19eb/HUBBARD%20-%20Minneapolis-St.%20Paul%20-%20PLUNKETT_S%20PE.pdf?ver=1734385457715</t>
  </si>
  <si>
    <t>https://img1.wsimg.com/blobby/go/fa91e93a-72dd-4def-b76d-173477e02dd0/downloads/a3e3233b-bb5c-4dd3-8963-b85c67b8a68b/HUBBARD%20-%20USA%2B4%20DMAs%20of%20P18%2B%20IN%20HOUSEHOLDS%20WIT.pdf?ver=1734385609671</t>
  </si>
  <si>
    <t>https://img1.wsimg.com/blobby/go/fa91e93a-72dd-4def-b76d-173477e02dd0/downloads/cd65c55e-b955-48f6-8303-8403fb576324/HUBBARD%20-%20USA%2B4MORE%20DMAs%20of%20P18%2B%20IN%20HHS%20WITH%20O.pdf?ver=1734385630873</t>
  </si>
  <si>
    <t>https://img1.wsimg.com/blobby/go/fa91e93a-72dd-4def-b76d-173477e02dd0/downloads/7b6acc42-5bf5-40ed-93d5-42348338056b/HUBBARD%20-%20USA%2B4%20DMAs%20of%20P18%2B%20PURCHASED%20ITEMS%20I.pdf?ver=1734540286776</t>
  </si>
  <si>
    <t>https://img1.wsimg.com/blobby/go/fa91e93a-72dd-4def-b76d-173477e02dd0/downloads/ff7996d5-5b5b-47b1-973d-377eced23964/HUBBARD%20-%20USA%2B4addlDMAs%20of%20P18%2B%20PURCHASED%20ITEM.pdf?ver=1734540314128</t>
  </si>
  <si>
    <t>USA - P18+ who Purchased Items In-Store at COSTCO in the past 3 months</t>
  </si>
  <si>
    <t>Chicago - P18+ who Purchased Items In-Store at COSTCO in the past 3 months</t>
  </si>
  <si>
    <t>Washington, DC - P18+ who Purchased Items In-Store at COSTCO in the past 3 months</t>
  </si>
  <si>
    <t>Seattle - P18+ who Purchased Items In-Store at COSTCO in the past 3 months</t>
  </si>
  <si>
    <t>Phoenix - P18+ who Purchased Items In-Store at COSTCO in the past 3 months</t>
  </si>
  <si>
    <t>Minneapolis - P18+ who Purchased Items In-Store at COSTCO in the past 3 months</t>
  </si>
  <si>
    <t>St. Louis - P18+ who Purchased Items In-Store at COSTCO in the past 3 months</t>
  </si>
  <si>
    <t>Cincinnati - P18+ who Purchased Items In-Store at COSTCO in the past 3 months</t>
  </si>
  <si>
    <t>West Palm Beach - P18+ who Purchased Items In-Store at COSTCO in the past 3 months</t>
  </si>
  <si>
    <t>https://img1.wsimg.com/blobby/go/fa91e93a-72dd-4def-b76d-173477e02dd0/downloads/38f4e8e7-aa2a-4a2e-a1ea-f9f0cc421a96/HUBBARD%20-%20USA-3METROS%20-%20P21%2BBUYERS%20OF%20ADULT%20BE.pdf?ver=1734721683524</t>
  </si>
  <si>
    <t>https://img1.wsimg.com/blobby/go/fa91e93a-72dd-4def-b76d-173477e02dd0/downloads/1bc96f7d-5832-42ac-96ca-0ea17945a800/HUBBARD%20-%20USA-3addlMETROS%20-%20P21%2BBUYERS%20OF%20ADUL.pdf?ver=1734721650252</t>
  </si>
  <si>
    <t>Seattle - P21+ past 30 days Wine/Liquor/Beer Store Shoppers w/in 5mi of TOTAL WINE &amp; MORE</t>
  </si>
  <si>
    <t>Phoenix - P21+ past 30 days Wine/Liquor/Beer Store Shoppers w/in 5mi of TOTAL WINE &amp; MORE</t>
  </si>
  <si>
    <t>Washington, DC - P21+ past 30 days Wine/Liquor/Beer Store Shoppers w/in 5mi of TOTAL WINE &amp; MORE</t>
  </si>
  <si>
    <t>Minneapolis - P21+ past 30 days Wine/Liquor/Beer Store Shoppers w/in 5mi of TOTAL WINE &amp; MORE</t>
  </si>
  <si>
    <t>St. Louis - P21+ past 30 days Wine/Liquor/Beer Store Shoppers w/in 5mi of TOTAL WINE &amp; MORE</t>
  </si>
  <si>
    <t>West Palm Beach - P21+ past 30 days Wine/Liquor/Beer Store Shoppers w/in 5mi of TOTAL WINE &amp; MORE</t>
  </si>
  <si>
    <t>USA - P18+ who Plan to Get Married in the next 12mos (Shane Co. Jeweler)</t>
  </si>
  <si>
    <t>Chicago - P18+ who Plan to Get Married in the next 12mos (Shane Co. Jeweler)</t>
  </si>
  <si>
    <t>Washington, DC - P18+ who Plan to Get Married in the next 12mos (Shane Co. Jeweler)</t>
  </si>
  <si>
    <t>Seattle - P18+ who Plan to Get Married in the next 12mos (Shane Co. Jeweler)</t>
  </si>
  <si>
    <t>Phoenix - P18+ who Plan to Get Married in the next 12mos (Shane Co. Jeweler)</t>
  </si>
  <si>
    <t>Minneapolis - P18+ who Plan to Get Married in the next 12mos (Shane Co. Jeweler)</t>
  </si>
  <si>
    <t>St. Louis - P18+ who Plan to Get Married in the next 12mos (Shane Co. Jeweler)</t>
  </si>
  <si>
    <t>Cincinnati - P18+ who Plan to Get Married in the next 12mos (Shane Co. Jeweler)</t>
  </si>
  <si>
    <t>West Palm Beach - P18+ who Plan to Get Married in the next 12mos (Shane Co. Jeweler)</t>
  </si>
  <si>
    <t>https://img1.wsimg.com/blobby/go/fa91e93a-72dd-4def-b76d-173477e02dd0/downloads/b696efe6-8398-476c-b350-242b9107bdbb/HUBBARD%20-%20USA%2B4DMAs%20-%20P18%2B%20PLAN%20TO%20GET%20MARRIED.pdf?ver=1735251642269</t>
  </si>
  <si>
    <t>https://img1.wsimg.com/blobby/go/fa91e93a-72dd-4def-b76d-173477e02dd0/downloads/e09cb62d-603e-4f00-804b-729f97bbf6d4/HUBBARD%20-%20USA%2B4ADDL%20DMAs%20-%20P18%2B%20PLAN%20TO%20GET%20MA.pdf?ver=1735251663850</t>
  </si>
  <si>
    <t>https://img1.wsimg.com/blobby/go/fa91e93a-72dd-4def-b76d-173477e02dd0/downloads/7e7ac40a-3575-4c39-8c30-6114b6291aad/HUBBARD%20-%20USA%2B4DMAs%20-%20P18%2B%20FULL-TIME%20GOVERNMEN.pdf?ver=1735596398956</t>
  </si>
  <si>
    <t>https://img1.wsimg.com/blobby/go/fa91e93a-72dd-4def-b76d-173477e02dd0/downloads/104abada-2c55-433f-bb80-d9a0f3ded8d8/HUBBARD%20-%20USA%2B4MORE%20DMAs%20-%20P18%2B%20FULL-TIME%20GOVE.pdf?ver=1735596438721</t>
  </si>
  <si>
    <t>USA - P18+ who Work Full-Time in Federal/State/Local GOVERNMENT Jobs</t>
  </si>
  <si>
    <t>Chicago - P18+ who Work Full-Time in Federal/State/Local GOVERNMENT Jobs</t>
  </si>
  <si>
    <t>Washington, DC - P18+ who Work Full-Time in Federal/State/Local GOVERNMENT Jobs</t>
  </si>
  <si>
    <t>Seattle - P18+ who Work Full-Time in Federal/State/Local GOVERNMENT Jobs</t>
  </si>
  <si>
    <t>Phoenix - P18+ who Work Full-Time in Federal/State/Local GOVERNMENT Jobs</t>
  </si>
  <si>
    <t>Minneapolis - P18+ who Work Full-Time in Federal/State/Local GOVERNMENT Jobs</t>
  </si>
  <si>
    <t>St. Louis - P18+ who Work Full-Time in Federal/State/Local GOVERNMENT Jobs</t>
  </si>
  <si>
    <t>Cincinnati - P18+ who Work Full-Time in Federal/State/Local GOVERNMENT Jobs</t>
  </si>
  <si>
    <t>West Palm Beach - P18+ who Work Full-Time in Federal/State/Local GOVERNMENT Jobs</t>
  </si>
  <si>
    <t>https://img1.wsimg.com/blobby/go/fa91e93a-72dd-4def-b76d-173477e02dd0/downloads/a381070e-56d3-405a-898a-710dcb17e3fc/HUBBARD%20-%20USA%2B4DMAs%20-%20P21%2BBUYERS%20OF%20%2410%20OR%20LES.pdf?ver=1735855640003</t>
  </si>
  <si>
    <t>https://img1.wsimg.com/blobby/go/fa91e93a-72dd-4def-b76d-173477e02dd0/downloads/5e11b7ba-4179-4503-ae04-b67a63af3bc4/HUBBARD%20-%20USA%2B4MoreDMAs%20-%20P21%2BBUYERS%20OF%20%2410%20OR.pdf?ver=1735855662594</t>
  </si>
  <si>
    <t>USA - P21+ purchasing $10(or less) bottles of RED Wine at Stores past 30 days</t>
  </si>
  <si>
    <t>Chicago - P21+ purchasing $10(or less) bottles of RED Wine at Stores past 30 days</t>
  </si>
  <si>
    <t>Washington, DC - P21+ purchasing $10(or less) bottles of RED Wine at Stores past 30 days</t>
  </si>
  <si>
    <t>Seattle - P21+ purchasing $10(or less) bottles of RED Wine at Stores past 30 days</t>
  </si>
  <si>
    <t>Phoenix - P21+ purchasing $10(or less) bottles of RED Wine at Stores past 30 days</t>
  </si>
  <si>
    <t>Minneapolis - P21+ purchasing $10(or less) bottles of RED Wine at Stores past 30 days</t>
  </si>
  <si>
    <t>St. Louis - P21+ purchasing $10(or less) bottles of RED Wine at Stores past 30 days</t>
  </si>
  <si>
    <t>Cincinnati - P21+ purchasing $10(or less) bottles of RED Wine at Stores past 30 days</t>
  </si>
  <si>
    <t>West Palm Beach - P21+ purchasing $10(or less) bottles of RED Wine at Stores past 30 days</t>
  </si>
  <si>
    <t>USA - P18+ who used a TAX PREPARATION Service in the past 12 months</t>
  </si>
  <si>
    <t>Chicago - P18+ who used a TAX PREPARATION Service in the past 12 months</t>
  </si>
  <si>
    <t>Washington, DC - P18+ who used a TAX PREPARATION Service in the past 12 months</t>
  </si>
  <si>
    <t>Seattle - P18+ who used a TAX PREPARATION Service in the past 12 months</t>
  </si>
  <si>
    <t>Phoenix - P18+ who used a TAX PREPARATION Service in the past 12 months</t>
  </si>
  <si>
    <t>Minneapolis - P18+ who used a TAX PREPARATION Service in the past 12 months</t>
  </si>
  <si>
    <t>St. Louis - P18+ who used a TAX PREPARATION Service in the past 12 months</t>
  </si>
  <si>
    <t>Cincinnati - P18+ who used a TAX PREPARATION Service in the past 12 months</t>
  </si>
  <si>
    <t>West Palm Beach - P18+ who used a TAX PREPARATION Service in the past 12 months</t>
  </si>
  <si>
    <t>https://img1.wsimg.com/blobby/go/fa91e93a-72dd-4def-b76d-173477e02dd0/downloads/f1bcf47b-3dc3-4af4-a3ad-563c4823483a/HUBBARD%20-%20USA%2B4DMAs%20-%20P18%2B%20PAST%2012MOS%20USERS%20OF.pdf?ver=1735938769516</t>
  </si>
  <si>
    <t>https://img1.wsimg.com/blobby/go/fa91e93a-72dd-4def-b76d-173477e02dd0/downloads/162600eb-64d0-40db-9817-39a31456ddc8/HUBBARD%20-%20USA%2B4MoreDMAs%20-%20P18%2B%20PAST%2012MOS%20USER.pdf?ver=1735938800698</t>
  </si>
  <si>
    <t>https://img1.wsimg.com/blobby/go/fa91e93a-72dd-4def-b76d-173477e02dd0/downloads/1395ce04-2eb7-4a5a-9f6c-67b600fc0339/HUBBARD%20-%20USA%2B4DMAs%20-%20P18%2B%20PTBL%20NEW%20%2430K%2BMSRP%20.zip?ver=1736521991874</t>
  </si>
  <si>
    <t>https://img1.wsimg.com/blobby/go/fa91e93a-72dd-4def-b76d-173477e02dd0/downloads/5314e7c2-1ebd-4a28-b41a-bc21d1b3e159/HUBBARD%20-%20USA%2B4MoreDMAs%20-%20P18%2B%20PTBL%20NEW%20%2430K%2BM.zip?ver=1736521946929</t>
  </si>
  <si>
    <t>https://img1.wsimg.com/blobby/go/fa91e93a-72dd-4def-b76d-173477e02dd0/downloads/af6f78b5-650e-403a-a46d-5694cf364342/HUBBARD%20-%20USA%2B4DMAs%20-%20P18%2B%20PTBL%20NEW%20%2445K%2BMSRP%20.zip?ver=1736521912948</t>
  </si>
  <si>
    <t>https://img1.wsimg.com/blobby/go/fa91e93a-72dd-4def-b76d-173477e02dd0/downloads/8dee39e0-5f31-4044-811c-6848b2dea73e/HUBBARD%20-%20USA%2B4MoreDMAs%20-%20P18%2B%20PTBL%20NEW%20%2445K%2BM.zip?ver=1736521749946</t>
  </si>
  <si>
    <t>https://img1.wsimg.com/blobby/go/fa91e93a-72dd-4def-b76d-173477e02dd0/downloads/dcb870a9-ba78-449c-b060-9baf6b0aaa32/HUBBARD%20-%20USA%2B4DMAs%20-%20P18%2B%20BUYING%20FLOWERS%20ONLI.pdf?ver=1736860402621</t>
  </si>
  <si>
    <t>https://img1.wsimg.com/blobby/go/fa91e93a-72dd-4def-b76d-173477e02dd0/downloads/50bcfb1e-8220-42fb-bdc0-eb301d6825e0/HUBBARD%20-%20USA%2B4MoreDMAs%20-%20P18%2B%20BUYING%20FLOWERS%20.pdf?ver=1736860435029</t>
  </si>
  <si>
    <t>USA - P18+ who Plan to Buy or Lease a New $30K+MSRP Vehicle 12 months</t>
  </si>
  <si>
    <t>Chicago - P18+ who Plan to Buy or Lease a New $30K+MSRP Vehicle 12 months</t>
  </si>
  <si>
    <t>Washington, DC - P18+ who Plan to Buy or Lease a New $30K+MSRP Vehicle 12 months</t>
  </si>
  <si>
    <t>Seattle - P18+ who Plan to Buy or Lease a New $30K+MSRP Vehicle 12 months</t>
  </si>
  <si>
    <t>Phoenix - P18+ who Plan to Buy or Lease a New $30K+MSRP Vehicle 12 months</t>
  </si>
  <si>
    <t>Minneapolis - P18+ who Plan to Buy or Lease a New $30K+MSRP Vehicle 12 months</t>
  </si>
  <si>
    <t>St. Louis - P18+ who Plan to Buy or Lease a New $30K+MSRP Vehicle 12 months</t>
  </si>
  <si>
    <t>Cincinnati - P18+ who Plan to Buy or Lease a New $30K+MSRP Vehicle 12 months</t>
  </si>
  <si>
    <t>West Palm Beach - P18+ who Plan to Buy or Lease a New $30K+MSRP Vehicle 12 months</t>
  </si>
  <si>
    <t>USA - P18+ who Plan to Buy or Lease a New $45K+MSRP Vehicle 12 months</t>
  </si>
  <si>
    <t>Chicago - P18+ who Plan to Buy or Lease a New $45K+MSRP Vehicle 12 months</t>
  </si>
  <si>
    <t>Washington, DC - P18+ who Plan to Buy or Lease a New $45K+MSRP Vehicle 12 months</t>
  </si>
  <si>
    <t>Seattle - P18+ who Plan to Buy or Lease a New $45K+MSRP Vehicle 12 months</t>
  </si>
  <si>
    <t>Phoenix - P18+ who Plan to Buy or Lease a New $45K+MSRP Vehicle 12 months</t>
  </si>
  <si>
    <t>Minneapolis - P18+ who Plan to Buy or Lease a New $45K+MSRP Vehicle 12 months</t>
  </si>
  <si>
    <t>St. Louis - P18+ who Plan to Buy or Lease a New $45K+MSRP Vehicle 12 months</t>
  </si>
  <si>
    <t>Cincinnati - P18+ who Plan to Buy or Lease a New $45K+MSRP Vehicle 12 months</t>
  </si>
  <si>
    <t>West Palm Beach - P18+ who Plan to Buy or Lease a New $45K+MSRP Vehicle 12 months</t>
  </si>
  <si>
    <t>USA - P18+ who Purchased FLOWERS Online in the past 6 months</t>
  </si>
  <si>
    <t>Chicago - P18+ who Purchased FLOWERS Online in the past 6 months</t>
  </si>
  <si>
    <t>Washington, DC - P18+ who Purchased FLOWERS Online in the past 6 months</t>
  </si>
  <si>
    <t>Seattle - P18+ who Purchased FLOWERS Online in the past 6 months</t>
  </si>
  <si>
    <t>Phoenix - P18+ who Purchased FLOWERS Online in the past 6 months</t>
  </si>
  <si>
    <t>Minneapolis - P18+ who Purchased FLOWERS Online in the past 6 months</t>
  </si>
  <si>
    <t>St. Louis - P18+ who Purchased FLOWERS Online in the past 6 months</t>
  </si>
  <si>
    <t>Cincinnati - P18+ who Purchased FLOWERS Online in the past 6 months</t>
  </si>
  <si>
    <t>West Palm Beach - P18+ who Purchased FLOWERS Online in the past 6 months</t>
  </si>
  <si>
    <t>https://img1.wsimg.com/blobby/go/fa91e93a-72dd-4def-b76d-173477e02dd0/downloads/3e8d921c-938c-415c-96dc-a6093e2c33cb/HUBBARD%20-%20USA%2B4DMAs%20-%20P18%2B%20READERS%20OF%20ALTERNAT.zip?ver=1737046409338</t>
  </si>
  <si>
    <t>https://img1.wsimg.com/blobby/go/fa91e93a-72dd-4def-b76d-173477e02dd0/downloads/7b7e2b60-d2cc-412e-a496-c43d3dc4cc67/HUBBARD%20-%20CHICAGO%20-%20SIX%20FLAGS%20-%20P25-49%20VISITOR.pdf?ver=1737046437425</t>
  </si>
  <si>
    <t>https://img1.wsimg.com/blobby/go/fa91e93a-72dd-4def-b76d-173477e02dd0/downloads/382a09e3-4a15-4c02-adc7-d3a6245d30f1/HUBBARD%20-%20USA%20-%20P18%2B%20BUYERS%20AND%20LESSEES%20OF%20TES.pdf?ver=1737111981120</t>
  </si>
  <si>
    <t>USA - P18+ past 6 months readers of ALTERNATIVE FREE WEEKLY Newspapers</t>
  </si>
  <si>
    <t>Chicago - P18+ past 6 months readers of the CHICAGO READER</t>
  </si>
  <si>
    <t>Cincinnati - P18+ past 6 months readers of CINCINNATI CITY BEAT</t>
  </si>
  <si>
    <t>Phoenix - P18+ past 6 months readers of the PHOENIX NEW TIMES</t>
  </si>
  <si>
    <t>St. Louis - P18+ past 6 months readers of the ST. LOUIS RIVERFRONT TIMES</t>
  </si>
  <si>
    <t>Chicago - P25-49 who visited SIX FLAGS GREAT AMERICA in the past 12 months</t>
  </si>
  <si>
    <t>USA - P18+ Purchasers and Lessees of TESLA MODEL 3 Electric Vehicles</t>
  </si>
  <si>
    <t>USA - P18+ Purchasers and Lessees of TESLA MODEL Y Electric Vehicles</t>
  </si>
  <si>
    <t>USA - P18+ who regularly Play a MUSICAL INSTRUMENT (for Guitar Center)</t>
  </si>
  <si>
    <t>https://img1.wsimg.com/blobby/go/fa91e93a-72dd-4def-b76d-173477e02dd0/downloads/5fece224-409b-42aa-8fcb-636d22ef7b36/HUBBARD%20-%20USA%2B4DMAs%20-%20P18%2B%20WHO%20REGULARLY%20PLAY%20.pdf?ver=1737473519202</t>
  </si>
  <si>
    <t>Chicago - P18+ who regularly Play a MUSICAL INSTRUMENT (for Guitar Center)</t>
  </si>
  <si>
    <t>Washington, DC - P18+ who regularly Play a MUSICAL INSTRUMENT (for Guitar Center)</t>
  </si>
  <si>
    <t>Seattle - P18+ who regularly Play a MUSICAL INSTRUMENT (for Guitar Center)</t>
  </si>
  <si>
    <t>Phoenix - P18+ who regularly Play a MUSICAL INSTRUMENT (for Guitar Center)</t>
  </si>
  <si>
    <t>Minneapolis - P18+ who regularly Play a MUSICAL INSTRUMENT (for Guitar Center)</t>
  </si>
  <si>
    <t>https://img1.wsimg.com/blobby/go/fa91e93a-72dd-4def-b76d-173477e02dd0/downloads/0be66e61-bc2e-4066-9512-742040d1aaaa/HUBBARD%20-%20USA%2B4MoreDMAs%20-%20P18%2B%20WHO%20REGULARLY%20P.pdf?ver=1737473573842</t>
  </si>
  <si>
    <t>St. Louis - P18+ who regularly Play a MUSICAL INSTRUMENT (for Guitar Center)</t>
  </si>
  <si>
    <t>Cincinnati - P18+ who regularly Play a MUSICAL INSTRUMENT (for Guitar Center)</t>
  </si>
  <si>
    <t>West Palm Beach - P18+ who regularly Play a MUSICAL INSTRUMENT (for Guitar Center)</t>
  </si>
  <si>
    <t>https://img1.wsimg.com/blobby/go/fa91e93a-72dd-4def-b76d-173477e02dd0/downloads/2cdbdb11-28ce-4c01-9e5a-f9f38e20cd85/HUBBARD%20-%20USA%2B4DMAs%20-%20P18%2B%20PAST%2030%20DAYS%20USERS%20.pdf?ver=1737496655318</t>
  </si>
  <si>
    <t>https://img1.wsimg.com/blobby/go/fa91e93a-72dd-4def-b76d-173477e02dd0/downloads/e4c50e38-785b-4600-8526-3d74e011fc7b/HUBBARD%20-%20USA%2B4MoreDMAs%20-%20P18%2B%20PAST%2030%20DAYS%20US.pdf?ver=1737496637893</t>
  </si>
  <si>
    <t>USA - P18+ who used TikTok in the past 30 days</t>
  </si>
  <si>
    <t>Chicago - P18+ who used TikTok in the past 30 days</t>
  </si>
  <si>
    <t>Washington, DC - P18+ who used TikTok in the past 30 days</t>
  </si>
  <si>
    <t>Seattle - P18+ who used TikTok in the past 30 days</t>
  </si>
  <si>
    <t>Phoenix - P18+ who used TikTok in the past 30 days</t>
  </si>
  <si>
    <t>Minneapolis - P18+ who used TikTok in the past 30 days</t>
  </si>
  <si>
    <t>St. Louis - P18+ who used TikTok in the past 30 days</t>
  </si>
  <si>
    <t>Cincinnati - P18+ who used TikTok in the past 30 days</t>
  </si>
  <si>
    <t>West Palm Beach - P18+ who used TikTok in the past 30 days</t>
  </si>
  <si>
    <t>USA - P18+ Full-Time White-Collar Workers who Flew to LAS VEGAS past 12mos</t>
  </si>
  <si>
    <t>Chicago - P18+ Full-Time White-Collar Workers who Flew to LAS VEGAS past 12mos</t>
  </si>
  <si>
    <t>Washington, DC - P18+ Full-Time White-Collar Workers who Flew to LAS VEGAS past 12mos</t>
  </si>
  <si>
    <t>Seattle - P18+ Full-Time White-Collar Workers who Flew to LAS VEGAS past 12mos</t>
  </si>
  <si>
    <t>Phoenix - P18+ Full-Time White-Collar Workers who Flew to LAS VEGAS past 12mos</t>
  </si>
  <si>
    <t>Minneapolis - P18+ Full-Time White-Collar Workers who Flew to LAS VEGAS past 12mos</t>
  </si>
  <si>
    <t>St. Louis - P18+ Full-Time White-Collar Workers who Flew to LAS VEGAS past 12mos</t>
  </si>
  <si>
    <t>Cincinnati - P18+ Full-Time White-Collar Workers who Flew to LAS VEGAS past 12mos</t>
  </si>
  <si>
    <t>West Palm Beach - P18+ Full-Time White-Collar Workers who Flew to LAS VEGAS past 12mos</t>
  </si>
  <si>
    <t>St. Louis - P25-54 Parents of Children Ages 6-17 w/in 15mi HENTSCHER-JOHNSON Orthodontics</t>
  </si>
  <si>
    <t>https://img1.wsimg.com/blobby/go/fa91e93a-72dd-4def-b76d-173477e02dd0/downloads/9834adcb-23f8-49be-945f-670c3e24e957/HUBBARD%20-%20St.%20Louis%20-%20HENTSCHER-JOHNSON%20ORTHOD.pdf?ver=1737658200718</t>
  </si>
  <si>
    <t>https://img1.wsimg.com/blobby/go/fa91e93a-72dd-4def-b76d-173477e02dd0/downloads/65c834d3-c829-4416-b288-1e3fc34ba853/HUBBARD%20-%20USA%2B4DMAs%20-%20P18%2B%20FT%20WHITE-COLLAR%20WOR.pdf?ver=1737658152163</t>
  </si>
  <si>
    <t>https://img1.wsimg.com/blobby/go/fa91e93a-72dd-4def-b76d-173477e02dd0/downloads/f13a40c6-d592-467c-aa94-9738c7e0726d/HUBBARD%20-%20USA%2B4MoreDMAs%20-%20P18%2B%20FT%20WHITE-COLLAR.pdf?ver=1737658171838</t>
  </si>
  <si>
    <t>USA - P18+ who consumed Ready-to-Eat BREAKFAST CEREAL past 7 days</t>
  </si>
  <si>
    <t>Chicago - P18+ who consumed Ready-to-Eat BREAKFAST CEREAL past 7 days</t>
  </si>
  <si>
    <t>Washington, DC - P18+ who consumed Ready-to-Eat BREAKFAST CEREAL past 7 days</t>
  </si>
  <si>
    <t>Seattle - P18+ who consumed Ready-to-Eat BREAKFAST CEREAL past 7 days</t>
  </si>
  <si>
    <t>Phoenix - P18+ who consumed Ready-to-Eat BREAKFAST CEREAL past 7 days</t>
  </si>
  <si>
    <t>Minneapolis - P18+ who consumed Ready-to-Eat BREAKFAST CEREAL past 7 days</t>
  </si>
  <si>
    <t>St. Louis - P18+ who consumed Ready-to-Eat BREAKFAST CEREAL past 7 days</t>
  </si>
  <si>
    <t>Cincinnati - P18+ who consumed Ready-to-Eat BREAKFAST CEREAL past 7 days</t>
  </si>
  <si>
    <t>West Palm Beach - P18+ who consumed Ready-to-Eat BREAKFAST CEREAL past 7 days</t>
  </si>
  <si>
    <t>St. Louis - P35+ who listened to BLUES HOCKEY NHL Broadcasts on 101ESPN in 2023-24 Season</t>
  </si>
  <si>
    <t>https://img1.wsimg.com/blobby/go/fa91e93a-72dd-4def-b76d-173477e02dd0/downloads/fdfbae2e-7986-4805-b1c4-85b4505398c5/HUBBARD%20-%20St.%20Louis%20-%20P35%2B%2023-24%20SEASON%20-%20BLUE.pdf?ver=1737990232118</t>
  </si>
  <si>
    <t>https://img1.wsimg.com/blobby/go/fa91e93a-72dd-4def-b76d-173477e02dd0/downloads/38fe8fe5-6d95-41d8-858b-91bd648f1cf6/HUBBARD%20-%20USA%2B4MoreDMAs%20-%20P18%2B%20WEEKLY%20CONSUMER.pdf?ver=1737990251078</t>
  </si>
  <si>
    <t>https://img1.wsimg.com/blobby/go/fa91e93a-72dd-4def-b76d-173477e02dd0/downloads/07afd36c-0253-45c3-b763-f1f381f02427/HUBBARD%20-%20USA%2B4DMAs%20-%20P18%2B%20WEEKLY%20CONSUMERS%20OF.pdf?ver=1737990273819</t>
  </si>
  <si>
    <t>USA - P18+ who Watched the DAYTONA 500 in the past 12mos (2024 Race)</t>
  </si>
  <si>
    <t>https://img1.wsimg.com/blobby/go/fa91e93a-72dd-4def-b76d-173477e02dd0/downloads/c8391e5e-3cc6-420c-ae95-3b5deb83c675/HUBBARD%20-%20USA%2B4DMAs%20-%20P18%2B%20DAYTONA%20500%20NASCAR%20.pdf?ver=1738087099958</t>
  </si>
  <si>
    <t>Chicago - P18+ who Watched the DAYTONA 500 in the past 12mos (2024 Race)</t>
  </si>
  <si>
    <t>Washington, DC - P18+ who Watched the DAYTONA 500 in the past 12mos (2024 Race)</t>
  </si>
  <si>
    <t>Seattle - P18+ who Watched the DAYTONA 500 in the past 12mos (2024 Race)</t>
  </si>
  <si>
    <t>Phoenix - P18+ who Watched the DAYTONA 500 in the past 12mos (2024 Race)</t>
  </si>
  <si>
    <t>Minneapolis - P18+ who Watched the DAYTONA 500 in the past 12mos (2024 Race)</t>
  </si>
  <si>
    <t>https://img1.wsimg.com/blobby/go/fa91e93a-72dd-4def-b76d-173477e02dd0/downloads/7034717c-eee6-4328-a139-7dae60066ad0/HUBBARD%20-%20USA%2B4MoreDMAs%20-%20P18%2B%20DAYTONA%20500%20NAS.pdf?ver=1738087138761</t>
  </si>
  <si>
    <t>St. Louis - P18+ who Watched the DAYTONA 500 in the past 12mos (2024 Race)</t>
  </si>
  <si>
    <t>Cincinnati - P18+ who Watched the DAYTONA 500 in the past 12mos (2024 Race)</t>
  </si>
  <si>
    <t>West Palm Beach - P18+ who Watched the DAYTONA 500 in the past 12mos (2024 Race)</t>
  </si>
  <si>
    <t>Phoenix - $75K+HHI P35-64 Owners of Single-Family Homes (Parker&amp;Sons HVAC)</t>
  </si>
  <si>
    <t>https://img1.wsimg.com/blobby/go/fa91e93a-72dd-4def-b76d-173477e02dd0/downloads/fd8e1bfa-5f38-47d8-b693-e92d88eaa2d9/HUBBARD%20-%20PHOENIX%20-%20PARKER%20%26%20SONS%20-%20MIKE_S%20SHA.pdf?ver=1738100557648</t>
  </si>
  <si>
    <t>Minneapolis - $100K+HHI P35-64 Homeowners who replaced their Roof/Siding</t>
  </si>
  <si>
    <t>Seattle - P18+ Western Wear Apparel AND Boot Buyers 20-mi of BETH WEST</t>
  </si>
  <si>
    <t>https://img1.wsimg.com/blobby/go/fa91e93a-72dd-4def-b76d-173477e02dd0/downloads/fa74827e-e8c3-4269-9074-263be400c50b/HUBBARD%20-%20Minneapolis-St.%20Paul%20-%20KEYSTONE%20BUIL.pdf?ver=1738329398110</t>
  </si>
  <si>
    <t>https://img1.wsimg.com/blobby/go/fa91e93a-72dd-4def-b76d-173477e02dd0/downloads/725fa2e8-58b0-4182-8d9a-653cd56ada7e/HUBBARD%20-%20Seattle%20%20-%20BETH%20WEST%20WESTERN%20STORES-.pdf?ver=1738329423528</t>
  </si>
  <si>
    <t>https://img1.wsimg.com/blobby/go/fa91e93a-72dd-4def-b76d-173477e02dd0/downloads/77a24626-0254-488c-be73-a59968171530/HUBBARD%20-%20USA%2B4DMAs%20-%20P18%2B%20SMALL%20BUSINESS%20OWNE.pdf?ver=1738329585588</t>
  </si>
  <si>
    <t>https://img1.wsimg.com/blobby/go/fa91e93a-72dd-4def-b76d-173477e02dd0/downloads/ae6b73c1-ed83-46b1-a443-89de4531970a/HUBBARD%20-%20USA%2B4MoreDMAs%20-%20P18%2B%20SMALL%20BUSINESS%20.pdf?ver=1738329444346</t>
  </si>
  <si>
    <t>USA - P18+ who Own a SMALL BUSINESS (of Any Type, including WFH)</t>
  </si>
  <si>
    <t>Chicago - P18+ who Own a SMALL BUSINESS (of Any Type, including WFH)</t>
  </si>
  <si>
    <t>Washington, DC - P18+ who Own a SMALL BUSINESS (of Any Type, including WFH)</t>
  </si>
  <si>
    <t>Seattle - P18+ who Own a SMALL BUSINESS (of Any Type, including WFH)</t>
  </si>
  <si>
    <t>Phoenix - P18+ who Own a SMALL BUSINESS (of Any Type, including WFH)</t>
  </si>
  <si>
    <t>Minneapolis - P18+ who Own a SMALL BUSINESS (of Any Type, including WFH)</t>
  </si>
  <si>
    <t>St. Louis - P18+ who Own a SMALL BUSINESS (of Any Type, including WFH)</t>
  </si>
  <si>
    <t>Cincinnati - P18+ who Own a SMALL BUSINESS (of Any Type, including WFH)</t>
  </si>
  <si>
    <t>West Palm Beach - P18+ who Own a SMALL BUSINESS (of Any Type, including WFH)</t>
  </si>
  <si>
    <t>https://img1.wsimg.com/blobby/go/fa91e93a-72dd-4def-b76d-173477e02dd0/downloads/6b39e081-4145-429e-9dbe-5a341314ac68/HUBBARD%20-%20USA%2B4DMAs%20-%20P18%2B%20HAIR%20LOSS%20MEDICATIO.pdf?ver=1738597972555</t>
  </si>
  <si>
    <t>https://img1.wsimg.com/blobby/go/fa91e93a-72dd-4def-b76d-173477e02dd0/downloads/30acd62c-5f44-4c73-9575-ab0ef6ee05eb/HUBBARD%20-%20USA%2B4MoreDMAs%20-%20P18%2B%20HAIR%20LOSS%20MEDIC.pdf?ver=1738597934797</t>
  </si>
  <si>
    <t>USA - P18+ who Purchased HAIR LOSS MEDICATIONS in the past 12 months</t>
  </si>
  <si>
    <t>Chicago - P18+ who Purchased HAIR LOSS MEDICATIONS in the past 12 months</t>
  </si>
  <si>
    <t>Washington, DC - P18+ who Purchased HAIR LOSS MEDICATIONS in the past 12 months</t>
  </si>
  <si>
    <t>Seattle - P18+ who Purchased HAIR LOSS MEDICATIONS in the past 12 months</t>
  </si>
  <si>
    <t>Phoenix - P18+ who Purchased HAIR LOSS MEDICATIONS in the past 12 months</t>
  </si>
  <si>
    <t>Minneapolis - P18+ who Purchased HAIR LOSS MEDICATIONS in the past 12 months</t>
  </si>
  <si>
    <t>St. Louis - P18+ who Purchased HAIR LOSS MEDICATIONS in the past 12 months</t>
  </si>
  <si>
    <t>Cincinnati - P18+ who Purchased HAIR LOSS MEDICATIONS in the past 12 months</t>
  </si>
  <si>
    <t>West Palm Beach - P18+ who Purchased HAIR LOSS MEDICATIONS in the past 12 months</t>
  </si>
  <si>
    <t>https://img1.wsimg.com/blobby/go/fa91e93a-72dd-4def-b76d-173477e02dd0/downloads/e9ab60f3-c472-4add-98e9-0bd1cefad3ad/HUBBARD%20-%20USA%2B4DMAs%20-%20P18%2B%20PAST%2030%20DAYS%20GENEAL.pdf?ver=1738690862737</t>
  </si>
  <si>
    <t>https://img1.wsimg.com/blobby/go/fa91e93a-72dd-4def-b76d-173477e02dd0/downloads/884634e6-aba0-44fb-bc75-8356c9e3567e/HUBBARD%20-%20USA%2B4MoreDMAs%20-%20P18%2B%20PAST%2030%20DAYS%20GE.pdf?ver=1738690922645</t>
  </si>
  <si>
    <t>USA - P18+ past 30 days GENEALOGY App/Website Users (Ancestry.com)</t>
  </si>
  <si>
    <t>Chicago - P18+ past 30 days GENEALOGY App/Website Users (Ancestry.com)</t>
  </si>
  <si>
    <t>Washington, DC - P18+ past 30 days GENEALOGY App/Website Users (Ancestry.com)</t>
  </si>
  <si>
    <t>Seattle - P18+ past 30 days GENEALOGY App/Website Users (Ancestry.com)</t>
  </si>
  <si>
    <t>Phoenix - P18+ past 30 days GENEALOGY App/Website Users (Ancestry.com)</t>
  </si>
  <si>
    <t>Minneapolis - P18+ past 30 days GENEALOGY App/Website Users (Ancestry.com)</t>
  </si>
  <si>
    <t>St. Louis - P18+ past 30 days GENEALOGY App/Website Users (Ancestry.com)</t>
  </si>
  <si>
    <t>Cincinnati - P18+ past 30 days GENEALOGY App/Website Users (Ancestry.com)</t>
  </si>
  <si>
    <t>West Palm Beach - P18+ past 30 days GENEALOGY App/Website Users (Ancestry.com)</t>
  </si>
  <si>
    <t>https://img1.wsimg.com/blobby/go/fa91e93a-72dd-4def-b76d-173477e02dd0/downloads/e5daa42b-772f-46ea-87e0-de97c501260d/HUBBARD%20-%20USA%2B4DMAs%20-%202024%20DATA%20-%20P18%2B%20PAST%2030.pdf?ver=1738783041313</t>
  </si>
  <si>
    <t>https://img1.wsimg.com/blobby/go/fa91e93a-72dd-4def-b76d-173477e02dd0/downloads/3a8eca69-0fc3-445f-af73-03b829e21cd3/HUBBARD%20-%20USA%2B4MoreDMAs%20-%202024%20DATA%20-%20P18%2B%20PAS.pdf?ver=1738783001662</t>
  </si>
  <si>
    <t>USA - P18+ past 30 days Users of the X Social Media Platform (Jan-Sept 2024)</t>
  </si>
  <si>
    <t>Chicago - P18+ past 30 days Users of the X Social Media Platform (Jan-Sept 2024)</t>
  </si>
  <si>
    <t>Washington, DC - P18+ past 30 days Users of the X Social Media Platform (Jan-Sept 2024)</t>
  </si>
  <si>
    <t>Seattle - P18+ past 30 days Users of the X Social Media Platform (Jan-Sept 2024)</t>
  </si>
  <si>
    <t>Phoenix - P18+ past 30 days Users of the X Social Media Platform (Jan-Sept 2024)</t>
  </si>
  <si>
    <t>Minneapolis - P18+ past 30 days Users of the X Social Media Platform (Jan-Sept 2024)</t>
  </si>
  <si>
    <t>St. Louis - P18+ past 30 days Users of the X Social Media Platform (Jan-Sept 2024)</t>
  </si>
  <si>
    <t>Cincinnati - P18+ past 30 days Users of the X Social Media Platform (Jan-Sept 2024)</t>
  </si>
  <si>
    <t>West Palm Beach - P18+ past 30 days Users of the X Social Media Platform (Jan-Sept 2024)</t>
  </si>
  <si>
    <t>https://img1.wsimg.com/blobby/go/fa91e93a-72dd-4def-b76d-173477e02dd0/downloads/17ec239f-61e0-4a52-91f8-91f179c24f91/HUBBARD%20-%20USA%2B4DMAs%20-%20P18%2B%20PAST%2030%20DAYS%20USERS%20.pdf?ver=1738928200797</t>
  </si>
  <si>
    <t>https://img1.wsimg.com/blobby/go/fa91e93a-72dd-4def-b76d-173477e02dd0/downloads/693dbee0-4d2f-489c-aec1-11737b3d7055/HUBBARD%20-%20USA%2B4MoreDMAs%20-%20P18%2B%20PAST%2030%20DAYS%20US.pdf?ver=1738928169728</t>
  </si>
  <si>
    <t>USA - P18+ past 30 days Users of LITTLE CAESARS PIZZA</t>
  </si>
  <si>
    <t>Chicago - P18+ past 30 days Users of LITTLE CAESARS PIZZA</t>
  </si>
  <si>
    <t>Washington, DC - P18+ past 30 days Users of LITTLE CAESARS PIZZA</t>
  </si>
  <si>
    <t>Seattle - P18+ past 30 days Users of LITTLE CAESARS PIZZA</t>
  </si>
  <si>
    <t>Phoenix - P18+ past 30 days Users of LITTLE CAESARS PIZZA</t>
  </si>
  <si>
    <t>Minneapolis - P18+ past 30 days Users of LITTLE CAESARS PIZZA</t>
  </si>
  <si>
    <t>St. Louis - P18+ past 30 days Users of LITTLE CAESARS PIZZA</t>
  </si>
  <si>
    <t>Cincinnati - P18+ past 30 days Users of LITTLE CAESARS PIZZA</t>
  </si>
  <si>
    <t>West Palm Beach - P18+ past 30 days Users of LITTLE CAESARS PIZZA</t>
  </si>
  <si>
    <t>https://img1.wsimg.com/blobby/go/fa91e93a-72dd-4def-b76d-173477e02dd0/downloads/16dcaa31-1d50-4fd3-b6a3-bf9bbc345234/HUBBARD%20-%20USA%2B4DMAs%20-%20P18%2B%20SHOPPED-VISITED-BOU.pdf?ver=1739194421756</t>
  </si>
  <si>
    <t>https://img1.wsimg.com/blobby/go/fa91e93a-72dd-4def-b76d-173477e02dd0/downloads/9cf12626-f694-4c21-96aa-585a6c4346c8/HUBBARD%20-%20USA%2B4MoreDMAs%20-%20P18%2B%20SHOPPED-VISITED.pdf?ver=1739194397689</t>
  </si>
  <si>
    <t>USA - P18+ who Shopped/Visited/Bought past 3 months Due to RADIO ADS</t>
  </si>
  <si>
    <t>Chicago - P18+ who Shopped/Visited/Bought past 3 months Due to RADIO ADS</t>
  </si>
  <si>
    <t>Washington, DC - P18+ who Shopped/Visited/Bought past 3 months Due to RADIO ADS</t>
  </si>
  <si>
    <t>Seattle - P18+ who Shopped/Visited/Bought past 3 months Due to RADIO ADS</t>
  </si>
  <si>
    <t>Phoenix - P18+ who Shopped/Visited/Bought past 3 months Due to RADIO ADS</t>
  </si>
  <si>
    <t>Minneapolis - P18+ who Shopped/Visited/Bought past 3 months Due to RADIO ADS</t>
  </si>
  <si>
    <t>St. Louis - P18+ who Shopped/Visited/Bought past 3 months Due to RADIO ADS</t>
  </si>
  <si>
    <t>Cincinnati - P18+ who Shopped/Visited/Bought past 3 months Due to RADIO ADS</t>
  </si>
  <si>
    <t>West Palm Beach - P18+ who Shopped/Visited/Bought past 3 months Due to RADIO ADS</t>
  </si>
  <si>
    <t>USA - P18+ who Shopped/Visited/Bought past 3 months Due to ADS on STREAMING TV</t>
  </si>
  <si>
    <t>Chicago - P18+ who Shopped/Visited/Bought past 3 months Due to ADS on STREAMING TV</t>
  </si>
  <si>
    <t>Washington, DC - P18+ who Shopped/Visited/Bought past 3 months Due to ADS on STREAMING TV</t>
  </si>
  <si>
    <t>Seattle - P18+ who Shopped/Visited/Bought past 3 months Due to ADS on STREAMING TV</t>
  </si>
  <si>
    <t>Phoenix - P18+ who Shopped/Visited/Bought past 3 months Due to ADS on STREAMING TV</t>
  </si>
  <si>
    <t>Minneapolis - P18+ who Shopped/Visited/Bought past 3 months Due to ADS on STREAMING TV</t>
  </si>
  <si>
    <t>St. Louis - P18+ who Shopped/Visited/Bought past 3 months Due to ADS on STREAMING TV</t>
  </si>
  <si>
    <t>Cincinnati - P18+ who Shopped/Visited/Bought past 3 months Due to ADS on STREAMING TV</t>
  </si>
  <si>
    <t>West Palm Beach - P18+ who Shopped/Visited/Bought past 3 months Due to ADS on STREAMING TV</t>
  </si>
  <si>
    <t>https://img1.wsimg.com/blobby/go/fa91e93a-72dd-4def-b76d-173477e02dd0/downloads/40c959df-6600-46f8-bb2b-93b532359f67/HUBBARD%20-%20USA%2B4MoreDMAs%20-%20P18%2BPAST%203MOS%20ADS%20ON.pdf?ver=1739302786254</t>
  </si>
  <si>
    <t>St. Louis - DMA M25-64 Owners of Single-Family Homes who Mow Their Own Lawn (TORO)</t>
  </si>
  <si>
    <t>https://img1.wsimg.com/blobby/go/fa91e93a-72dd-4def-b76d-173477e02dd0/downloads/449e7c1e-6f51-4597-a632-37f1ecac1598/HUBBARD%20-%20St.%20Louis%20-%20DMA%20-%20M25-64%20MTI%20DISTRIB.pdf?ver=1739369996638</t>
  </si>
  <si>
    <t>https://img1.wsimg.com/blobby/go/fa91e93a-72dd-4def-b76d-173477e02dd0/downloads/8cc77213-aa02-4c06-b5df-10aa60d4a116/HUBBARD%20-%20USA%2B4DMAs%20-%20P18%2BPAST%203MOS%20ADS%20ON%20VID.pdf?ver=1739369976297</t>
  </si>
  <si>
    <t>USA - P18+ who Shopped/Visited/Bought past 3mos Due to ADS on AUDIO STREAMING SVCs</t>
  </si>
  <si>
    <t>https://img1.wsimg.com/blobby/go/fa91e93a-72dd-4def-b76d-173477e02dd0/downloads/459fbfe7-4fa8-4a1b-b9e4-95b66ffa8f5a/HUBBARD%20-%20USA%2B4DMAs%20-%20P18%2B%20ADS%20ON%20AUDIO%20STREAM.pdf?ver=1739398768606</t>
  </si>
  <si>
    <t>Chicago - P18+ who Shopped/Visited/Bought past 3mos Due to ADS on AUDIO STREAMING SVCs</t>
  </si>
  <si>
    <t>Washington, DC - P18+ who Shopped/Visited/Bought past 3mos Due to ADS on AUDIO STREAMING SVCs</t>
  </si>
  <si>
    <t>Seattle - P18+ who Shopped/Visited/Bought past 3mos Due to ADS on AUDIO STREAMING SVCs</t>
  </si>
  <si>
    <t>Phoenix - P18+ who Shopped/Visited/Bought past 3mos Due to ADS on AUDIO STREAMING SVCs</t>
  </si>
  <si>
    <t>Minneapolis - P18+ who Shopped/Visited/Bought past 3mos Due to ADS on AUDIO STREAMING SVCs</t>
  </si>
  <si>
    <t>https://img1.wsimg.com/blobby/go/fa91e93a-72dd-4def-b76d-173477e02dd0/downloads/e0725b24-013a-4b20-9d48-b0da1f563042/HUBBARD%20-%20USA%2B4MoreDMAs%20-%20P18%2B%20ADS%20ON%20AUDIO%20ST.pdf?ver=1739398740132</t>
  </si>
  <si>
    <t>St. Louis - P18+ who Shopped/Visited/Bought past 3mos Due to ADS on AUDIO STREAMING SVCs</t>
  </si>
  <si>
    <t>Cincinnati - P18+ who Shopped/Visited/Bought past 3mos Due to ADS on AUDIO STREAMING SVCs</t>
  </si>
  <si>
    <t>West Palm Beach - P18+ who Shopped/Visited/Bought past 3mos Due to ADS on AUDIO STREAMING SVCs</t>
  </si>
  <si>
    <t>Phoenix - $75K+HHI P35-64 Homeowners who buy Carpet and Duct Cleaning Svcs</t>
  </si>
  <si>
    <t>https://img1.wsimg.com/blobby/go/fa91e93a-72dd-4def-b76d-173477e02dd0/downloads/5dab468a-180e-447b-be9e-8a115afd8f8a/HUBBARD%20-%20PHOENIX%20-%20ALPINE%20SPECIALTY%20SERVICES%20.pdf?ver=1739554746369</t>
  </si>
  <si>
    <t>USA - P18+ who Shopped/Visited/Bought past 3mos Due to ADS on SOCIAL MEDIA</t>
  </si>
  <si>
    <t>Chicago - P18+ who Shopped/Visited/Bought past 3mos Due to ADS on SOCIAL MEDIA</t>
  </si>
  <si>
    <t>Washington, DC - P18+ who Shopped/Visited/Bought past 3mos Due to ADS on SOCIAL MEDIA</t>
  </si>
  <si>
    <t>Seattle - P18+ who Shopped/Visited/Bought past 3mos Due to ADS on SOCIAL MEDIA</t>
  </si>
  <si>
    <t>Phoenix - P18+ who Shopped/Visited/Bought past 3mos Due to ADS on SOCIAL MEDIA</t>
  </si>
  <si>
    <t>Minneapolis - P18+ who Shopped/Visited/Bought past 3mos Due to ADS on SOCIAL MEDIA</t>
  </si>
  <si>
    <t>https://img1.wsimg.com/blobby/go/fa91e93a-72dd-4def-b76d-173477e02dd0/downloads/8c0bf176-6336-420a-be91-394397a69e95/HUBBARD%20-%20USA%2B4MoreDMAs%20-%20P18%2B%20ADS%20ON%20SOCIAL%20M.zip?ver=1739554847689</t>
  </si>
  <si>
    <t>St. Louis - P18+ who Shopped/Visited/Bought past 3mos Due to ADS on SOCIAL MEDIA</t>
  </si>
  <si>
    <t>Cincinnati - P18+ who Shopped/Visited/Bought past 3mos Due to ADS on SOCIAL MEDIA</t>
  </si>
  <si>
    <t>West Palm Beach - P18+ who Shopped/Visited/Bought past 3mos Due to ADS on SOCIAL MEDIA</t>
  </si>
  <si>
    <t>https://img1.wsimg.com/blobby/go/fa91e93a-72dd-4def-b76d-173477e02dd0/downloads/23758a98-a680-4441-ab8f-cd28bde668a2/HUBBARD%20-%20USA%2B4DMAs%20-%20P18%2B%20ADS%20ON%20SOCIAL%20MEDIA.zip?ver=1739558493589</t>
  </si>
  <si>
    <t>USA - P18+ who Shopped/Visited/Bought past 3mos Due to ADS on BROADCAST, CABLE, and SATELLITE TV</t>
  </si>
  <si>
    <t>Chicago - P18+ who Shopped/Visited/Bought past 3mos Due to ADS on BROADCAST, CABLE, and SATELLITE TV</t>
  </si>
  <si>
    <t>Washington, DC - P18+ who Shopped/Visited/Bought past 3mos Due to ADS on BROADCAST, CABLE, and SATELLITE TV</t>
  </si>
  <si>
    <t>Seattle - P18+ who Shopped/Visited/Bought past 3mos Due to ADS on BROADCAST, CABLE, and SATELLITE TV</t>
  </si>
  <si>
    <t>Phoenix - P18+ who Shopped/Visited/Bought past 3mos Due to ADS on BROADCAST, CABLE, and SATELLITE TV</t>
  </si>
  <si>
    <t>Minneapolis - P18+ who Shopped/Visited/Bought past 3mos Due to ADS on BROADCAST, CABLE, and SATELLITE TV</t>
  </si>
  <si>
    <t>St. Louis - P18+ who Shopped/Visited/Bought past 3mos Due to ADS on BROADCAST, CABLE, and SATELLITE TV</t>
  </si>
  <si>
    <t>Cincinnati - P18+ who Shopped/Visited/Bought past 3mos Due to ADS on BROADCAST, CABLE, and SATELLITE TV</t>
  </si>
  <si>
    <t>West Palm Beach - P18+ who Shopped/Visited/Bought past 3mos Due to ADS on BROADCAST, CABLE, and SATELLITE TV</t>
  </si>
  <si>
    <t>https://img1.wsimg.com/blobby/go/fa91e93a-72dd-4def-b76d-173477e02dd0/downloads/d716ae98-417f-42b3-a6c7-7d971ca76d65/HUBBARD%20-%20USA%2B4DMAs%20-%20P18%2B%20ADS%20ON%20BROADCAST%20%26%20.pdf?ver=1739830067112</t>
  </si>
  <si>
    <t>https://img1.wsimg.com/blobby/go/fa91e93a-72dd-4def-b76d-173477e02dd0/downloads/00034a2a-75d7-46e8-8db4-41a682414814/HUBBARD%20-%20USA%2B4MoreDMAs%20-%20P18%2B%20ADS%20ON%20BROADCAS.pdf?ver=1739830043415</t>
  </si>
  <si>
    <t>https://img1.wsimg.com/blobby/go/fa91e93a-72dd-4def-b76d-173477e02dd0/downloads/3cdd8885-3a3f-486a-a0de-b95a8d97a493/HUBBARD%20-%20USA%2B4DMAs%20-%20P18%2B%20ADS%20ON%20BILLBOARDS%20-.pdf?ver=1739971963390</t>
  </si>
  <si>
    <t>https://img1.wsimg.com/blobby/go/fa91e93a-72dd-4def-b76d-173477e02dd0/downloads/d3d59997-6452-40f0-a049-26494d2480e1/HUBBARD%20-%20USA%2B4MoreDMAs%20-%20P18%2B%20ADS%20ON%20BILLBOAR.pdf?ver=1739971917517</t>
  </si>
  <si>
    <t>USA - P18+ who Shopped/Visited/Bought past 3mos Due to ADS on OOH BILLBOARDS</t>
  </si>
  <si>
    <t>Chicago - P18+ who Shopped/Visited/Bought past 3mos Due to ADS on OOH BILLBOARDS</t>
  </si>
  <si>
    <t>Washington, DC - P18+ who Shopped/Visited/Bought past 3mos Due to ADS on OOH BILLBOARDS</t>
  </si>
  <si>
    <t>Seattle - P18+ who Shopped/Visited/Bought past 3mos Due to ADS on OOH BILLBOARDS</t>
  </si>
  <si>
    <t>Phoenix - P18+ who Shopped/Visited/Bought past 3mos Due to ADS on OOH BILLBOARDS</t>
  </si>
  <si>
    <t>Minneapolis - P18+ who Shopped/Visited/Bought past 3mos Due to ADS on OOH BILLBOARDS</t>
  </si>
  <si>
    <t>St. Louis - P18+ who Shopped/Visited/Bought past 3mos Due to ADS on OOH BILLBOARDS</t>
  </si>
  <si>
    <t>Cincinnati - P18+ who Shopped/Visited/Bought past 3mos Due to ADS on OOH BILLBOARDS</t>
  </si>
  <si>
    <t>West Palm Beach - P18+ who Shopped/Visited/Bought past 3mos Due to ADS on OOH BILLBOARDS</t>
  </si>
  <si>
    <t>USA - P18+ who Shopped/Visited/Bought past 3mos Due to ADS on WEBSITES</t>
  </si>
  <si>
    <t>Chicago - P18+ who Shopped/Visited/Bought past 3mos Due to ADS on WEBSITES</t>
  </si>
  <si>
    <t>Washington, DC - P18+ who Shopped/Visited/Bought past 3mos Due to ADS on WEBSITES</t>
  </si>
  <si>
    <t>Seattle - P18+ who Shopped/Visited/Bought past 3mos Due to ADS on WEBSITES</t>
  </si>
  <si>
    <t>Phoenix - P18+ who Shopped/Visited/Bought past 3mos Due to ADS on WEBSITES</t>
  </si>
  <si>
    <t>Minneapolis - P18+ who Shopped/Visited/Bought past 3mos Due to ADS on WEBSITES</t>
  </si>
  <si>
    <t>St. Louis - P18+ who Shopped/Visited/Bought past 3mos Due to ADS on WEBSITES</t>
  </si>
  <si>
    <t>Cincinnati - P18+ who Shopped/Visited/Bought past 3mos Due to ADS on WEBSITES</t>
  </si>
  <si>
    <t>West Palm Beach - P18+ who Shopped/Visited/Bought past 3mos Due to ADS on WEBSITES</t>
  </si>
  <si>
    <t>https://img1.wsimg.com/blobby/go/fa91e93a-72dd-4def-b76d-173477e02dd0/downloads/d6d7c73b-321f-4d05-ae99-7978ae4dcef9/HUBBARD%20-%20USA%2B4DMAs%20-%20P18%2B%20ADS%20ON%20WEBSITES%20-%20s.pdf?ver=1740003598266</t>
  </si>
  <si>
    <t>https://img1.wsimg.com/blobby/go/fa91e93a-72dd-4def-b76d-173477e02dd0/downloads/5bc0468b-e124-42dd-ba05-ae5b6308854a/HUBBARD%20-%20USA%2B4MoreDMAs%20-%20P18%2B%20ADS%20ON%20WEBSITES.pdf?ver=1740003311389</t>
  </si>
  <si>
    <t>USA - P18+ who Shopped/Visited/Bought past 3mos Due to DIRECT MAIL ADS</t>
  </si>
  <si>
    <t>Chicago - P18+ who Shopped/Visited/Bought past 3mos Due to DIRECT MAIL ADS</t>
  </si>
  <si>
    <t>Washington, DC - P18+ who Shopped/Visited/Bought past 3mos Due to DIRECT MAIL ADS</t>
  </si>
  <si>
    <t>Seattle - P18+ who Shopped/Visited/Bought past 3mos Due to DIRECT MAIL ADS</t>
  </si>
  <si>
    <t>Phoenix - P18+ who Shopped/Visited/Bought past 3mos Due to DIRECT MAIL ADS</t>
  </si>
  <si>
    <t>Minneapolis - P18+ who Shopped/Visited/Bought past 3mos Due to DIRECT MAIL ADS</t>
  </si>
  <si>
    <t>St. Louis - P18+ who Shopped/Visited/Bought past 3mos Due to DIRECT MAIL ADS</t>
  </si>
  <si>
    <t>Cincinnati - P18+ who Shopped/Visited/Bought past 3mos Due to DIRECT MAIL ADS</t>
  </si>
  <si>
    <t>West Palm Beach - P18+ who Shopped/Visited/Bought past 3mos Due to DIRECT MAIL ADS</t>
  </si>
  <si>
    <t>https://img1.wsimg.com/blobby/go/fa91e93a-72dd-4def-b76d-173477e02dd0/downloads/fbb16c32-075f-46f8-bd6b-5fb4d8074147/HUBBARD%20-%20USA%2B4MoreDMAs%20-%20P18%2B%20DIRECT%20MAIL%20ADS.pdf?ver=1740160164582</t>
  </si>
  <si>
    <t>https://img1.wsimg.com/blobby/go/fa91e93a-72dd-4def-b76d-173477e02dd0/downloads/fbb16c32-075f-46f8-bd6b-5fb4d8074147/HUBBARD%20-%20USA%2B4MoreDMAs%20-%20P18%2B%20DIRECT%20MAIL%20ADS.pdf?ver=1740160137595</t>
  </si>
  <si>
    <t>St. Louis - P25+ past 3 years users of ST. LUKE'S HOSPITAL</t>
  </si>
  <si>
    <t>USA - P18+ who used a CHICK-FIL-A QSR One or More Times in the past 30 days</t>
  </si>
  <si>
    <t>Chicago - P18+ who used a CHICK-FIL-A QSR One or More Times in the past 30 days</t>
  </si>
  <si>
    <t>Washington, DC - P18+ who used a CHICK-FIL-A QSR One or More Times in the past 30 days</t>
  </si>
  <si>
    <t>Seattle - P18+ who used a CHICK-FIL-A QSR One or More Times in the past 30 days</t>
  </si>
  <si>
    <t>Phoenix - P18+ who used a CHICK-FIL-A QSR One or More Times in the past 30 days</t>
  </si>
  <si>
    <t>Minneapolis - P18+ who used a CHICK-FIL-A QSR One or More Times in the past 30 days</t>
  </si>
  <si>
    <t>St. Louis - P18+ who used a CHICK-FIL-A QSR One or More Times in the past 30 days</t>
  </si>
  <si>
    <t>Cincinnati - P18+ who used a CHICK-FIL-A QSR One or More Times in the past 30 days</t>
  </si>
  <si>
    <t>West Palm Beach - P18+ who used a CHICK-FIL-A QSR One or More Times in the past 30 days</t>
  </si>
  <si>
    <t>https://img1.wsimg.com/blobby/go/fa91e93a-72dd-4def-b76d-173477e02dd0/downloads/b2cbb7b6-3879-4c79-9a1b-7221f7105cf8/HUBBARD%20-%20St.%20Louis%20-%20ST.%20LUKE_S%20HOSPITAL%20-%20EX.pdf?ver=1740492589243</t>
  </si>
  <si>
    <t>https://img1.wsimg.com/blobby/go/fa91e93a-72dd-4def-b76d-173477e02dd0/downloads/46f9f988-243e-41b4-aa81-654cc3888dde/HUBBARD%20-%20USA%2B4DMAs%20-%20P18%2B%20PAST%2030%20DAYS%20CHICK-.pdf?ver=1740492618031</t>
  </si>
  <si>
    <t>https://img1.wsimg.com/blobby/go/fa91e93a-72dd-4def-b76d-173477e02dd0/downloads/91a563e8-9123-42ef-a592-6d39a8cb1d9e/HUBBARD%20-%20USA%2B4MoreDMAs%20-%20P18%2B%20PAST%2030%20DAYS%20CH.pdf?ver=1740492644426</t>
  </si>
  <si>
    <t>USA - P21+ who Played TABLE GAMES at a CASINO in the past 12 months</t>
  </si>
  <si>
    <t>Chicago - P21+ who Played TABLE GAMES at a CASINO in the past 12 months</t>
  </si>
  <si>
    <t>Washington, DC - P21+ who Played TABLE GAMES at a CASINO in the past 12 months</t>
  </si>
  <si>
    <t>Seattle - P21+ who Played TABLE GAMES at a CASINO in the past 12 months</t>
  </si>
  <si>
    <t>Phoenix - P21+ who Played TABLE GAMES at a CASINO in the past 12 months</t>
  </si>
  <si>
    <t>Minneapolis - P21+ who Played TABLE GAMES at a CASINO in the past 12 months</t>
  </si>
  <si>
    <t>St. Louis - P21+ who Played TABLE GAMES at a CASINO in the past 12 months</t>
  </si>
  <si>
    <t>Cincinnati - P21+ who Played TABLE GAMES at a CASINO in the past 12 months</t>
  </si>
  <si>
    <t>West Palm Beach - P21+ who Played TABLE GAMES at a CASINO in the past 12 months</t>
  </si>
  <si>
    <t>https://img1.wsimg.com/blobby/go/fa91e93a-72dd-4def-b76d-173477e02dd0/downloads/90f87b12-12f6-405a-b150-788bedafbcfe/HUBBARD%20-%20USA%2B4DMAs%20-%20P21%2B%20TABLE%20GAMES%20PLAYERS.pdf?ver=1740584601731</t>
  </si>
  <si>
    <t>https://img1.wsimg.com/blobby/go/fa91e93a-72dd-4def-b76d-173477e02dd0/downloads/3c6821d8-84d2-4dbd-add9-d07ba4e0701c/HUBBARD%20-%20USA%2B4MoreDMAs%20-%20P21%2B%20TABLE%20GAMES%20PLA.pdf?ver=1740584581667</t>
  </si>
  <si>
    <t>USA - P18-34 who Attended a TECHNICAL/TRADE/VOCATIONAL School</t>
  </si>
  <si>
    <t>Chicago - P18-34 who Attended a TECHNICAL/TRADE/VOCATIONAL School</t>
  </si>
  <si>
    <t>Washington, DC - P18-34 who Attended a TECHNICAL/TRADE/VOCATIONAL School</t>
  </si>
  <si>
    <t>Seattle - P18-34 who Attended a TECHNICAL/TRADE/VOCATIONAL School</t>
  </si>
  <si>
    <t>Phoenix - P18-34 who Attended a TECHNICAL/TRADE/VOCATIONAL School</t>
  </si>
  <si>
    <t>Minneapolis - P18-34 who Attended a TECHNICAL/TRADE/VOCATIONAL School</t>
  </si>
  <si>
    <t>St. Louis - P18-34 who Attended a TECHNICAL/TRADE/VOCATIONAL School</t>
  </si>
  <si>
    <t>Cincinnati - P18-34 who Attended a TECHNICAL/TRADE/VOCATIONAL School</t>
  </si>
  <si>
    <t>West Palm Beach - P18-34 who Attended a TECHNICAL/TRADE/VOCATIONAL School</t>
  </si>
  <si>
    <t>https://img1.wsimg.com/blobby/go/fa91e93a-72dd-4def-b76d-173477e02dd0/downloads/52a718fb-78c1-473c-988e-a58a2f4fc756/HUBBARD%20-%20USA%2B4DMAs%20-%20P18-34%20-%20TECHNICAL-TRADE.pdf?ver=1740757156712</t>
  </si>
  <si>
    <t>https://img1.wsimg.com/blobby/go/fa91e93a-72dd-4def-b76d-173477e02dd0/downloads/3f777928-07c0-4d01-ab95-54333a5d2274/HUBBARD%20-%20USA%2B4MoreDMAs%20-%20P18-34%20-%20TECHNICAL-T.pdf?ver=1740757120193</t>
  </si>
  <si>
    <t>USA - P18+ who Played PICKLEBALL in the past 12 months</t>
  </si>
  <si>
    <t>Chicago - P18+ who Played PICKLEBALL in the past 12 months</t>
  </si>
  <si>
    <t>Washington, DC - P18+ who Played PICKLEBALL in the past 12 months</t>
  </si>
  <si>
    <t>Seattle - P18+ who Played PICKLEBALL in the past 12 months</t>
  </si>
  <si>
    <t>Phoenix - P18+ who Played PICKLEBALL in the past 12 months</t>
  </si>
  <si>
    <t>Minneapolis - P18+ who Played PICKLEBALL in the past 12 months</t>
  </si>
  <si>
    <t>St. Louis - P18+ who Played PICKLEBALL in the past 12 months</t>
  </si>
  <si>
    <t>Cincinnati - P18+ who Played PICKLEBALL in the past 12 months</t>
  </si>
  <si>
    <t>West Palm Beach - P18+ who Played PICKLEBALL in the past 12 months</t>
  </si>
  <si>
    <t>https://img1.wsimg.com/blobby/go/fa91e93a-72dd-4def-b76d-173477e02dd0/downloads/c090244e-d95f-49de-9423-9c4325e79585/HUBBARD%20-%20USA%2B4DMAs%20-%20P18%2B%20PLAYED%20PICKLEBALL%20I.zip?ver=1741121192904</t>
  </si>
  <si>
    <t>https://img1.wsimg.com/blobby/go/fa91e93a-72dd-4def-b76d-173477e02dd0/downloads/4e314fa6-5a12-4f50-8863-a9e7b97196e6/HUBBARD%20-%20USA%2B4MoreDMAs%20-%20P18%2B%20PLAYED%20PICKLEBA.zip?ver=1741121170006</t>
  </si>
  <si>
    <t>USA - P18+ who Drank COFFEE in the past 7 days</t>
  </si>
  <si>
    <t>Chicago - P18+ who Drank COFFEE in the past 7 days</t>
  </si>
  <si>
    <t>Washington, DC - P18+ who Drank COFFEE in the past 7 days</t>
  </si>
  <si>
    <t>Seattle - P18+ who Drank COFFEE in the past 7 days</t>
  </si>
  <si>
    <t>Phoenix - P18+ who Drank COFFEE in the past 7 days</t>
  </si>
  <si>
    <t>Minneapolis - P18+ who Drank COFFEE in the past 7 days</t>
  </si>
  <si>
    <t>St. Louis - P18+ who Drank COFFEE in the past 7 days</t>
  </si>
  <si>
    <t>Cincinnati - P18+ who Drank COFFEE in the past 7 days</t>
  </si>
  <si>
    <t>West Palm Beach - P18+ who Drank COFFEE in the past 7 days</t>
  </si>
  <si>
    <t>https://img1.wsimg.com/blobby/go/fa91e93a-72dd-4def-b76d-173477e02dd0/downloads/b9e846e2-b1ff-410a-8157-152f9ea092f8/HUBBARD%20-%20USA%2B4DMAs%20-%20P18%2B%20PAST%207%20DAYS%20COFFEE%20.zip?ver=1741276518559</t>
  </si>
  <si>
    <t>https://img1.wsimg.com/blobby/go/fa91e93a-72dd-4def-b76d-173477e02dd0/downloads/3f468ef7-0b4b-4fec-8e9d-760a1dfa1125/HUBBARD%20-%20USA%2B4MoreDMAs%20-%20P18%2B%20PAST%207%20DAYS%20COF.zip?ver=1741276397976</t>
  </si>
  <si>
    <t>USA - P21+ past 12 months MARRIOTT BONVOY Hotel Guests</t>
  </si>
  <si>
    <t>Chicago - P21+ past 12 months MARRIOTT BONVOY Hotel Guests</t>
  </si>
  <si>
    <t>Washington, DC - P21+ past 12 months MARRIOTT BONVOY Hotel Guests</t>
  </si>
  <si>
    <t>Seattle - P21+ past 12 months MARRIOTT BONVOY Hotel Guests</t>
  </si>
  <si>
    <t>Phoenix - P21+ past 12 months MARRIOTT BONVOY Hotel Guests</t>
  </si>
  <si>
    <t>Minneapolis - P21+ past 12 months MARRIOTT BONVOY Hotel Guests</t>
  </si>
  <si>
    <t>St. Louis - P21+ past 12 months MARRIOTT BONVOY Hotel Guests</t>
  </si>
  <si>
    <t>Cincinnati - P21+ past 12 months MARRIOTT BONVOY Hotel Guests</t>
  </si>
  <si>
    <t>West Palm Beach - P21+ past 12 months MARRIOTT BONVOY Hotel Guests</t>
  </si>
  <si>
    <t>https://img1.wsimg.com/blobby/go/fa91e93a-72dd-4def-b76d-173477e02dd0/downloads/5e2e8eb9-012c-41c8-b17c-ce60fb8f8beb/HUBBARD%20-%20USA%2B4DMAs%20-%20P21%2B%20PAST%2012MOS%20MARRIOTT.zip?ver=1741366402716</t>
  </si>
  <si>
    <t>https://img1.wsimg.com/blobby/go/fa91e93a-72dd-4def-b76d-173477e02dd0/downloads/9c372b03-ce7b-4f3a-af9d-6a0974989050/HUBBARD%20-%20USA%2B4MoreDMAs%20-%20P21%2B%20PAST%2012MOS%20MARR.zip?ver=1741366353217</t>
  </si>
  <si>
    <t>USA - P18+ past 30 days Readers of THE WALL STREET JOURNAL (in Print and/or Online)</t>
  </si>
  <si>
    <t>Chicago - P18+ past 30 days Readers of THE WALL STREET JOURNAL (in Print and/or Online)</t>
  </si>
  <si>
    <t>Washington, DC - P18+ past 30 days Readers of THE WALL STREET JOURNAL (in Print and/or Online)</t>
  </si>
  <si>
    <t>Seattle - P18+ past 30 days Readers of THE WALL STREET JOURNAL (in Print and/or Online)</t>
  </si>
  <si>
    <t>Phoenix - P18+ past 30 days Readers of THE WALL STREET JOURNAL (in Print and/or Online)</t>
  </si>
  <si>
    <t>Minneapolis - P18+ past 30 days Readers of THE WALL STREET JOURNAL (in Print and/or Online)</t>
  </si>
  <si>
    <t>St. Louis - P18+ past 30 days Readers of THE WALL STREET JOURNAL (in Print and/or Online)</t>
  </si>
  <si>
    <t>Cincinnati - P18+ past 30 days Readers of THE WALL STREET JOURNAL (in Print and/or Online)</t>
  </si>
  <si>
    <t>West Palm Beach - P18+ past 30 days Readers of THE WALL STREET JOURNAL (in Print and/or Online)</t>
  </si>
  <si>
    <t>https://img1.wsimg.com/blobby/go/fa91e93a-72dd-4def-b76d-173477e02dd0/downloads/c7d09409-3c67-4c2e-b26a-f2996129f97a/HUBBARD%20-%20USA%2B4DMAs%20-%20P18%2B%20WALL%20STREET%20JOURNAL.zip?ver=1741641322715</t>
  </si>
  <si>
    <t>https://img1.wsimg.com/blobby/go/fa91e93a-72dd-4def-b76d-173477e02dd0/downloads/af1523ea-be74-4a00-a43d-98b660e3c810/HUBBARD%20-%20USA%2B4MoreDMAs%20-%20P18%2B%20WALL%20STREET%20JOU.zip?ver=1741641295854</t>
  </si>
  <si>
    <t>USA - P21+ past 12 months BEST WESTERN Hotel Guests</t>
  </si>
  <si>
    <t>https://img1.wsimg.com/blobby/go/fa91e93a-72dd-4def-b76d-173477e02dd0/downloads/96533af8-e567-4c77-82f2-2ab4cb208ebe/HUBBARD%20-%20USA%2B4DMAs%20-%20P21%2B%20PAST%2012MOS%20BEST%20WES.zip?ver=1741720760188</t>
  </si>
  <si>
    <t>Chicago - P21+ past 12 months BEST WESTERN Hotel Guests</t>
  </si>
  <si>
    <t>Washington, DC - P21+ past 12 months BEST WESTERN Hotel Guests</t>
  </si>
  <si>
    <t>Seattle - P21+ past 12 months BEST WESTERN Hotel Guests</t>
  </si>
  <si>
    <t>Phoenix - P21+ past 12 months BEST WESTERN Hotel Guests</t>
  </si>
  <si>
    <t>Minneapolis - P21+ past 12 months BEST WESTERN Hotel Guests</t>
  </si>
  <si>
    <t>https://img1.wsimg.com/blobby/go/fa91e93a-72dd-4def-b76d-173477e02dd0/downloads/96533af8-e567-4c77-82f2-2ab4cb208ebe/HUBBARD%20-%20USA%2B4DMAs%20-%20P21%2B%20PAST%2012MOS%20BEST%20WES.zip?ver=1741720817308</t>
  </si>
  <si>
    <t>St. Louis - P21+ past 12 months BEST WESTERN Hotel Guests</t>
  </si>
  <si>
    <t>Cincinnati - P21+ past 12 months BEST WESTERN Hotel Guests</t>
  </si>
  <si>
    <t>West Palm Beach - P21+ past 12 months BEST WESTERN Hotel Guests</t>
  </si>
  <si>
    <t>USA - P18+ who did NOT Use a DENTIST in the past 12 months</t>
  </si>
  <si>
    <t>Chicago - P18+ who did NOT Use a DENTIST in the past 12 months</t>
  </si>
  <si>
    <t>Washington, DC - P18+ who did NOT Use a DENTIST in the past 12 months</t>
  </si>
  <si>
    <t>Seattle - P18+ who did NOT Use a DENTIST in the past 12 months</t>
  </si>
  <si>
    <t>Phoenix - P18+ who did NOT Use a DENTIST in the past 12 months</t>
  </si>
  <si>
    <t>Minneapolis - P18+ who did NOT Use a DENTIST in the past 12 months</t>
  </si>
  <si>
    <t>St. Louis - P18+ who did NOT Use a DENTIST in the past 12 months</t>
  </si>
  <si>
    <t>Cincinnati - P18+ who did NOT Use a DENTIST in the past 12 months</t>
  </si>
  <si>
    <t>West Palm Beach - P18+ who did NOT Use a DENTIST in the past 12 months</t>
  </si>
  <si>
    <t>https://img1.wsimg.com/blobby/go/fa91e93a-72dd-4def-b76d-173477e02dd0/downloads/834c6481-3ab1-41de-b4c2-95949691c5a9/HUBBARD%20-%20USA%2B4DMAs%20-%20P18%2B%20WHO%20DID%20NOT%20USE%20A%20D.zip?ver=1741800486447</t>
  </si>
  <si>
    <t>https://img1.wsimg.com/blobby/go/fa91e93a-72dd-4def-b76d-173477e02dd0/downloads/a67a5cd1-f748-46be-9531-4564906f5be7/HUBBARD%20-%20USA%2B4MoreDMAs%20-%20P18%2B%20WHO%20DID%20NOT%20USE.zip?ver=1741800464745</t>
  </si>
  <si>
    <t>https://img1.wsimg.com/blobby/go/fa91e93a-72dd-4def-b76d-173477e02dd0/downloads/86eebabd-bae9-4e58-99e7-dbaef076d5f5/HUBBARD%20-%20USA%2B4DMAs%20-%20P35%2B%20HOMEOWNERS%20WHO%20PLAN.zip?ver=1741898137923</t>
  </si>
  <si>
    <t>https://img1.wsimg.com/blobby/go/fa91e93a-72dd-4def-b76d-173477e02dd0/downloads/6d797ef6-351e-40d5-88a8-22cc9be0836c/HUBBARD%20-%20USA%2B4MoreDMAs%20-%20P35%2B%20HOMEOWNERS%20WHO%20.zip?ver=1741898114044</t>
  </si>
  <si>
    <t>USA - P35+ Homeowners who Plan to SELL Their Home in the next 12 months</t>
  </si>
  <si>
    <t>Chicago - P35+ Homeowners who Plan to SELL Their Home in the next 12 months</t>
  </si>
  <si>
    <t>Washington, DC - P35+ Homeowners who Plan to SELL Their Home in the next 12 months</t>
  </si>
  <si>
    <t>Seattle - P35+ Homeowners who Plan to SELL Their Home in the next 12 months</t>
  </si>
  <si>
    <t>Phoenix - P35+ Homeowners who Plan to SELL Their Home in the next 12 months</t>
  </si>
  <si>
    <t>Minneapolis - P35+ Homeowners who Plan to SELL Their Home in the next 12 months</t>
  </si>
  <si>
    <t>St. Louis - P35+ Homeowners who Plan to SELL Their Home in the next 12 months</t>
  </si>
  <si>
    <t>Cincinnati - P35+ Homeowners who Plan to SELL Their Home in the next 12 months</t>
  </si>
  <si>
    <t>West Palm Beach - P35+ Homeowners who Plan to SELL Their Home in the next 12 months</t>
  </si>
  <si>
    <t>USA - P18+ past 7 days users of PUBLIC TRANSPORTATION</t>
  </si>
  <si>
    <t>Chicago - P18+ past 7 days users of PUBLIC TRANSPORTATION</t>
  </si>
  <si>
    <t>Washington, DC - P18+ past 7 days users of PUBLIC TRANSPORTATION</t>
  </si>
  <si>
    <t>Seattle - P18+ past 7 days users of PUBLIC TRANSPORTATION</t>
  </si>
  <si>
    <t>Phoenix - P18+ past 7 days users of PUBLIC TRANSPORTATION</t>
  </si>
  <si>
    <t>Minneapolis - P18+ past 7 days users of PUBLIC TRANSPORTATION</t>
  </si>
  <si>
    <t>St. Louis - P18+ past 7 days users of PUBLIC TRANSPORTATION</t>
  </si>
  <si>
    <t>Cincinnati - P18+ past 7 days users of PUBLIC TRANSPORTATION</t>
  </si>
  <si>
    <t>West Palm Beach - P18+ past 7 days users of PUBLIC TRANSPORTATION</t>
  </si>
  <si>
    <t>https://img1.wsimg.com/blobby/go/fa91e93a-72dd-4def-b76d-173477e02dd0/downloads/af954089-9287-480c-8709-298f6ec20269/HUBBARD%20-%20USA%2B4DMAs%20-%20P18%2B%20WHO%20USED%20PUBLIC%20TRA.zip?ver=1742223613985</t>
  </si>
  <si>
    <t>https://img1.wsimg.com/blobby/go/fa91e93a-72dd-4def-b76d-173477e02dd0/downloads/c83e6120-7912-4afb-9f82-2658797bb04b/HUBBARD%20-%20USA%2B4MoreDMAs%20-%20P18%2B%20WHO%20USED%20PUBLIC.zip?ver=1742223579226</t>
  </si>
  <si>
    <t>USA - $100K+HHI p35-64 Homeowners who Plan to PAINT their Home next 12mos</t>
  </si>
  <si>
    <t>Chicago - $100K+HHI p35-64 Homeowners who Plan to PAINT their Home next 12mos</t>
  </si>
  <si>
    <t>Washington, DC - $100K+HHI p35-64 Homeowners who Plan to PAINT their Home next 12mos</t>
  </si>
  <si>
    <t>Seattle - $100K+HHI p35-64 Homeowners who Plan to PAINT their Home next 12mos</t>
  </si>
  <si>
    <t>Phoenix - $100K+HHI p35-64 Homeowners who Plan to PAINT their Home next 12mos</t>
  </si>
  <si>
    <t>Minneapolis - $100K+HHI p35-64 Homeowners who Plan to PAINT their Home next 12mos</t>
  </si>
  <si>
    <t>St. Louis - $100K+HHI p35-64 Homeowners who Plan to PAINT their Home next 12mos</t>
  </si>
  <si>
    <t>Cincinnati - $100K+HHI p35-64 Homeowners who Plan to PAINT their Home next 12mos</t>
  </si>
  <si>
    <t>West Palm Beach - $100K+HHI p35-64 Homeowners who Plan to PAINT their Home next 12mos</t>
  </si>
  <si>
    <t>https://img1.wsimg.com/blobby/go/fa91e93a-72dd-4def-b76d-173477e02dd0/downloads/adc8922e-4628-484f-8a98-eeaafe83ce27/HUBBARD%20-%20USA%2B4DMAs%20-%20%24100K%2BHHI%20P35-64%20HOMEOWN.zip?ver=1742310280775</t>
  </si>
  <si>
    <t>https://img1.wsimg.com/blobby/go/fa91e93a-72dd-4def-b76d-173477e02dd0/downloads/68a299b8-b720-4827-be78-ba7e74541347/HUBBARD%20-%20USA%2B4MoreDMAs%20-%20%24100K%2BHHI%20P35-64%20HOM.zip?ver=1742310133263</t>
  </si>
  <si>
    <t>USA - P18+ past 7 days Drinkers of RED BULL ENERGY DRINK</t>
  </si>
  <si>
    <t>Chicago - P18+ past 7 days Drinkers of RED BULL ENERGY DRINK</t>
  </si>
  <si>
    <t>Washington, DC - P18+ past 7 days Drinkers of RED BULL ENERGY DRINK</t>
  </si>
  <si>
    <t>Seattle - P18+ past 7 days Drinkers of RED BULL ENERGY DRINK</t>
  </si>
  <si>
    <t>Phoenix - P18+ past 7 days Drinkers of RED BULL ENERGY DRINK</t>
  </si>
  <si>
    <t>Minneapolis - P18+ past 7 days Drinkers of RED BULL ENERGY DRINK</t>
  </si>
  <si>
    <t>St. Louis - P18+ past 7 days Drinkers of RED BULL ENERGY DRINK</t>
  </si>
  <si>
    <t>Cincinnati - P18+ past 7 days Drinkers of RED BULL ENERGY DRINK</t>
  </si>
  <si>
    <t>West Palm Beach - P18+ past 7 days Drinkers of RED BULL ENERGY DRINK</t>
  </si>
  <si>
    <t>https://img1.wsimg.com/blobby/go/fa91e93a-72dd-4def-b76d-173477e02dd0/downloads/8c9febb5-3855-45e8-b93c-1f4a5fbfcdc1/HUBBARD%20-%20USA%2B4DMAs%20-%20P18%2B%20WHO%20DRANK%20RED%20BULL%20.zip?ver=1742393767718</t>
  </si>
  <si>
    <t>https://img1.wsimg.com/blobby/go/fa91e93a-72dd-4def-b76d-173477e02dd0/downloads/8bb2c5ef-e07c-4af8-bd3c-8a403414da9e/HUBBARD%20-%20USA%2B4MoreDMAs%20-%20P18%2B%20WHO%20DRANK%20RED%20B.zip?ver=1742393751906</t>
  </si>
  <si>
    <t>USA - P18+ who went BOWLING One or More Times in the past 12mos</t>
  </si>
  <si>
    <t>Chicago - P18+ who went BOWLING One or More Times in the past 12mos</t>
  </si>
  <si>
    <t>Washington, DC - P18+ who went BOWLING One or More Times in the past 12mos</t>
  </si>
  <si>
    <t>Seattle - P18+ who went BOWLING One or More Times in the past 12mos</t>
  </si>
  <si>
    <t>Phoenix - P18+ who went BOWLING One or More Times in the past 12mos</t>
  </si>
  <si>
    <t>Minneapolis - P18+ who went BOWLING One or More Times in the past 12mos</t>
  </si>
  <si>
    <t>St. Louis - P18+ who went BOWLING One or More Times in the past 12mos</t>
  </si>
  <si>
    <t>Cincinnati - P18+ who went BOWLING One or More Times in the past 12mos</t>
  </si>
  <si>
    <t>West Palm Beach - P18+ who went BOWLING One or More Times in the past 12mos</t>
  </si>
  <si>
    <t>https://img1.wsimg.com/blobby/go/fa91e93a-72dd-4def-b76d-173477e02dd0/downloads/fda7b463-66f2-4e46-8723-b230e1a9551c/HUBBARD%20-%20USA%2B4DMAs%20-%20P18%2B%20WHO%20WENT%20BOWLING%20IN.zip?ver=1742485727476</t>
  </si>
  <si>
    <t>https://img1.wsimg.com/blobby/go/fa91e93a-72dd-4def-b76d-173477e02dd0/downloads/45d1d62b-3921-4b2e-a60d-689b4bd055f6/HUBBARD%20-%20USA%2B4MoreDMAs%20-%20P18%2B%20WHO%20WENT%20BOWLIN.zip?ver=1742485688003</t>
  </si>
  <si>
    <t>USA - P18+ who Used a Paid-Labor AUTO BODY &amp; PAINT SHOP in the past 12mos</t>
  </si>
  <si>
    <t>Chicago - P18+ who Used a Paid-Labor AUTO BODY &amp; PAINT SHOP in the past 12mos</t>
  </si>
  <si>
    <t>Washington, DC - P18+ who Used a Paid-Labor AUTO BODY &amp; PAINT SHOP in the past 12mos</t>
  </si>
  <si>
    <t>Seattle - P18+ who Used a Paid-Labor AUTO BODY &amp; PAINT SHOP in the past 12mos</t>
  </si>
  <si>
    <t>Phoenix - P18+ who Used a Paid-Labor AUTO BODY &amp; PAINT SHOP in the past 12mos</t>
  </si>
  <si>
    <t>Minneapolis - P18+ who Used a Paid-Labor AUTO BODY &amp; PAINT SHOP in the past 12mos</t>
  </si>
  <si>
    <t>St. Louis - P18+ who Used a Paid-Labor AUTO BODY &amp; PAINT SHOP in the past 12mos</t>
  </si>
  <si>
    <t>Cincinnati - P18+ who Used a Paid-Labor AUTO BODY &amp; PAINT SHOP in the past 12mos</t>
  </si>
  <si>
    <t>West Palm Beach - P18+ who Used a Paid-Labor AUTO BODY &amp; PAINT SHOP in the past 12mos</t>
  </si>
  <si>
    <t>https://img1.wsimg.com/blobby/go/fa91e93a-72dd-4def-b76d-173477e02dd0/downloads/0707d8cd-598b-45dd-bc02-d2a1ece4cd01/HUBBARD%20-%20USA%2B4DMAs%20-%20P18%2B%20WHO%20USED%20A%20PAID-LAB.zip?ver=1742583797433</t>
  </si>
  <si>
    <t>https://img1.wsimg.com/blobby/go/fa91e93a-72dd-4def-b76d-173477e02dd0/downloads/18329e0c-d9d7-405d-8457-0d664025c7a5/HUBBARD%20-%20USA%2B4MoreDMAs%20-%20P18%2B%20WHO%20USED%20A%20PAID.zip?ver=1742583825329</t>
  </si>
  <si>
    <t>USA - P18+ who Used a RESTAURANT DELIVERY SERVICE in the past 30 days</t>
  </si>
  <si>
    <t>https://img1.wsimg.com/blobby/go/fa91e93a-72dd-4def-b76d-173477e02dd0/downloads/77a9bfc0-943a-4244-a60a-e432ec3a5108/HUBBARD%20-%20USA%2B4DMAs%20-%20P18%2B%20WHO%20USED%20A%20RESTAURA.zip?ver=1742850181683</t>
  </si>
  <si>
    <t>Chicago - P18+ who Used a RESTAURANT DELIVERY SERVICE in the past 30 days</t>
  </si>
  <si>
    <t>Washington, DC - P18+ who Used a RESTAURANT DELIVERY SERVICE in the past 30 days</t>
  </si>
  <si>
    <t>Seattle - P18+ who Used a RESTAURANT DELIVERY SERVICE in the past 30 days</t>
  </si>
  <si>
    <t>Phoenix - P18+ who Used a RESTAURANT DELIVERY SERVICE in the past 30 days</t>
  </si>
  <si>
    <t>Minneapolis - P18+ who Used a RESTAURANT DELIVERY SERVICE in the past 30 days</t>
  </si>
  <si>
    <t>https://img1.wsimg.com/blobby/go/fa91e93a-72dd-4def-b76d-173477e02dd0/downloads/8d50460f-edaf-4b13-a916-c7ba57b2bed9/HUBBARD%20-%20USA%2B4MoreDMAs%20-%20P18%2B%20WHO%20USED%20A%20REST.zip?ver=1742850144034</t>
  </si>
  <si>
    <t>St. Louis - P18+ who Used a RESTAURANT DELIVERY SERVICE in the past 30 days</t>
  </si>
  <si>
    <t>Cincinnati - P18+ who Used a RESTAURANT DELIVERY SERVICE in the past 30 days</t>
  </si>
  <si>
    <t>West Palm Beach - P18+ who Used a RESTAURANT DELIVERY SERVICE in the past 30 days</t>
  </si>
  <si>
    <t>https://img1.wsimg.com/blobby/go/fa91e93a-72dd-4def-b76d-173477e02dd0/downloads/3d9aa2e7-6afc-4964-8fe4-762e07a00b33/HUBBARD%20-%20USA%2B4DMAs%20-%20P18%2B%20WHO%20PURCHASED%20ALLER.zip?ver=1742935779185</t>
  </si>
  <si>
    <t>https://img1.wsimg.com/blobby/go/fa91e93a-72dd-4def-b76d-173477e02dd0/downloads/ccd32ca3-2468-4034-b0ab-bf964f1d1798/HUBBARD%20-%20USA%2B4MoreDMAs%20-%20P18%2B%20WHO%20PURCHASED%20A.zip?ver=1742935678108</t>
  </si>
  <si>
    <t>USA - P18+ who Purchased ALLERGY MEDICATIONS in the past 12 months</t>
  </si>
  <si>
    <t>Chicago - P18+ who Purchased ALLERGY MEDICATIONS in the past 12 months</t>
  </si>
  <si>
    <t>Washington, DC - P18+ who Purchased ALLERGY MEDICATIONS in the past 12 months</t>
  </si>
  <si>
    <t>Seattle - P18+ who Purchased ALLERGY MEDICATIONS in the past 12 months</t>
  </si>
  <si>
    <t>Phoenix - P18+ who Purchased ALLERGY MEDICATIONS in the past 12 months</t>
  </si>
  <si>
    <t>Minneapolis - P18+ who Purchased ALLERGY MEDICATIONS in the past 12 months</t>
  </si>
  <si>
    <t>St. Louis - P18+ who Purchased ALLERGY MEDICATIONS in the past 12 months</t>
  </si>
  <si>
    <t>Cincinnati - P18+ who Purchased ALLERGY MEDICATIONS in the past 12 months</t>
  </si>
  <si>
    <t>West Palm Beach - P18+ who Purchased ALLERGY MEDICATIONS in the past 12 months</t>
  </si>
  <si>
    <t>https://img1.wsimg.com/blobby/go/fa91e93a-72dd-4def-b76d-173477e02dd0/downloads/28e8db94-79dd-446b-9842-dc280c6a81ee/HUBBARD%20-%20USA%2B4DMAs%20-%20P18%2B%20WHO%20GAVE%20%24100%20OR%20MO.zip?ver=1743085088259</t>
  </si>
  <si>
    <t>https://img1.wsimg.com/blobby/go/fa91e93a-72dd-4def-b76d-173477e02dd0/downloads/e30b5896-b8bf-4819-8ad1-1cfbb24a0383/HUBBARD%20-%20USA%2B4MoreDMAs%20-%20P18%2B%20WHO%20GAVE%20%24100%20O.zip?ver=1743085061685</t>
  </si>
  <si>
    <t>USA - P18+ who Gave $100 or more to PUBLIC Radio in the past 12 months</t>
  </si>
  <si>
    <t>Chicago - P18+ who Gave $100 or more to PUBLIC Radio in the past 12 months</t>
  </si>
  <si>
    <t>Washington, DC - P18+ who Gave $100 or more to PUBLIC Radio in the past 12 months</t>
  </si>
  <si>
    <t>Seattle - P18+ who Gave $100 or more to PUBLIC Radio in the past 12 months</t>
  </si>
  <si>
    <t>Phoenix - P18+ who Gave $100 or more to PUBLIC Radio in the past 12 months</t>
  </si>
  <si>
    <t>Minneapolis - P18+ who Gave $100 or more to PUBLIC Radio in the past 12 months</t>
  </si>
  <si>
    <t>St. Louis - P18+ who Gave $100 or more to PUBLIC Radio in the past 12 months</t>
  </si>
  <si>
    <t>Cincinnati - P18+ who Gave $100 or more to PUBLIC Radio in the past 12 months</t>
  </si>
  <si>
    <t>West Palm Beach - P18+ who Gave $100 or more to PUBLIC Radio in the past 12 months</t>
  </si>
  <si>
    <t>USA - P18+ who Gave an average of $50 to PUBLIC Radio in the past 12 months</t>
  </si>
  <si>
    <t>Chicago - P18+ who Gave an average of $50 to PUBLIC Radio in the past 12 months</t>
  </si>
  <si>
    <t>Washington, DC - P18+ who Gave an average of $50 to PUBLIC Radio in the past 12 months</t>
  </si>
  <si>
    <t>Seattle - P18+ who Gave an average of $50 to PUBLIC Radio in the past 12 months</t>
  </si>
  <si>
    <t>Phoenix - P18+ who Gave an average of $50 to PUBLIC Radio in the past 12 months</t>
  </si>
  <si>
    <t>Minneapolis - P18+ who Gave an average of $50 to PUBLIC Radio in the past 12 months</t>
  </si>
  <si>
    <t>St. Louis - P18+ who Gave an average of $50 to PUBLIC Radio in the past 12 months</t>
  </si>
  <si>
    <t>Cincinnati - P18+ who Gave an average of $50 to PUBLIC Radio in the past 12 months</t>
  </si>
  <si>
    <t>West Palm Beach - P18+ who Gave an average of $50 to PUBLIC Radio in the past 12 months</t>
  </si>
  <si>
    <t>https://img1.wsimg.com/blobby/go/fa91e93a-72dd-4def-b76d-173477e02dd0/downloads/b2bee3ac-35e5-46e4-ac04-baf93b540c41/HUBBARD%20-%20USA%2B4DMAs%20-%20P18%2B%20WHO%20GAVE%20AN%20AVG.%20OF.zip?ver=1743173287751</t>
  </si>
  <si>
    <t>https://img1.wsimg.com/blobby/go/fa91e93a-72dd-4def-b76d-173477e02dd0/downloads/147900d5-e492-4fab-8adb-c46f518fb4ae/HUBBARD%20-%20USA%2B4MoreDMAs%20-%20P18%2B%20WHO%20GAVE%20AN%20AVG.zip?ver=1743173245033</t>
  </si>
  <si>
    <t>https://img1.wsimg.com/blobby/go/fa91e93a-72dd-4def-b76d-173477e02dd0/downloads/1150fc4c-802f-4594-8d85-34b163372b0e/HUBBARD%20-%20USA%2B4DMAs%20-%20P18%2B%20WHO%20PURCHASED%20ITEMS.zip?ver=1743435177832</t>
  </si>
  <si>
    <t>https://img1.wsimg.com/blobby/go/fa91e93a-72dd-4def-b76d-173477e02dd0/downloads/ef8303ca-4857-46a4-bcd5-fbecce1e196f/HUBBARD%20-%20USA%2B4MoreDMAs%20-%20P18%2B%20WHO%20PURCHASED%20I.zip?ver=1743435115120</t>
  </si>
  <si>
    <t>USA - P18+ who Purchased Items at a THRIFT STORE in the past 3 months</t>
  </si>
  <si>
    <t>Chicago - P18+ who Purchased Items at a THRIFT STORE in the past 3 months</t>
  </si>
  <si>
    <t>Washington, DC - P18+ who Purchased Items at a THRIFT STORE in the past 3 months</t>
  </si>
  <si>
    <t>Seattle - P18+ who Purchased Items at a THRIFT STORE in the past 3 months</t>
  </si>
  <si>
    <t>Phoenix - P18+ who Purchased Items at a THRIFT STORE in the past 3 months</t>
  </si>
  <si>
    <t>Minneapolis - P18+ who Purchased Items at a THRIFT STORE in the past 3 months</t>
  </si>
  <si>
    <t>St. Louis - P18+ who Purchased Items at a THRIFT STORE in the past 3 months</t>
  </si>
  <si>
    <t>Cincinnati - P18+ who Purchased Items at a THRIFT STORE in the past 3 months</t>
  </si>
  <si>
    <t>West Palm Beach - P18+ who Purchased Items at a THRIFT STORE in the past 3 months</t>
  </si>
  <si>
    <t>USA - P18+ who Listen to CLASSIC ROCK and Listen to/Watch PODCASTS</t>
  </si>
  <si>
    <t>Chicago - P18+ who Listen to CLASSIC ROCK and Listen to/Watch PODCASTS</t>
  </si>
  <si>
    <t>Washington, DC - P18+ who Listen to CLASSIC ROCK and Listen to/Watch PODCASTS</t>
  </si>
  <si>
    <t>Seattle - P18+ who Listen to CLASSIC ROCK and Listen to/Watch PODCASTS</t>
  </si>
  <si>
    <t>Phoenix - P18+ who Listen to CLASSIC ROCK and Listen to/Watch PODCASTS</t>
  </si>
  <si>
    <t>Minneapolis - P18+ who Listen to CLASSIC ROCK and Listen to/Watch PODCASTS</t>
  </si>
  <si>
    <t>St. Louis - P18+ who Listen to CLASSIC ROCK and Listen to/Watch PODCASTS</t>
  </si>
  <si>
    <t>Cincinnati - P18+ who Listen to CLASSIC ROCK and Listen to/Watch PODCASTS</t>
  </si>
  <si>
    <t>West Palm Beach - P18+ who Listen to CLASSIC ROCK and Listen to/Watch PODCASTS</t>
  </si>
  <si>
    <t>https://img1.wsimg.com/blobby/go/fa91e93a-72dd-4def-b76d-173477e02dd0/downloads/92e6af7e-1f5b-4ce8-b73b-bcfd5c54d732/HUBBARD%20-%20USA%2B4DMAs%20-%20P18%2B%20WHO%20LOVE%20CLASSIC%20RO.zip?ver=1743521316925</t>
  </si>
  <si>
    <t>https://img1.wsimg.com/blobby/go/fa91e93a-72dd-4def-b76d-173477e02dd0/downloads/e06f173e-fa4e-42be-a012-4ade0cb059ee/HUBBARD%20-%20USA%2B4MoreDMAs%20-%20P18%2B%20WHO%20LOVE%20CLASSI.zip?ver=1743521281317</t>
  </si>
  <si>
    <t>https://img1.wsimg.com/blobby/go/fa91e93a-72dd-4def-b76d-173477e02dd0/downloads/38a3c321-fe2d-4dd3-9bca-95dc6ea126dc/HUBBARD%20-%20USA%2B4DMAs%20-%20P18%2B%20WHO%20LOVE%20SCI-FI%20AND.zip?ver=1743603289688</t>
  </si>
  <si>
    <t>https://img1.wsimg.com/blobby/go/fa91e93a-72dd-4def-b76d-173477e02dd0/downloads/672ce316-8bb2-4e63-b58f-3ad4a65111a4/HUBBARD%20-%20USA%2B4MoreDMAs%20-%20P18%2B%20WHO%20LOVE%20SCI-FI.zip?ver=1743603262497</t>
  </si>
  <si>
    <t>USA - P18+ who Love SCIENCE-FICTION and Listen to/Watch PODCASTS</t>
  </si>
  <si>
    <t>Chicago - P18+ who Love SCIENCE-FICTION and Listen to/Watch PODCASTS</t>
  </si>
  <si>
    <t>Washington, DC - P18+ who Love SCIENCE-FICTION and Listen to/Watch PODCASTS</t>
  </si>
  <si>
    <t>Seattle - P18+ who Love SCIENCE-FICTION and Listen to/Watch PODCASTS</t>
  </si>
  <si>
    <t>Phoenix - P18+ who Love SCIENCE-FICTION and Listen to/Watch PODCASTS</t>
  </si>
  <si>
    <t>Minneapolis - P18+ who Love SCIENCE-FICTION and Listen to/Watch PODCASTS</t>
  </si>
  <si>
    <t>St. Louis - P18+ who Love SCIENCE-FICTION and Listen to/Watch PODCASTS</t>
  </si>
  <si>
    <t>Cincinnati - P18+ who Love SCIENCE-FICTION and Listen to/Watch PODCASTS</t>
  </si>
  <si>
    <t>West Palm Beach - P18+ who Love SCIENCE-FICTION and Listen to/Watch PODCASTS</t>
  </si>
  <si>
    <t>https://img1.wsimg.com/blobby/go/fa91e93a-72dd-4def-b76d-173477e02dd0/downloads/a15072bf-f368-442f-add5-5baf972b0c2a/HUBBARD%20-%20USA%2B4DMAs%20-%20P18%2B%20PAST%2030%20DAYS%20USERS%20.zip?ver=1743708105855</t>
  </si>
  <si>
    <t>https://img1.wsimg.com/blobby/go/fa91e93a-72dd-4def-b76d-173477e02dd0/downloads/26f73b60-7c65-4db0-9ea3-4580a9479e2c/HUBBARD%20-%20USA%2B4MoreDMAs%20-%20P18%2B%20PAST%2030%20DAYS%20US.zip?ver=1743708053482</t>
  </si>
  <si>
    <t>https://img1.wsimg.com/blobby/go/fa91e93a-72dd-4def-b76d-173477e02dd0/downloads/0973b9cb-3288-490d-87a5-080cf042451b/HUBBARD%20-%20CHICAGO%20-%20LOYOLA%20UNIVERSITY%20-%20P18%2B%20U.pdf?ver=1743782392514</t>
  </si>
  <si>
    <t>https://img1.wsimg.com/blobby/go/fa91e93a-72dd-4def-b76d-173477e02dd0/downloads/a1eba0dd-2499-473d-a08e-f403c3e634b6/HUBBARD%20-%20CHICAGO%20-%20LOYOLA%20UNIVERSITY%20-%20P18%2B%20G.pdf?ver=1743782425772</t>
  </si>
  <si>
    <t>USA - P18+ who used Aol. (marketed by Yahoo!) in the past 30 days</t>
  </si>
  <si>
    <t>Chicago - P18+ who used Aol. (marketed by Yahoo!) in the past 30 days</t>
  </si>
  <si>
    <t>Washington, DC - P18+ who used Aol. (marketed by Yahoo!) in the past 30 days</t>
  </si>
  <si>
    <t>Seattle - P18+ who used Aol. (marketed by Yahoo!) in the past 30 days</t>
  </si>
  <si>
    <t>Phoenix - P18+ who used Aol. (marketed by Yahoo!) in the past 30 days</t>
  </si>
  <si>
    <t>Minneapolis - P18+ who used Aol. (marketed by Yahoo!) in the past 30 days</t>
  </si>
  <si>
    <t>St. Louis - P18+ who used Aol. (marketed by Yahoo!) in the past 30 days</t>
  </si>
  <si>
    <t>Cincinnati - P18+ who used Aol. (marketed by Yahoo!) in the past 30 days</t>
  </si>
  <si>
    <t>West Palm Beach - P18+ who used Aol. (marketed by Yahoo!) in the past 30 days</t>
  </si>
  <si>
    <t>Chicago - P18+ who are Currently Enrolled as UNDERGRADUATE Students (for Loyola University)</t>
  </si>
  <si>
    <t>Chicago - P18+ who are Currently Enrolled as GRADUATE Students (for Loyola University)</t>
  </si>
  <si>
    <t>USA - P18+ who Purchased Items at ACE HARDWARE in the past 3 months</t>
  </si>
  <si>
    <t>Chicago - P18+ who Purchased Items at ACE HARDWARE in the past 3 months</t>
  </si>
  <si>
    <t>Washington, DC - P18+ who Purchased Items at ACE HARDWARE in the past 3 months</t>
  </si>
  <si>
    <t>Seattle - P18+ who Purchased Items at ACE HARDWARE in the past 3 months</t>
  </si>
  <si>
    <t>Phoenix - P18+ who Purchased Items at ACE HARDWARE in the past 3 months</t>
  </si>
  <si>
    <t>Minneapolis - P18+ who Purchased Items at ACE HARDWARE in the past 3 months</t>
  </si>
  <si>
    <t>St. Louis - P18+ who Purchased Items at ACE HARDWARE in the past 3 months</t>
  </si>
  <si>
    <t>Cincinnati - P18+ who Purchased Items at ACE HARDWARE in the past 3 months</t>
  </si>
  <si>
    <t>West Palm Beach - P18+ who Purchased Items at ACE HARDWARE in the past 3 months</t>
  </si>
  <si>
    <t>https://img1.wsimg.com/blobby/go/fa91e93a-72dd-4def-b76d-173477e02dd0/downloads/32ffd9bd-1064-4def-b2d5-a7735e18c94c/HUBBARD%20-%20USA%2B4DMAs%20-%20P18%2B%20PURCHASED%20AT%20ACE%20HA.zip?ver=1744044166553</t>
  </si>
  <si>
    <t>https://img1.wsimg.com/blobby/go/fa91e93a-72dd-4def-b76d-173477e02dd0/downloads/9a26ea54-7e35-4a2f-85f0-9fa5c825a05e/HUBBARD%20-%20USA%2B4MoreDMAs%20-%20P18%2B%20PURCHASED%20ITEMS.zip?ver=1744044028344</t>
  </si>
  <si>
    <t>https://img1.wsimg.com/blobby/go/fa91e93a-72dd-4def-b76d-173477e02dd0/downloads/a85a453d-4f3c-49da-965b-387700c72885/HUBBARD%20-%20USA%2B4DMAs%20-%20P18%2B%20WHO%20SHOPPED%20OR%20VISI.zip?ver=1744057384528</t>
  </si>
  <si>
    <t>https://img1.wsimg.com/blobby/go/fa91e93a-72dd-4def-b76d-173477e02dd0/downloads/6fdd26af-5881-4b03-8957-3258ac66f686/HUBBARD%20-%20USA%2B4MoreDMAs%20-%20P18%2B%20WHO%20SHOPPED%20OR%20.zip?ver=1744057352931</t>
  </si>
  <si>
    <t>USA - P18+ who Shopped or Visited, or Used eBay in the past 30 days</t>
  </si>
  <si>
    <t>Chicago - P18+ who Shopped or Visited, or Used eBay in the past 30 days</t>
  </si>
  <si>
    <t>Washington, DC - P18+ who Shopped or Visited, or Used eBay in the past 30 days</t>
  </si>
  <si>
    <t>Seattle - P18+ who Shopped or Visited, or Used eBay in the past 30 days</t>
  </si>
  <si>
    <t>Phoenix - P18+ who Shopped or Visited, or Used eBay in the past 30 days</t>
  </si>
  <si>
    <t>Minneapolis - P18+ who Shopped or Visited, or Used eBay in the past 30 days</t>
  </si>
  <si>
    <t>St. Louis - P18+ who Shopped or Visited, or Used eBay in the past 30 days</t>
  </si>
  <si>
    <t>Cincinnati - P18+ who Shopped or Visited, or Used eBay in the past 30 days</t>
  </si>
  <si>
    <t>West Palm Beach - P18+ who Shopped or Visited, or Used eBay in the past 30 days</t>
  </si>
  <si>
    <t>USA - P18+ who Purchased or Leased a New KIA Vehicle in 2024</t>
  </si>
  <si>
    <t>Chicago - P18+ who Purchased or Leased a New KIA Vehicle in 2024</t>
  </si>
  <si>
    <t>Washington, DC - P18+ who Purchased or Leased a New KIA Vehicle in 2024</t>
  </si>
  <si>
    <t>Seattle - P18+ who Purchased or Leased a New KIA Vehicle in 2024</t>
  </si>
  <si>
    <t>Phoenix - P18+ who Purchased or Leased a New KIA Vehicle in 2024</t>
  </si>
  <si>
    <t>Minneapolis - P18+ who Purchased or Leased a New KIA Vehicle in 2024</t>
  </si>
  <si>
    <t>St. Louis - P18+ who Purchased or Leased a New KIA Vehicle in 2024</t>
  </si>
  <si>
    <t>Cincinnati - P18+ who Purchased or Leased a New KIA Vehicle in 2024</t>
  </si>
  <si>
    <t>West Palm Beach - P18+ who Purchased or Leased a New KIA Vehicle in 2024</t>
  </si>
  <si>
    <t>https://img1.wsimg.com/blobby/go/fa91e93a-72dd-4def-b76d-173477e02dd0/downloads/105e7127-2fea-4e96-8c2c-6c72c3a8b139/HUBBARD%20-%20USA%2B4DMAs%20-%20P18%2B%20PURCHASED%20OR%20LEASED.zip?ver=1744214094260</t>
  </si>
  <si>
    <t>https://img1.wsimg.com/blobby/go/fa91e93a-72dd-4def-b76d-173477e02dd0/downloads/eee45647-4efc-42a6-9e96-9debf1a29e11/HUBBARD%20-%20USA%2B4MoreDMAs%20-%20P18%2B%20PURCHASED%20OR%20LE.zip?ver=1744214000797</t>
  </si>
  <si>
    <t>West Palm Beach DMA vs. the USA - P18+ - R1 2025</t>
  </si>
  <si>
    <t>West Palm Beach DMA vs. the USA - P25-54 - R1 2025</t>
  </si>
  <si>
    <t>West Palm Beach DMA vs. the USA - W25-54 - R1 2025</t>
  </si>
  <si>
    <t>West Palm Beach DMA vs. the USA - M25-54 - R1 2025</t>
  </si>
  <si>
    <t>West Palm Beach DMA vs. the USA - P35-64 - R1 2025</t>
  </si>
  <si>
    <t>West Palm Beach - P18+ who Used BUD'S CHICKEN &amp; SEAFOOD in the past 30 days</t>
  </si>
  <si>
    <t>West Palm Beach - P18+ who Used HURRICANE GRILL &amp; WINGS in the past 30 days</t>
  </si>
  <si>
    <t>West Palm Beach - P18+ who Used MILLER'S ALE HOUSE in the past 30 days</t>
  </si>
  <si>
    <t>West Palm Beach - P18+ who Used POLLO TROPICAL in the past 30 days</t>
  </si>
  <si>
    <t>West Palm Beach - P18+ who Used TOOJAY'S in the past 30 days</t>
  </si>
  <si>
    <t>West Palm Beach - P18+ who Listened to IHEART RADIO in the past 7 days</t>
  </si>
  <si>
    <t>West Palm Beach - P18+ who Listened to WKGR-FM in the past 7 days</t>
  </si>
  <si>
    <t>West Palm Beach - P18+ who Listened to WLDI-FM in the past 7 days</t>
  </si>
  <si>
    <t>West Palm Beach - P18+ who Listened to WOLL-FM in the past 7 days</t>
  </si>
  <si>
    <t>West Palm Beach - P18+ who Listened to WQOL-FM in the past 7 days</t>
  </si>
  <si>
    <t>West Palm Beach - P18+ who Listened to HUBBARD RADIO in the past 7 days</t>
  </si>
  <si>
    <t>West Palm Beach - P18+ who Listened to WEAT-FM in the past 7 days</t>
  </si>
  <si>
    <t>West Palm Beach - P18+ who Listened to WIRK-FM in the past 7 days</t>
  </si>
  <si>
    <t>West Palm Beach - P18+ who Listened to WMBX-FM in the past 7 days</t>
  </si>
  <si>
    <t>West Palm Beach - P18+ who Listened to WRMF-FM in the past 7 days</t>
  </si>
  <si>
    <t>https://img1.wsimg.com/blobby/go/fa91e93a-72dd-4def-b76d-173477e02dd0/downloads/babfb7c0-1549-4411-adf4-89bd5d7860ff/HUBBARD%20-%20USA%20-%20WEST%20PALM%20BEACH%20DMA%20vs.%20USA%20-%20.pdf?ver=1744402045159</t>
  </si>
  <si>
    <t>https://img1.wsimg.com/blobby/go/fa91e93a-72dd-4def-b76d-173477e02dd0/downloads/cea868f9-a5cf-440e-9998-59e3be879d50/HUBBARD%20-%20USA%20-%20WEST%20PALM%20BEACH%20DMA%20%20-%205%20QSRs%20.zip?ver=1744402012612</t>
  </si>
  <si>
    <t>https://img1.wsimg.com/blobby/go/fa91e93a-72dd-4def-b76d-173477e02dd0/downloads/46d3ce4e-760a-4f40-bdc2-75c780df9b65/HUBBARD%20-%20USA%20-%20WEST%20PALM%20BEACH%20DMA%20-%20IHEART%20R.zip?ver=1744401900729</t>
  </si>
  <si>
    <t>https://img1.wsimg.com/blobby/go/fa91e93a-72dd-4def-b76d-173477e02dd0/downloads/02935a7b-7edc-469b-9cc7-97f0e566680f/HUBBARD%20-%20USA%20-%20WEST%20PALM%20BEACH%20DMA%20-%20HUBBARD%20.zip?ver=1744401827266</t>
  </si>
  <si>
    <t>https://img1.wsimg.com/blobby/go/fa91e93a-72dd-4def-b76d-173477e02dd0/downloads/428cf1ed-db94-4f88-8f3b-5dd929ee890c/HUBBARD%20-%20USA%2B4DMAs%20-%20P18%2B%20WHO%20PLAN%20TO%20PURCHAS.zip?ver=1744727714864</t>
  </si>
  <si>
    <t>https://img1.wsimg.com/blobby/go/fa91e93a-72dd-4def-b76d-173477e02dd0/downloads/e2aaf48c-c791-4277-bf92-7800e0099a37/HUBBARD%20-%20USA%2B4MoreDMAs%20-%20P18%2B%20WHO%20PLAN%20TO%20PUR.zip?ver=1744727685806</t>
  </si>
  <si>
    <t>USA - P18+ who Plan to Purchase a New MATTRESS in 2025</t>
  </si>
  <si>
    <t>Chicago - P18+ who Plan to Purchase a New MATTRESS in 2025</t>
  </si>
  <si>
    <t>Washington, DC - P18+ who Plan to Purchase a New MATTRESS in 2025</t>
  </si>
  <si>
    <t>Seattle - P18+ who Plan to Purchase a New MATTRESS in 2025</t>
  </si>
  <si>
    <t>Phoenix - P18+ who Plan to Purchase a New MATTRESS in 2025</t>
  </si>
  <si>
    <t>Minneapolis - P18+ who Plan to Purchase a New MATTRESS in 2025</t>
  </si>
  <si>
    <t>St. Louis - P18+ who Plan to Purchase a New MATTRESS in 2025</t>
  </si>
  <si>
    <t>Cincinnati - P18+ who Plan to Purchase a New MATTRESS in 2025</t>
  </si>
  <si>
    <t>West Palm Beach - P18+ who Plan to Purchase a New MATTRESS in 2025</t>
  </si>
  <si>
    <t>https://img1.wsimg.com/blobby/go/fa91e93a-72dd-4def-b76d-173477e02dd0/downloads/db6aeb84-d749-4057-91cf-5d50a4a33e72/HUBBARD%20-%20USA%2B4DMAs%20-%20P18%2B%20WHO%20BELONG%20TO%20A%20HEA.zip?ver=1744824776273</t>
  </si>
  <si>
    <t>https://img1.wsimg.com/blobby/go/fa91e93a-72dd-4def-b76d-173477e02dd0/downloads/728cb4f7-a770-42ac-9883-5eefb2b3debe/HUBBARD%20-%20USA%2B4MoreDMAs%20-%20P18%2B%20WHO%20BELONG%20TO%20A.zip?ver=1744824751588</t>
  </si>
  <si>
    <t>USA - P18+ who Belong to a HEALTH CLUB or GYM as of January 31, 2025</t>
  </si>
  <si>
    <t>Chicago - P18+ who Belong to a HEALTH CLUB or GYM as of January 31, 2025</t>
  </si>
  <si>
    <t>Washington, DC - P18+ who Belong to a HEALTH CLUB or GYM as of January 31, 2025</t>
  </si>
  <si>
    <t>Seattle - P18+ who Belong to a HEALTH CLUB or GYM as of January 31, 2025</t>
  </si>
  <si>
    <t>Phoenix - P18+ who Belong to a HEALTH CLUB or GYM as of January 31, 2025</t>
  </si>
  <si>
    <t>Minneapolis - P18+ who Belong to a HEALTH CLUB or GYM as of January 31, 2025</t>
  </si>
  <si>
    <t>St. Louis - P18+ who Belong to a HEALTH CLUB or GYM as of January 31, 2025</t>
  </si>
  <si>
    <t>Cincinnati - P18+ who Belong to a HEALTH CLUB or GYM as of January 31, 2025</t>
  </si>
  <si>
    <t>West Palm Beach - P18+ who Belong to a HEALTH CLUB or GYM as of January 31, 2025</t>
  </si>
  <si>
    <t>USA - P18+ who Purchased New VEHICLE TIRES Online in the past 6 months</t>
  </si>
  <si>
    <t>Chicago - P18+ who Purchased New VEHICLE TIRES Online in the past 6 months</t>
  </si>
  <si>
    <t>Washington, DC - P18+ who Purchased New VEHICLE TIRES Online in the past 6 months</t>
  </si>
  <si>
    <t>Seattle - P18+ who Purchased New VEHICLE TIRES Online in the past 6 months</t>
  </si>
  <si>
    <t>Phoenix - P18+ who Purchased New VEHICLE TIRES Online in the past 6 months</t>
  </si>
  <si>
    <t>Minneapolis - P18+ who Purchased New VEHICLE TIRES Online in the past 6 months</t>
  </si>
  <si>
    <t>St. Louis - P18+ who Purchased New VEHICLE TIRES Online in the past 6 months</t>
  </si>
  <si>
    <t>Cincinnati - P18+ who Purchased New VEHICLE TIRES Online in the past 6 months</t>
  </si>
  <si>
    <t>West Palm Beach - P18+ who Purchased New VEHICLE TIRES Online in the past 6 months</t>
  </si>
  <si>
    <t>https://img1.wsimg.com/blobby/go/fa91e93a-72dd-4def-b76d-173477e02dd0/downloads/9970715c-e132-47b7-9189-429078f9b5dc/HUBBARD%20-%20USA%2B4DMAs%20-%20P18%2B%20WHO%20PURCHASED%20TIRES.zip?ver=1744987770026</t>
  </si>
  <si>
    <t>https://img1.wsimg.com/blobby/go/fa91e93a-72dd-4def-b76d-173477e02dd0/downloads/19a656b2-b487-41fc-8abc-37805d17792b/HUBBARD%20-%20USA%2B4MoreDMAs%20-%20P18%2B%20WHO%20PURCHASED%20T.zip?ver=1744987712869</t>
  </si>
  <si>
    <t>USA - P18+ who Purchased Items with their AMERICAN EXPRESS Card in the past 3mos</t>
  </si>
  <si>
    <t>https://img1.wsimg.com/blobby/go/fa91e93a-72dd-4def-b76d-173477e02dd0/downloads/0864a897-183d-4155-821c-126a03706e3a/HUBBARD%20-%20USA%2B4DMAs%20-%20P18%2B%20WHO%20PURCHASED%20ITEMS.zip?ver=1745242912846</t>
  </si>
  <si>
    <t>Chicago - P18+ who Purchased Items with their AMERICAN EXPRESS Card in the past 3mos</t>
  </si>
  <si>
    <t>Washington, DC - P18+ who Purchased Items with their AMERICAN EXPRESS Card in the past 3mos</t>
  </si>
  <si>
    <t>Seattle - P18+ who Purchased Items with their AMERICAN EXPRESS Card in the past 3mos</t>
  </si>
  <si>
    <t>Phoenix - P18+ who Purchased Items with their AMERICAN EXPRESS Card in the past 3mos</t>
  </si>
  <si>
    <t>Minneapolis - P18+ who Purchased Items with their AMERICAN EXPRESS Card in the past 3mos</t>
  </si>
  <si>
    <t>https://img1.wsimg.com/blobby/go/fa91e93a-72dd-4def-b76d-173477e02dd0/downloads/06ef0fc2-0cd2-42f4-917d-a523c5c7df61/HUBBARD%20-%20USA%2B4MoreDMAs%20-%20P18%2B%20WHO%20PURCHASED%20I.zip?ver=1745242878324</t>
  </si>
  <si>
    <t>St. Louis - P18+ who Purchased Items with their AMERICAN EXPRESS Card in the past 3mos</t>
  </si>
  <si>
    <t>Cincinnati - P18+ who Purchased Items with their AMERICAN EXPRESS Card in the past 3mos</t>
  </si>
  <si>
    <t>West Palm Beach - P18+ who Purchased Items with their AMERICAN EXPRESS Card in the past 3mos</t>
  </si>
  <si>
    <t>https://img1.wsimg.com/blobby/go/fa91e93a-72dd-4def-b76d-173477e02dd0/downloads/a4b2612d-5846-4244-98eb-00f243511819/HUBBARD%20-%20USA%2B4DMAs%20-%20P18%2B%20PAST%2030%20DAYS%20USERS%20.zip?ver=1745333298784</t>
  </si>
  <si>
    <t>https://img1.wsimg.com/blobby/go/fa91e93a-72dd-4def-b76d-173477e02dd0/downloads/feeb080b-0bc8-4297-b50d-60854069fc86/HUBBARD%20-%20USA%2B4MoreDMAs%20-%20P18%2B%20PAST%2030%20DAYS%20US.zip?ver=1745333261652</t>
  </si>
  <si>
    <t>USA - P18+ who are past 30 days Users of the YELP App/Website</t>
  </si>
  <si>
    <t>Chicago - P18+ who are past 30 days Users of the YELP App/Website</t>
  </si>
  <si>
    <t>Washington, DC - P18+ who are past 30 days Users of the YELP App/Website</t>
  </si>
  <si>
    <t>Seattle - P18+ who are past 30 days Users of the YELP App/Website</t>
  </si>
  <si>
    <t>Phoenix - P18+ who are past 30 days Users of the YELP App/Website</t>
  </si>
  <si>
    <t>Minneapolis - P18+ who are past 30 days Users of the YELP App/Website</t>
  </si>
  <si>
    <t>St. Louis - P18+ who are past 30 days Users of the YELP App/Website</t>
  </si>
  <si>
    <t>Cincinnati - P18+ who are past 30 days Users of the YELP App/Website</t>
  </si>
  <si>
    <t>West Palm Beach - P18+ who are past 30 days Users of the YELP App/Website</t>
  </si>
  <si>
    <t>https://img1.wsimg.com/blobby/go/fa91e93a-72dd-4def-b76d-173477e02dd0/downloads/6fedd985-9b4b-48a5-becb-d5a363756ee1/HUBBARD%20-%20USA%2B4DMAs%20-%20P18%2B%20WHO%20DRANK%20COCA-COLA.zip?ver=1745420396181</t>
  </si>
  <si>
    <t>https://img1.wsimg.com/blobby/go/fa91e93a-72dd-4def-b76d-173477e02dd0/downloads/53188435-23a1-47a8-9ba5-a77ed4f3bde5/HUBBARD%20-%20USA%2B4MoreDMAs%20-%20P18%2B%20WHO%20DRANK%20COCA-.zip?ver=1745420365325</t>
  </si>
  <si>
    <t>USA - P18+ who Drank COCA-COLA (Regular Soft Drink) in the past 7 days</t>
  </si>
  <si>
    <t>Chicago - P18+ who Drank COCA-COLA (Regular Soft Drink) in the past 7 days</t>
  </si>
  <si>
    <t>Washington, DC - P18+ who Drank COCA-COLA (Regular Soft Drink) in the past 7 days</t>
  </si>
  <si>
    <t>Seattle - P18+ who Drank COCA-COLA (Regular Soft Drink) in the past 7 days</t>
  </si>
  <si>
    <t>Phoenix - P18+ who Drank COCA-COLA (Regular Soft Drink) in the past 7 days</t>
  </si>
  <si>
    <t>Minneapolis - P18+ who Drank COCA-COLA (Regular Soft Drink) in the past 7 days</t>
  </si>
  <si>
    <t>St. Louis - P18+ who Drank COCA-COLA (Regular Soft Drink) in the past 7 days</t>
  </si>
  <si>
    <t>Cincinnati - P18+ who Drank COCA-COLA (Regular Soft Drink) in the past 7 days</t>
  </si>
  <si>
    <t>West Palm Beach - P18+ who Drank COCA-COLA (Regular Soft Drink) in the past 7 days</t>
  </si>
  <si>
    <t>Phoenix DMA vs. the USA - P18+ - R1 2025</t>
  </si>
  <si>
    <t>Phoenix DMA vs. the USA - P25-54 - R1 2025</t>
  </si>
  <si>
    <t>Phoenix DMA vs. the USA - W25-54 - R1 2025</t>
  </si>
  <si>
    <t>Phoenix DMA vs. the USA - M25-54 - R1 2025</t>
  </si>
  <si>
    <t>Phoenix DMA vs. the USA - P35-64 - R1 2025</t>
  </si>
  <si>
    <t>Phoenix - P18+ who Listened to IHEART RADIO in the past 7 days</t>
  </si>
  <si>
    <t>Phoenix - P18+ who Listened to HUBBARD RADIO in the past 7 days</t>
  </si>
  <si>
    <t>Phoenix - P18+ who Used BARRO'S PIZZA in the past 30 days</t>
  </si>
  <si>
    <t>Phoenix - P18+ who Used FILIBERTO'S MEXICAN FOOD in the past 30 days</t>
  </si>
  <si>
    <t>Phoenix - P18+ who Used MACAYO'S MEXICAN FOOD in the past 30 days</t>
  </si>
  <si>
    <t>Phoenix - P18+ who Used OREGANO'S PIZZA BISTRO in the past 30 days</t>
  </si>
  <si>
    <t>Phoenix - P18+ who Used PITA JUNGLE in the past 30 days</t>
  </si>
  <si>
    <t>Phoenix - P18+ who Listened to KESZ-FM in the past 7 days</t>
  </si>
  <si>
    <t>Phoenix - P18+ who Listened to KMXP-FM in the past 7 days</t>
  </si>
  <si>
    <t>Phoenix - P18+ who Listened to KNIX-FM in the past 7 days</t>
  </si>
  <si>
    <t>Phoenix - P18+ who Listened to KYOT-FM in the past 7 days</t>
  </si>
  <si>
    <t>Phoenix - P18+ who Listened to KAZG-AM in the past 7 days</t>
  </si>
  <si>
    <t>Phoenix - P18+ who Listened to KDKB-FM in the past 7 days</t>
  </si>
  <si>
    <t>Phoenix - P18+ who Listened to KLSX-FM in the past 7 days</t>
  </si>
  <si>
    <t>Phoenix - P18+ who Listened to KUPD-FM in the past 7 days</t>
  </si>
  <si>
    <t>https://img1.wsimg.com/blobby/go/fa91e93a-72dd-4def-b76d-173477e02dd0/downloads/140106b3-7205-4804-880e-772074de9f1c/HUBBARD%20-%20USA%20-%20PHOENIX%20METRO%20-%20HUBBARD%20RADIO%20.zip?ver=1745595928529</t>
  </si>
  <si>
    <t>https://img1.wsimg.com/blobby/go/fa91e93a-72dd-4def-b76d-173477e02dd0/downloads/3f6c3f9b-880d-4fbc-9380-b521ac76c414/HUBBARD%20-%20USA%20-%20PHOENIX%20METRO%20-%20IHEART%20RADIO%20C.zip?ver=1745595946716</t>
  </si>
  <si>
    <t>https://img1.wsimg.com/blobby/go/fa91e93a-72dd-4def-b76d-173477e02dd0/downloads/4431efb5-437d-4a35-8bde-5a8731e8b009/HUBBARD%20-%20USA%20-%20PHOENIX%20DMA%20%20-%205%20QSRs%20%26%20RESTAU.zip?ver=1745595962504</t>
  </si>
  <si>
    <t>https://img1.wsimg.com/blobby/go/fa91e93a-72dd-4def-b76d-173477e02dd0/downloads/76240712-fa30-4f87-8640-6e9bdf336c2b/HUBBARD%20-%20USA%20-%20PHOENIX%20AZ%20DMA%20vs.%20USA%20-%205%20DEM.pdf?ver=1745595983701</t>
  </si>
  <si>
    <t>Phoenix - P25-54 Full-Time HEALTCHCARE PROFESSIONALS</t>
  </si>
  <si>
    <t>https://img1.wsimg.com/blobby/go/fa91e93a-72dd-4def-b76d-173477e02dd0/downloads/fdb5fc59-bbd8-411f-987b-61ff8b024f60/HUBBARD%20-%20PHOENIX%20-%20P25-64%20HEALTHCARE%20PROFESSI.pdf?ver=1745613882942</t>
  </si>
  <si>
    <t>Phoenix - P35+ HIGH HH NET WORTH ($1M+) INDIVIDUALS</t>
  </si>
  <si>
    <t>https://img1.wsimg.com/blobby/go/fa91e93a-72dd-4def-b76d-173477e02dd0/downloads/0ef105e2-4042-4ab0-b4d3-2881a70be87c/HUBBARD%20-%20PHOENIX%20-%20P35%2B%20HIGH%20HH%20NET%20WORTH%20IND.pdf?ver=1745613912251</t>
  </si>
  <si>
    <t>USA - P25-64 Homeowners who Own a SWIMMING POOL, HOT TUB, or SPA</t>
  </si>
  <si>
    <t>https://img1.wsimg.com/blobby/go/fa91e93a-72dd-4def-b76d-173477e02dd0/downloads/39354815-f34b-4414-a586-31a211e68d9a/HUBBARD%20-%20USA%2B4DMAs%20-%20P25-64%20HOMEOWNERS%20WHO%20OW.zip?ver=1746037344773</t>
  </si>
  <si>
    <t>Chicago - P25-64 Homeowners who Own a SWIMMING POOL, HOT TUB, or SPA</t>
  </si>
  <si>
    <t>Washington, DC - P25-64 Homeowners who Own a SWIMMING POOL, HOT TUB, or SPA</t>
  </si>
  <si>
    <t>Seattle - P25-64 Homeowners who Own a SWIMMING POOL, HOT TUB, or SPA</t>
  </si>
  <si>
    <t>Phoenix - P25-64 Homeowners who Own a SWIMMING POOL, HOT TUB, or SPA</t>
  </si>
  <si>
    <t>Minneapolis - P25-64 Homeowners who Own a SWIMMING POOL, HOT TUB, or SPA</t>
  </si>
  <si>
    <t>https://img1.wsimg.com/blobby/go/fa91e93a-72dd-4def-b76d-173477e02dd0/downloads/a970f44f-48c7-4181-9652-125b291d2bc7/HUBBARD%20-%20USA%2B4MoreDMAs%20-%20P25-64%20HOMEOWNERS%20WH.zip?ver=1746037312117</t>
  </si>
  <si>
    <t>St. Louis - P25-64 Homeowners who Own a SWIMMING POOL, HOT TUB, or SPA</t>
  </si>
  <si>
    <t>Cincinnati - P25-64 Homeowners who Own a SWIMMING POOL, HOT TUB, or SPA</t>
  </si>
  <si>
    <t>West Palm Beach - P25-64 Homeowners who Own a SWIMMING POOL, HOT TUB, or SPA</t>
  </si>
  <si>
    <t>Minneapolis - P18+ who Listened to HUBBARD RADIO in the past 7 days</t>
  </si>
  <si>
    <t>Minneapolis - P18+ who Listened to KSTP-AM in the past 7 days</t>
  </si>
  <si>
    <t>Minneapolis - P18+ who Listened to KSTP-FM in the past 7 days</t>
  </si>
  <si>
    <t>Minneapolis - P18+ who Listened to KTMY-FM in the past 7 days</t>
  </si>
  <si>
    <t>Minneapolis - P18+ who Listened to PODCASTS in the past 30 days</t>
  </si>
  <si>
    <t>Minneapolis - P18+ who Listened to IHEART RADIO in the past 7 days</t>
  </si>
  <si>
    <t>Minneapolis - P18+ who Listened to KDWB-FM in the past 7 days</t>
  </si>
  <si>
    <t>Minneapolis - P18+ who Listened to KEEY-FM in the past 7 days</t>
  </si>
  <si>
    <t>Minneapolis - P18+ who Listened to KFXN-FM in the past 7 days</t>
  </si>
  <si>
    <t>Minneapolis - P18+ who Listened to KQQL-FM in the past 7 days</t>
  </si>
  <si>
    <t>Minneapolis - P18+ who Shopped at CUB FOODS in the past 7 days</t>
  </si>
  <si>
    <t>Minneapolis - P18+ who Shopped at TARGET/SUPER TARGET in the past 7 days</t>
  </si>
  <si>
    <t>Minneapolis - P18+ who Shopped at HOLIDAY STORES in the past 7 days</t>
  </si>
  <si>
    <t>Minneapolis - P18+ who Shopped at COBORN'S in the past 7 days</t>
  </si>
  <si>
    <t>Minneapolis - P18+ who Shopped at LUND'S &amp; BYERLY'S in the past 7 days</t>
  </si>
  <si>
    <t>Minneapolis DMA vs. the USA - P18+ - R1 2025</t>
  </si>
  <si>
    <t>Minneapolis DMA vs. the USA - P25-54 - R1 2025</t>
  </si>
  <si>
    <t>Minneapolis DMA vs. the USA - W25-54 - R1 2025</t>
  </si>
  <si>
    <t>Minneapolis DMA vs. the USA - M25-54 - R1 2025</t>
  </si>
  <si>
    <t>Minneapolis DMA vs. the USA - P35-64 - R1 2025</t>
  </si>
  <si>
    <t>USA - P18+ who Purchased Items at WALGREENS in the past 30 days</t>
  </si>
  <si>
    <t>Chicago - P18+ who Purchased Items at WALGREENS in the past 30 days</t>
  </si>
  <si>
    <t>Washington, DC - P18+ who Purchased Items at WALGREENS in the past 30 days</t>
  </si>
  <si>
    <t>Seattle - P18+ who Purchased Items at WALGREENS in the past 30 days</t>
  </si>
  <si>
    <t>Phoenix - P18+ who Purchased Items at WALGREENS in the past 30 days</t>
  </si>
  <si>
    <t>Minneapolis - P18+ who Purchased Items at WALGREENS in the past 30 days</t>
  </si>
  <si>
    <t>St. Louis - P18+ who Purchased Items at WALGREENS in the past 30 days</t>
  </si>
  <si>
    <t>Cincinnati - P18+ who Purchased Items at WALGREENS in the past 30 days</t>
  </si>
  <si>
    <t>West Palm Beach - P18+ who Purchased Items at WALGREENS in the past 30 days</t>
  </si>
  <si>
    <t>https://img1.wsimg.com/blobby/go/fa91e93a-72dd-4def-b76d-173477e02dd0/downloads/6b251931-24c7-4f66-be85-e9c627c2fba7/HUBBARD%20-%20USA%2B4DMAs%20-%20P18%2B%20WHO%20BOUGHT%20ITEMS%20AT.zip?ver=1746200848007</t>
  </si>
  <si>
    <t>https://img1.wsimg.com/blobby/go/fa91e93a-72dd-4def-b76d-173477e02dd0/downloads/344ee13b-2cd3-4e1d-8f3b-32c08b8c42dd/HUBBARD%20-%20USA%2B4MoreDMAs%20-%20P18%2B%20WHO%20BOUGHT%20ITEM.zip?ver=1746200815268</t>
  </si>
  <si>
    <t>10,.5%</t>
  </si>
  <si>
    <t>https://img1.wsimg.com/blobby/go/fa91e93a-72dd-4def-b76d-173477e02dd0/downloads/a5784dfe-cf7a-4040-a908-7ebcaf164d5f/HUBBARD%20-%20USA%20-%20MINNEAPOLIS-ST.%20PAUL%20METRO%20-%20H.zip?ver=1746476191130</t>
  </si>
  <si>
    <t>https://img1.wsimg.com/blobby/go/fa91e93a-72dd-4def-b76d-173477e02dd0/downloads/50abd76c-482b-4db9-bdbd-83d63307673f/HUBBARD%20-%20USA%20-%20MINNEAPOLIS-ST.%20PAUL%20METRO%20-%20I.zip?ver=1746476209990</t>
  </si>
  <si>
    <t>https://img1.wsimg.com/blobby/go/fa91e93a-72dd-4def-b76d-173477e02dd0/downloads/63464777-b684-4ec5-9032-29bbf264c5e9/HUBBARD%20-%20USA%20-%20MINNEAPOLIS-ST.%20PAUL%20DMA%20-%205%20G.zip?ver=1746476228127</t>
  </si>
  <si>
    <t>https://img1.wsimg.com/blobby/go/fa91e93a-72dd-4def-b76d-173477e02dd0/downloads/16830e54-ca6f-476d-9ac2-7481501002a7/HUBBARD%20-%20USA%20-%20MINNEAPOLIS-ST.%20PAUL%20DMA%20vs.%20U.pdf?ver=1746476249783</t>
  </si>
  <si>
    <t>USA - P18+ who Use GEICO for their AUTO and/or HOMEOWNERS/RENTERS Insurance</t>
  </si>
  <si>
    <t>Chicago - P18+ who Use GEICO for their AUTO and/or HOMEOWNERS/RENTERS Insurance</t>
  </si>
  <si>
    <t>Washington, DC - P18+ who Use GEICO for their AUTO and/or HOMEOWNERS/RENTERS Insurance</t>
  </si>
  <si>
    <t>Seattle - P18+ who Use GEICO for their AUTO and/or HOMEOWNERS/RENTERS Insurance</t>
  </si>
  <si>
    <t>Phoenix - P18+ who Use GEICO for their AUTO and/or HOMEOWNERS/RENTERS Insurance</t>
  </si>
  <si>
    <t>Minneapolis - P18+ who Use GEICO for their AUTO and/or HOMEOWNERS/RENTERS Insurance</t>
  </si>
  <si>
    <t>St. Louis - P18+ who Use GEICO for their AUTO and/or HOMEOWNERS/RENTERS Insurance</t>
  </si>
  <si>
    <t>Cincinnati - P18+ who Use GEICO for their AUTO and/or HOMEOWNERS/RENTERS Insurance</t>
  </si>
  <si>
    <t>West Palm Beach - P18+ who Use GEICO for their AUTO and/or HOMEOWNERS/RENTERS Insurance</t>
  </si>
  <si>
    <t>https://img1.wsimg.com/blobby/go/fa91e93a-72dd-4def-b76d-173477e02dd0/downloads/a5bfa852-2a5c-467f-b6ab-b7e10c5fa1f9/HUBBARD%20-%20USA%2B4DMAs%20-%20P18%2B%20WHO%20USE%20GEICO%20AS%20TH.zip?ver=1746623112130</t>
  </si>
  <si>
    <t>https://img1.wsimg.com/blobby/go/fa91e93a-72dd-4def-b76d-173477e02dd0/downloads/3be0a2ee-f888-40c9-98b4-5840d6b52a60/HUBBARD%20-%20USA%2B4MoreDMAs%20-%20P18%2B%20WHO%20USE%20GEICO%20A.zip?ver=1746623133905</t>
  </si>
  <si>
    <t>Cincinnati DMA vs. the USA - P18+ - R1 2025</t>
  </si>
  <si>
    <t>Cincinnati DMA vs. the USA - P25-54 - R1 2025</t>
  </si>
  <si>
    <t>Cincinnati DMA vs. the USA - W25-54 - R1 2025</t>
  </si>
  <si>
    <t>Cincinnati DMA vs. the USA - M25-54 - R1 2025</t>
  </si>
  <si>
    <t>Cincinnati DMA vs. the USA - P35-64 - R1 2025</t>
  </si>
  <si>
    <t>St. Louis DMA vs. the USA - P18+ - R1 2025</t>
  </si>
  <si>
    <t>St. Louis DMA vs. the USA - P25-54 - R1 2025</t>
  </si>
  <si>
    <t>St. Louis DMA vs. the USA - W25-54 - R1 2025</t>
  </si>
  <si>
    <t>St. Louis DMA vs. the USA - M25-54 - R1 2025</t>
  </si>
  <si>
    <t>St. Louis DMA vs. the USA - P35-64 - R1 2025</t>
  </si>
  <si>
    <t>https://img1.wsimg.com/blobby/go/fa91e93a-72dd-4def-b76d-173477e02dd0/downloads/1d2b07bd-7f5c-492f-a20d-15d095b49770/HUBBARD%20-%20USA%20-%20ST.%20LOUIS%20MO%20DMA%20vs.%20USA%20-%205%20D.pdf?ver=1746817546335</t>
  </si>
  <si>
    <t>https://img1.wsimg.com/blobby/go/fa91e93a-72dd-4def-b76d-173477e02dd0/downloads/1ac75f5e-cf82-4a8e-b70b-56d19f4da0b4/HUBBARD%20-%20USA%20-%20CINCINNATI%20OH%20DMA%20vs.%20USA%20-%205%20.pdf?ver=1746817503574</t>
  </si>
  <si>
    <t>https://img1.wsimg.com/blobby/go/fa91e93a-72dd-4def-b76d-173477e02dd0/downloads/c8cf945b-9bf4-42d6-a7a2-2b712528fd26/HUBBARD%20-%20USA%20-%20CINCINNATI%20OH%20DMA%20-%205%20SIT-DOWN.zip?ver=1747059506087</t>
  </si>
  <si>
    <t>Cincinnati - P18+ who Used SKYLINE CHILI in the past 30 days</t>
  </si>
  <si>
    <t>Cincinnati - P18+ who Used GOLD STAR CHILI in the past 30 days</t>
  </si>
  <si>
    <t>Cincinnati - P18+ who Used FRISCH'S BIG BOY in the past 30 days</t>
  </si>
  <si>
    <t>Cincinnati - P18+ who Used LAROSA'S FAMILY PIZZERIA in the past 30 days</t>
  </si>
  <si>
    <t>Cincinnati - P18+ who Used DEWEY'S PIZZA in the past 30 days</t>
  </si>
  <si>
    <t>https://img1.wsimg.com/blobby/go/fa91e93a-72dd-4def-b76d-173477e02dd0/downloads/b79d3596-20ee-467e-90ff-d96ad6c919bf/HUBBARD%20-%20USA%20-%20ST.%20LOUIS%20MO%20DMA%20-%205%20QSRs%20AND%20.zip?ver=1747059546221</t>
  </si>
  <si>
    <t>St. Louis - P18+ who Used IMO'S PIZZA in the past 30 days</t>
  </si>
  <si>
    <t>St. Louis - P18+ who Used LION'S CHOICE in the past 30 days</t>
  </si>
  <si>
    <t>St. Louis - P18+ who Used STEAK 'N SHAKE in the past 30 days</t>
  </si>
  <si>
    <t>St. Louis - P18+ who Used BANDANA'S BAR-B-Q in the past 30 days</t>
  </si>
  <si>
    <t>St. Louis - P18+ who Used THE PASTA HOUSE CO. in the past 30 days</t>
  </si>
  <si>
    <t>Cincinnati - P18+ who Listened to CUMULUS RADIO in the past 7 days</t>
  </si>
  <si>
    <t>https://img1.wsimg.com/blobby/go/fa91e93a-72dd-4def-b76d-173477e02dd0/downloads/183ad4f4-5615-4933-aeec-9b66f5848e4e/HUBBARD%20-%20USA%20-%20CINCINNATI%20METRO%20-%20CUMULUS%20RAD.zip?ver=1747169884356</t>
  </si>
  <si>
    <t>Cincinnati - P18+ who Listened to WFTK-FM in the past 7 days</t>
  </si>
  <si>
    <t>Cincinnati - P18+ who Listened to WGRR-FM in the past 7 days</t>
  </si>
  <si>
    <t>Cincinnati - P18+ who Listened to WOFX-FM in the past 7 days</t>
  </si>
  <si>
    <t>Cincinnati - P18+ who Listened to WRRM-FM in the past 7 days</t>
  </si>
  <si>
    <t>Cincinnati - P18+ who Listened to HUBBARD RADIO in the past 7 days</t>
  </si>
  <si>
    <t>https://img1.wsimg.com/blobby/go/fa91e93a-72dd-4def-b76d-173477e02dd0/downloads/10a6a2be-8b3c-4eea-9123-a118546402be/HUBBARD%20-%20USA%20-%20CINCINNATI%20METRO%20-%20HUBBARD%20RAD.zip?ver=1747169941104</t>
  </si>
  <si>
    <t>Cincinnati - P18+ who Listened to WKRQ-FM in the past 7 days</t>
  </si>
  <si>
    <t>Cincinnati - P18+ who Listened to WREW-FM in the past 7 days</t>
  </si>
  <si>
    <t>Cincinnati - P18+ who Listened to WUBE-FM in the past 7 days</t>
  </si>
  <si>
    <t>Cincinnati - P18+ who Listened to WYGY-FM in the past 7 days</t>
  </si>
  <si>
    <t>St. Louis - P18+ who Listened to KEZK-FM in the past 7 days</t>
  </si>
  <si>
    <t>https://img1.wsimg.com/blobby/go/fa91e93a-72dd-4def-b76d-173477e02dd0/downloads/2f850a24-6e0b-47ec-9ae5-822a78ad64e6/HUBBARD%20-%20USA%20-%20ST.%20LOUIS%20METRO%20-%20AUDACY%20RADIO.zip?ver=1747169960801</t>
  </si>
  <si>
    <t>St. Louis - P18+ who Listened to KFTK-FM in the past 7 days</t>
  </si>
  <si>
    <t>St. Louis - P18+ who Listened to KMOX-AM in the past 7 days</t>
  </si>
  <si>
    <t>St. Louis - P18+ who Listened to KYKY-FM in the past 7 days</t>
  </si>
  <si>
    <t>St. Louis - P18+ who Listened to WFUN-FM in the past 7 days</t>
  </si>
  <si>
    <t>St. Louis - P18+ who Listened to KPNT-FM in the past 7 days</t>
  </si>
  <si>
    <t>https://img1.wsimg.com/blobby/go/fa91e93a-72dd-4def-b76d-173477e02dd0/downloads/4c4927e6-2150-44d4-a8a4-a210112fb087/HUBBARD%20-%20USA%20-%20ST.%20LOUIS%20METRO%20-%20HUBBARD%20RADI.zip?ver=1747170040910</t>
  </si>
  <si>
    <t>St. Louis - P18+ who Listened to KSHE-FM in the past 7 days</t>
  </si>
  <si>
    <t>St. Louis - P18+ who Listened to WARH-FM in the past 7 days</t>
  </si>
  <si>
    <t>St. Louis - P18+ who Listened to WIL-FM in the past 7 days</t>
  </si>
  <si>
    <t>St. Louis - P18+ who Listened to WXOS-FM in the past 7 days</t>
  </si>
  <si>
    <t>Seattle-Tacoma - P18+ who Listened to HUBBARD RADIO in the past 7 days</t>
  </si>
  <si>
    <t>Seattle-Tacoma - P18+ who Listened to KPNW-FM in the past 7 days</t>
  </si>
  <si>
    <t>Seattle-Tacoma - P18+ who Listened to KQMV-FMM in the past 7 days</t>
  </si>
  <si>
    <t>Seattle-Tacoma - P18+ who Listened to KQMV-FM M-F 6A-10A in the past 7 days</t>
  </si>
  <si>
    <t>Seattle-Tacoma - P18+ who Listened to KRWM-FM in the past 7 days</t>
  </si>
  <si>
    <t>Seattle-Tacoma - P18+ who Listened to IHEART RADIO in the past 7 days</t>
  </si>
  <si>
    <t>Seattle-Tacoma - P18+ who Listened to KBKS-FM in the past 7 days</t>
  </si>
  <si>
    <t>Seattle-Tacoma - P18+ who Listened to KJAQ-FM in the past 7 days</t>
  </si>
  <si>
    <t>Seattle-Tacoma - P18+ who Listened to KJEB-FM in the past 7 days</t>
  </si>
  <si>
    <t>Seattle-Tacoma - P18+ who Listened to KZOK-FM in the past 7 days</t>
  </si>
  <si>
    <t>https://img1.wsimg.com/blobby/go/fa91e93a-72dd-4def-b76d-173477e02dd0/downloads/15ac0740-fb2c-4898-ae4d-abf8f8ec5e2b/HUBBARD%20-%20USA%20-%20SEATTLE-TACOMA%20METRO%20-%20HUBBARD.zip?ver=1747409447752</t>
  </si>
  <si>
    <t>https://img1.wsimg.com/blobby/go/fa91e93a-72dd-4def-b76d-173477e02dd0/downloads/71aedc6a-3707-4a30-949b-e3a1005a0d1e/HUBBARD%20-%20USA%20-%20SEATTLE-TACOMA%20METRO%20-%20IHEART%20.zip?ver=1747409469893</t>
  </si>
  <si>
    <t>Seattle-Tacoma - P18+ who Used ANTHONY'S RESTAURANTS in the past 30 days</t>
  </si>
  <si>
    <t>Seattle-Tacoma - P18+ who Used DICK'S DRIVE-IN in the past 30 days</t>
  </si>
  <si>
    <t>Seattle-Tacoma - P18+ who Used IVAR'S SEAFOOD BAR in the past 30 days</t>
  </si>
  <si>
    <t>Seattle-Tacoma - P18+ who Used MOD PIZZA in the past 30 days</t>
  </si>
  <si>
    <t>Seattle-Tacoma - P18+ who Used TACO TIME in the past 30 days</t>
  </si>
  <si>
    <t>https://img1.wsimg.com/blobby/go/fa91e93a-72dd-4def-b76d-173477e02dd0/downloads/f7fa8932-aa3c-4322-9998-8236939ff419/HUBBARD%20-%20USA%20-%20SEATTLE-TACOMA%20DMA%20-%205%20RESTAUR.zip?ver=1747409495309</t>
  </si>
  <si>
    <t>Seattle-Tacoma DMA vs. the USA - P18+ - R1 2025</t>
  </si>
  <si>
    <t>Seattle-Tacoma DMA vs. the USA - P25-54 - R1 2025</t>
  </si>
  <si>
    <t>Seattle-Tacoma DMA vs. the USA - W25-54 - R1 2025</t>
  </si>
  <si>
    <t>Seattle-Tacoma DMA vs. the USA - M25-54 - R1 2025</t>
  </si>
  <si>
    <t>Seattle-Tacoma DMA vs. the USA - P35-64 - R1 2025</t>
  </si>
  <si>
    <t>https://img1.wsimg.com/blobby/go/fa91e93a-72dd-4def-b76d-173477e02dd0/downloads/7892d2d6-38ff-4bec-8043-f2724a7a5b01/HUBBARD%20-%20USA%20-%20SEATTLE-TACOMA%20DMA%20vs.%20USA%20-%205.pdf?ver=1747409515832</t>
  </si>
  <si>
    <t>USA - P18+ who used LinkedIn in the past 30 days</t>
  </si>
  <si>
    <t>Chicago - P18+ who used LinkedIn in the past 30 days</t>
  </si>
  <si>
    <t>Washington, DC - P18+ who used LinkedIn in the past 30 days</t>
  </si>
  <si>
    <t>Seattle - P18+ who used LinkedIn in the past 30 days</t>
  </si>
  <si>
    <t>Phoenix - P18+ who used LinkedIn in the past 30 days</t>
  </si>
  <si>
    <t>Minneapolis - P18+ who used LinkedIn in the past 30 days</t>
  </si>
  <si>
    <t>St. Louis - P18+ who used LinkedIn in the past 30 days</t>
  </si>
  <si>
    <t>Cincinnati - P18+ who used LinkedIn in the past 30 days</t>
  </si>
  <si>
    <t>West Palm Beach - P18+ who used LinkedIn in the past 30 days</t>
  </si>
  <si>
    <t>https://img1.wsimg.com/blobby/go/fa91e93a-72dd-4def-b76d-173477e02dd0/downloads/a980098e-ebe9-47e0-a34b-3fe6f58f0e7d/HUBBARD%20-%20USA%2B4DMAs%20-%20P18%2B%20WHO%20USED%20LINKEDIN%20I.zip?ver=1747768089267</t>
  </si>
  <si>
    <t>https://img1.wsimg.com/blobby/go/fa91e93a-72dd-4def-b76d-173477e02dd0/downloads/c8c7bd26-78a6-4ce0-abed-f67c625003fd/HUBBARD%20-%20USA%2B4MoreDMAs%20-%20P18%2B%20WHO%20USED%20LINKED.zip?ver=1747768121033</t>
  </si>
  <si>
    <t>https://img1.wsimg.com/blobby/go/fa91e93a-72dd-4def-b76d-173477e02dd0/downloads/df4f513f-b6f7-4d7f-a776-34bc4506f375/HUBBARD%20-%20USA%2B4DMAs%20-%20P18%2B%20IN%20HOMES%20THAT%20USED%20.zip?ver=1747861921478</t>
  </si>
  <si>
    <t>https://img1.wsimg.com/blobby/go/fa91e93a-72dd-4def-b76d-173477e02dd0/downloads/9eb7885f-c102-4a89-ac64-254e4652c48a/HUBBARD%20-%20USA%2B4MoreDMAs%20-%20P18%2B%20IN%20HOMES%20THAT%20U.zip?ver=1747861891285</t>
  </si>
  <si>
    <t>USA - P18+ in Households that used TORTILLAS in the past 7 days</t>
  </si>
  <si>
    <t>Chicago - P18+ in Households that used TORTILLAS in the past 7 days</t>
  </si>
  <si>
    <t>Washington, DC - P18+ in Households that used TORTILLAS in the past 7 days</t>
  </si>
  <si>
    <t>Seattle - P18+ in Households that used TORTILLAS in the past 7 days</t>
  </si>
  <si>
    <t>Phoenix - P18+ in Households that used TORTILLAS in the past 7 days</t>
  </si>
  <si>
    <t>Minneapolis - P18+ in Households that used TORTILLAS in the past 7 days</t>
  </si>
  <si>
    <t>St. Louis - P18+ in Households that used TORTILLAS in the past 7 days</t>
  </si>
  <si>
    <t>Cincinnati - P18+ in Households that used TORTILLAS in the past 7 days</t>
  </si>
  <si>
    <t>West Palm Beach - P18+ in Households that used TORTILLAS in the past 7 days</t>
  </si>
  <si>
    <t>Chicago DMA vs. the USA - P18+ - R1 2025</t>
  </si>
  <si>
    <t>Chicago DMA vs. the USA - P25-54 - R1 2025</t>
  </si>
  <si>
    <t>Chicago DMA vs. the USA - W25-54 - R1 2025</t>
  </si>
  <si>
    <t>Chicago DMA vs. the USA - M25-54 - R1 2025</t>
  </si>
  <si>
    <t>Chicago DMA vs. the USA - P35-64 - R1 2025</t>
  </si>
  <si>
    <t>Chicago - P18+ who Used PORTILLO'S in the past 30 days</t>
  </si>
  <si>
    <t>Chicago - P18+ who Used JIMMY JOHN'S in the past 30 days</t>
  </si>
  <si>
    <t>Chicago - P18+ who Used POTBELLY SANDWICH SHOP in the past 30 days</t>
  </si>
  <si>
    <t>Chicago - P18+ who Used ROSATI'S PIZZA in the past 30 days</t>
  </si>
  <si>
    <t>Chicago - P18+ who Used BUONA ITALIAN BEEF in the past 30 days</t>
  </si>
  <si>
    <t>https://img1.wsimg.com/blobby/go/fa91e93a-72dd-4def-b76d-173477e02dd0/downloads/3398638a-dcd4-4c0a-b932-fadb5af82d41/HUBBARD%20-%20USA%20-%20CHICAGO%20IL%20DMA%20-%205%20LOCAL%20QSRs%20.zip?ver=1748015413210</t>
  </si>
  <si>
    <t>https://img1.wsimg.com/blobby/go/fa91e93a-72dd-4def-b76d-173477e02dd0/downloads/86229bec-c4a0-4e01-99c6-98b2c01ae369/HUBBARD%20-%20USA%20-%20CHICAGO%20IL%20DMA%20vs.%20USA%20-%205%20DEM.pdf?ver=1748015380178</t>
  </si>
  <si>
    <t>Chicago - P18+ who Listened to HUBBARD RADIO in the past 7 days</t>
  </si>
  <si>
    <t>Chicago - P18+ who Listened to AUDACY RADIO in the past 7 days</t>
  </si>
  <si>
    <t>Chicago - P18+ who Listened to WBBM-AM in the past 7 days</t>
  </si>
  <si>
    <t>Chicago - P18+ who Listened to WBBM-FM in the past 7 days</t>
  </si>
  <si>
    <t>Chicago - P18+ who Listened to WUSN-FM in the past 7 days</t>
  </si>
  <si>
    <t>Chicago - P18+ who Listened to WXRT-FM in the past 7 days</t>
  </si>
  <si>
    <t>Chicago - P18+ who Listened to WDRV-FM in the past 7 days</t>
  </si>
  <si>
    <t>Chicago - P18+ who Listened to WTBC-FM in the past 7 days</t>
  </si>
  <si>
    <t>Chicago - P18+ who Listened to WTMX-FM M-F 6A-10A in the past 7 days</t>
  </si>
  <si>
    <t>Chicago - P18+ who Listened to WTMX-FM in the past 7 days</t>
  </si>
  <si>
    <t>https://img1.wsimg.com/blobby/go/fa91e93a-72dd-4def-b76d-173477e02dd0/downloads/9ab6ea8c-74dd-48cd-9d07-82bb2a8137c3/HUBBARD%20-%20USA%20-%20CHICAGO%20METRO%20-%20AUDACY%20RADIO%20A.zip?ver=1748086747020</t>
  </si>
  <si>
    <t>https://img1.wsimg.com/blobby/go/fa91e93a-72dd-4def-b76d-173477e02dd0/downloads/562be8ec-ae3d-40cc-abc7-4244db2727b3/HUBBARD%20-%20USA%20-%20CHICAGO%20METRO%20-%20HUBBARD%20RADIO%20.zip?ver=1748086802893</t>
  </si>
  <si>
    <t>USA - P18+ who used a McDonald's QSR One or More Times in the past 30 days</t>
  </si>
  <si>
    <t>https://img1.wsimg.com/blobby/go/fa91e93a-72dd-4def-b76d-173477e02dd0/downloads/a4f5edd1-d397-4ba2-b473-581b1bdbb400/HUBBARD%20-%20USA%2B4DMAs%20-%20P18%2B%20WHO%20USED%20MCDONALD_S.zip?ver=1748457255273</t>
  </si>
  <si>
    <t>Chicago - P18+ who used a McDonald's QSR One or More Times in the past 30 days</t>
  </si>
  <si>
    <t>Washington, DC - P18+ who used a McDonald's QSR One or More Times in the past 30 days</t>
  </si>
  <si>
    <t>Seattle - P18+ who used a McDonald's QSR One or More Times in the past 30 days</t>
  </si>
  <si>
    <t>Phoenix - P18+ who used a McDonald's QSR One or More Times in the past 30 days</t>
  </si>
  <si>
    <t>Minneapolis - P18+ who used a McDonald's QSR One or More Times in the past 30 days</t>
  </si>
  <si>
    <t>https://img1.wsimg.com/blobby/go/fa91e93a-72dd-4def-b76d-173477e02dd0/downloads/339720d2-804c-430b-9d9e-a405df918103/HUBBARD%20-%20USA%2B4MoreDMAs%20-%20P18%2B%20WHO%20USED%20MCDONA.zip?ver=1748457228117</t>
  </si>
  <si>
    <t>St. Louis - P18+ who used a McDonald's QSR One or More Times in the past 30 days</t>
  </si>
  <si>
    <t>Cincinnati - P18+ who used a McDonald's QSR One or More Times in the past 30 days</t>
  </si>
  <si>
    <t>West Palm Beach - P18+ who used a McDonald's QSR One or More Times in the past 30 days</t>
  </si>
  <si>
    <t>Washington, DC DMA vs. the USA - P18+ - R1 2025</t>
  </si>
  <si>
    <t>Washington, DC DMA vs. the USA - P25-54 - R1 2025</t>
  </si>
  <si>
    <t>Washington, DC DMA vs. the USA - W25-54 - R1 2025</t>
  </si>
  <si>
    <t>Washington, DC DMA vs. the USA - M25-54 - R1 2025</t>
  </si>
  <si>
    <t>Washington, DC DMA vs. the USA - P35-64 - R1 2025</t>
  </si>
  <si>
    <t>Washington, DC - P18+ who Used CAVA in the past 30 days</t>
  </si>
  <si>
    <t>Washington, DC - P18+ who Used LEDO PIZZA in the past 30 days</t>
  </si>
  <si>
    <t>Washington, DC - P18+ who Used SILVER DINER in the past 30 days</t>
  </si>
  <si>
    <t>Washington, DC - P18+ who Used ROY ROGERS in the past 30 days</t>
  </si>
  <si>
    <t>Washington, DC - P18+ who Used GLORY DAYS GRILL in the past 30 days</t>
  </si>
  <si>
    <t>https://img1.wsimg.com/blobby/go/fa91e93a-72dd-4def-b76d-173477e02dd0/downloads/8fb29104-894f-44b1-9b90-ec9b46f1ee70/HUBBARD%20-%20USA%20-%20WASHINGTON%20DC%20DMA%20vs.%20USA%20-%205%20.pdf?ver=1748871651420</t>
  </si>
  <si>
    <t>https://img1.wsimg.com/blobby/go/fa91e93a-72dd-4def-b76d-173477e02dd0/downloads/c7c71f24-d3bc-4cf1-b7f4-4a89756b7365/HUBBARD%20-%20USA%20-%20WASHINGTON%20DC%20DMA%20-%205%20LOCAL%20QS.zip?ver=1748638339235</t>
  </si>
  <si>
    <t>Washington, DC - P18+ who Listened to AUDACY RADIO in the past 7 days</t>
  </si>
  <si>
    <t>Washington, DC - P18+ who Listened to IHEART RADIO in the past 7 days</t>
  </si>
  <si>
    <t>Washington, DC - P18+ who Listened to WIAD-FM in the past 7 days</t>
  </si>
  <si>
    <t>Washington, DC - P18+ who Listened to WJFK-FM in the past 7 days</t>
  </si>
  <si>
    <t>Washington, DC - P18+ who Listened to WLZL-FM in the past 7 days</t>
  </si>
  <si>
    <t>Washington, DC - P18+ who Listened to WPGC-FM in the past 7 days</t>
  </si>
  <si>
    <t>Washington, DC - P18+ who Listened to WASH-FM in the past 7 days</t>
  </si>
  <si>
    <t>Washington, DC - P18+ who Listened to WBIG-FM in the past 7 days</t>
  </si>
  <si>
    <t>Washington, DC - P18+ who Listened to WIHT-FM in the past 7 days</t>
  </si>
  <si>
    <t>Washington, DC - P18+ who Listened to WWDC-FM in the past 7 days</t>
  </si>
  <si>
    <t>https://img1.wsimg.com/blobby/go/fa91e93a-72dd-4def-b76d-173477e02dd0/downloads/5b9c533f-005d-4a1f-bcf7-9a7830c65cca/HUBBARD%20-%20USA%20-%20WASHINGTON%20DC%20METRO%20-%20AUDACY%20R.zip?ver=1748897648410</t>
  </si>
  <si>
    <t>https://img1.wsimg.com/blobby/go/fa91e93a-72dd-4def-b76d-173477e02dd0/downloads/e47839ef-75ca-4482-99f4-15cb45d77671/HUBBARD%20-%20USA%20-%20WASHINGTON%20DC%20METRO%20-%20IHEART%20R.zip?ver=1748897689239</t>
  </si>
  <si>
    <t>Washington, DC - P18+ who Used WRC-TV4(NBC) for NEWS in the past 7 days</t>
  </si>
  <si>
    <t>Washington, DC - P18+ who Used WJLA-TV7(ABC) for NEWS in the past 7 days</t>
  </si>
  <si>
    <t>Washington, DC - P18+ who Used WUSA-TV9(CBS) for NEWS in the past 7 days</t>
  </si>
  <si>
    <t>Washington, DC - P18+ who Used WTOP NEWS in the past 7 days</t>
  </si>
  <si>
    <t>Washington, DC - P18+ who Used THE WASHINGTON POST in the past 7 days</t>
  </si>
  <si>
    <t>Washington, DC - P18+ who Attended a WASHINGTON CAPITALS Hockey Game in the past 12mos</t>
  </si>
  <si>
    <t>Washington, DC - P18+ who Attended a WASHINGTON COMMANDERS Football Game in the past 12mos</t>
  </si>
  <si>
    <t>Washington, DC - P18+ who Attended a WASHINGTON MYSTICS WNBA Game in the past 12mos</t>
  </si>
  <si>
    <t>Washington, DC - P18+ who Attended a WASHINGTON NATIONALS Baseball Game in the past 12mos</t>
  </si>
  <si>
    <t>Washington, DC - P18+ who Attended a WASHINGTON WIZARDS NBA Game in the past 12mos</t>
  </si>
  <si>
    <t>https://img1.wsimg.com/blobby/go/fa91e93a-72dd-4def-b76d-173477e02dd0/downloads/ffedbe8b-aa0c-4e67-9e3b-6157a3f5dd8d/HUBBARD%20-%20USA%20-%20WASHINGTON%20DC%20DMA%20-%205%20LOCAL%20PR.zip?ver=1749051511161</t>
  </si>
  <si>
    <t>https://img1.wsimg.com/blobby/go/fa91e93a-72dd-4def-b76d-173477e02dd0/downloads/5822bbe6-0c6d-457f-86db-7536d84122fd/HUBBARD%20-%20USA%20-%20WASHINGTON%20DC%20METRO%20-%205%20LOCAL%20.zip?ver=1748979695926</t>
  </si>
  <si>
    <t>USA - P18+ who used JIFFY LUBE in the past 12 months</t>
  </si>
  <si>
    <t>https://img1.wsimg.com/blobby/go/fa91e93a-72dd-4def-b76d-173477e02dd0/downloads/11ddd332-131b-4b72-a35f-18c8d8a65259/HUBBARD%20-%20USA%2B4DMAs%20-%20P18%2B%20WHO%20USED%20JIFFY%20LUBE.zip?ver=1749155067249</t>
  </si>
  <si>
    <t>Chicago - P18+ who used JIFFY LUBE in the past 12 months</t>
  </si>
  <si>
    <t>Washington, DC - P18+ who used JIFFY LUBE in the past 12 months</t>
  </si>
  <si>
    <t>Seattle - P18+ who used JIFFY LUBE in the past 12 months</t>
  </si>
  <si>
    <t>Phoenix - P18+ who used JIFFY LUBE in the past 12 months</t>
  </si>
  <si>
    <t>Minneapolis - P18+ who used JIFFY LUBE in the past 12 months</t>
  </si>
  <si>
    <t>https://img1.wsimg.com/blobby/go/fa91e93a-72dd-4def-b76d-173477e02dd0/downloads/b8f91ca1-7cfc-44bc-96e7-3d05b5c3322d/HUBBARD%20-%20USA%2B4MoreDMAs%20-%20P18%2B%20WHO%20USED%20JIFFY%20.zip?ver=1749155044088</t>
  </si>
  <si>
    <t>St. Louis - P18+ who used JIFFY LUBE in the past 12 months</t>
  </si>
  <si>
    <t>Cincinnati - P18+ who used JIFFY LUBE in the past 12 months</t>
  </si>
  <si>
    <t>West Palm Beach - P18+ who used JIFFY LUBE in the past 12 months</t>
  </si>
  <si>
    <t xml:space="preserve">USA - P25-54 PARENTS OF SCHOOL-AGE CHILDREN (Ages 6-17) </t>
  </si>
  <si>
    <t>https://img1.wsimg.com/blobby/go/fa91e93a-72dd-4def-b76d-173477e02dd0/downloads/9ec20656-2f0d-4542-a449-c83e8cb5f0ae/HUBBARD%20-%20USA%2B4DMAs%20-%20P25-54%20PARENTS%20OF%20SCHOOL.zip?ver=1749241675124</t>
  </si>
  <si>
    <t xml:space="preserve">Chicago - P25-54 PARENTS OF SCHOOL-AGE CHILDREN (Ages 6-17) </t>
  </si>
  <si>
    <t xml:space="preserve">Washington, DC - P25-54 PARENTS OF SCHOOL-AGE CHILDREN (Ages 6-17) </t>
  </si>
  <si>
    <t xml:space="preserve">Seattle - P25-54 PARENTS OF SCHOOL-AGE CHILDREN (Ages 6-17) </t>
  </si>
  <si>
    <t xml:space="preserve">Phoenix - P25-54 PARENTS OF SCHOOL-AGE CHILDREN (Ages 6-17) </t>
  </si>
  <si>
    <t xml:space="preserve">Minneapolis - P25-54 PARENTS OF SCHOOL-AGE CHILDREN (Ages 6-17) </t>
  </si>
  <si>
    <t>https://img1.wsimg.com/blobby/go/fa91e93a-72dd-4def-b76d-173477e02dd0/downloads/8dc1c3eb-4ac5-4afc-ba19-5be23226843c/HUBBARD%20-%20USA%2B4MoreDMAs%20-%20P25-54%20PARENTS%20OF%20SC.zip?ver=1749241623364</t>
  </si>
  <si>
    <t xml:space="preserve">St. Louis - P25-54 PARENTS OF SCHOOL-AGE CHILDREN (Ages 6-17) </t>
  </si>
  <si>
    <t xml:space="preserve">Cincinnati - P25-54 PARENTS OF SCHOOL-AGE CHILDREN (Ages 6-17) </t>
  </si>
  <si>
    <t xml:space="preserve">West Palm Beach - P25-54 PARENTS OF SCHOOL-AGE CHILDREN (Ages 6-17) </t>
  </si>
  <si>
    <t xml:space="preserve">USA - P18+ SPENDING $75+/mo ON AN IPHONE AND SERVICE PLAN FROM VERIZON </t>
  </si>
  <si>
    <t xml:space="preserve">Chicago - P18+ SPENDING $75+/mo ON AN IPHONE AND SERVICE PLAN FROM VERIZON </t>
  </si>
  <si>
    <t xml:space="preserve">Washington, DC - P18+ SPENDING $75+/mo ON AN IPHONE AND SERVICE PLAN FROM VERIZON </t>
  </si>
  <si>
    <t xml:space="preserve">Seattle - P18+ SPENDING $75+/mo ON AN IPHONE AND SERVICE PLAN FROM VERIZON </t>
  </si>
  <si>
    <t xml:space="preserve">Phoenix - P18+ SPENDING $75+/mo ON AN IPHONE AND SERVICE PLAN FROM VERIZON </t>
  </si>
  <si>
    <t xml:space="preserve">Minneapolis - P18+ SPENDING $75+/mo ON AN IPHONE AND SERVICE PLAN FROM VERIZON </t>
  </si>
  <si>
    <t xml:space="preserve">St. Louis - P18+ SPENDING $75+/mo ON AN IPHONE AND SERVICE PLAN FROM VERIZON </t>
  </si>
  <si>
    <t xml:space="preserve">Cincinnati - P18+ SPENDING $75+/mo ON AN IPHONE AND SERVICE PLAN FROM VERIZON </t>
  </si>
  <si>
    <t xml:space="preserve">West Palm Beach - P18+ SPENDING $75+/mo ON AN IPHONE AND SERVICE PLAN FROM VERIZON </t>
  </si>
  <si>
    <t>https://img1.wsimg.com/blobby/go/fa91e93a-72dd-4def-b76d-173477e02dd0/downloads/24878e50-e936-441b-981e-dce90aa0ed34/HUBBARD%20-%20USA%2B4DMAs%20-%20P18%2B%20%2475%2BMO%20FOR%20IPHONE%20A.zip?ver=1749496632810</t>
  </si>
  <si>
    <t>https://img1.wsimg.com/blobby/go/fa91e93a-72dd-4def-b76d-173477e02dd0/downloads/3130b74a-b111-46b6-bbda-e5554b5a6af3/HUBBARD%20-%20USA%2B4MoreDMAs%20-%20P18%2B%20%2475%2BMO%20FOR%20IPHO.zip?ver=1749496600816</t>
  </si>
  <si>
    <t>https://img1.wsimg.com/blobby/go/fa91e93a-72dd-4def-b76d-173477e02dd0/downloads/8d602858-4a01-446d-9f65-8034ee6cc226/HUBBARD%20-%20USA%2B4DMAs%20-%20P25-54%20%2475%2BMO%20IPHONE%20AND.zip?ver=1749581114126</t>
  </si>
  <si>
    <t>https://img1.wsimg.com/blobby/go/fa91e93a-72dd-4def-b76d-173477e02dd0/downloads/482f9fea-b15d-4c1b-ad90-c39c399c5f0f/HUBBARD%20-%20USA%2B4MoreDMAs%20-%20P25-54%20%2475%2BMO%20IPHONE.zip?ver=1749581079969</t>
  </si>
  <si>
    <t xml:space="preserve">USA - P25-54 SPENDING $75+/mo ON AN IPHONE AND SERVICE PLAN FROM VERIZON </t>
  </si>
  <si>
    <t xml:space="preserve">Chicago - P25-54 SPENDING $75+/mo ON AN IPHONE AND SERVICE PLAN FROM VERIZON </t>
  </si>
  <si>
    <t xml:space="preserve">Washington, DC - P25-54 SPENDING $75+/mo ON AN IPHONE AND SERVICE PLAN FROM VERIZON </t>
  </si>
  <si>
    <t xml:space="preserve">Seattle - P25-54 SPENDING $75+/mo ON AN IPHONE AND SERVICE PLAN FROM VERIZON </t>
  </si>
  <si>
    <t xml:space="preserve">Phoenix - P25-54 SPENDING $75+/mo ON AN IPHONE AND SERVICE PLAN FROM VERIZON </t>
  </si>
  <si>
    <t xml:space="preserve">Minneapolis - P25-54 SPENDING $75+/mo ON AN IPHONE AND SERVICE PLAN FROM VERIZON </t>
  </si>
  <si>
    <t xml:space="preserve">St. Louis - P25-54 SPENDING $75+/mo ON AN IPHONE AND SERVICE PLAN FROM VERIZON </t>
  </si>
  <si>
    <t xml:space="preserve">Cincinnati - P25-54 SPENDING $75+/mo ON AN IPHONE AND SERVICE PLAN FROM VERIZON </t>
  </si>
  <si>
    <t xml:space="preserve">West Palm Beach - P25-54 SPENDING $75+/mo ON AN IPHONE AND SERVICE PLAN FROM VERIZON </t>
  </si>
  <si>
    <t>https://img1.wsimg.com/blobby/go/fa91e93a-72dd-4def-b76d-173477e02dd0/downloads/9eb1a60a-6306-47b8-9abd-6be5bab32732/HUBBARD%20-%20USA%2B4DMAs%20-%20P25-54%20AIRBNB%20%26%20VRBO%20USE.zip?ver=1749735757004</t>
  </si>
  <si>
    <t>https://img1.wsimg.com/blobby/go/fa91e93a-72dd-4def-b76d-173477e02dd0/downloads/ff8a8940-82f8-4443-bdc8-6114a13b9119/HUBBARD%20-%20USA%2B4MoreDMAs%20-%20P25-54%20AIRBNB%20%26%20VRBO.zip?ver=1749735736874</t>
  </si>
  <si>
    <t>USA - P25-54 past 12mos Airbnb and Vrbo Users PLANNING VACATIONS ONLINE past 30 days</t>
  </si>
  <si>
    <t>Chicago - P25-54 past 12mos Airbnb and Vrbo Users PLANNING VACATIONS ONLINE past 30 days</t>
  </si>
  <si>
    <t>Washington, DC - P25-54 past 12mos Airbnb and Vrbo Users PLANNING VACATIONS ONLINE past 30 days</t>
  </si>
  <si>
    <t>Seattle - P25-54 past 12mos Airbnb and Vrbo Users PLANNING VACATIONS ONLINE past 30 days</t>
  </si>
  <si>
    <t>Phoenix - P25-54 past 12mos Airbnb and Vrbo Users PLANNING VACATIONS ONLINE past 30 days</t>
  </si>
  <si>
    <t>Minneapolis - P25-54 past 12mos Airbnb and Vrbo Users PLANNING VACATIONS ONLINE past 30 days</t>
  </si>
  <si>
    <t>St. Louis - P25-54 past 12mos Airbnb and Vrbo Users PLANNING VACATIONS ONLINE past 30 days</t>
  </si>
  <si>
    <t>Cincinnati - P25-54 past 12mos Airbnb and Vrbo Users PLANNING VACATIONS ONLINE past 30 days</t>
  </si>
  <si>
    <t>West Palm Beach - P25-54 past 12mos Airbnb and Vrbo Users PLANNING VACATIONS ONLINE past 30 days</t>
  </si>
  <si>
    <t>https://img1.wsimg.com/blobby/go/fa91e93a-72dd-4def-b76d-173477e02dd0/downloads/d8f5eb6d-adf4-4599-91b1-bee1ffae7dec/HUBBARD%20-%20USA%2B4DMAs%20-%20P18%2B%20PAST%207%20DAYS%20LISTENE.zip?ver=1749832188145</t>
  </si>
  <si>
    <t>https://img1.wsimg.com/blobby/go/fa91e93a-72dd-4def-b76d-173477e02dd0/downloads/49d584b1-0a07-41f9-ba6a-d9e6889b3c82/HUBBARD%20-%20USA%2B4MoreDMAs%20-%20P18%2B%20PAST%207%20DAYS%20LIS.zip?ver=1749832161860</t>
  </si>
  <si>
    <t>USA - P18+ who Listened to Ad-Supported (Free) SPOTIFY in the past 7 days</t>
  </si>
  <si>
    <t>Chicago - P18+ who Listened to Ad-Supported (Free) SPOTIFY in the past 7 days</t>
  </si>
  <si>
    <t>Washington, DC - P18+ who Listened to Ad-Supported (Free) SPOTIFY in the past 7 days</t>
  </si>
  <si>
    <t>Seattle - P18+ who Listened to Ad-Supported (Free) SPOTIFY in the past 7 days</t>
  </si>
  <si>
    <t>Phoenix - P18+ who Listened to Ad-Supported (Free) SPOTIFY in the past 7 days</t>
  </si>
  <si>
    <t>Minneapolis - P18+ who Listened to Ad-Supported (Free) SPOTIFY in the past 7 days</t>
  </si>
  <si>
    <t>St. Louis - P18+ who Listened to Ad-Supported (Free) SPOTIFY in the past 7 days</t>
  </si>
  <si>
    <t>Cincinnati - P18+ who Listened to Ad-Supported (Free) SPOTIFY in the past 7 days</t>
  </si>
  <si>
    <t>West Palm Beach - P18+ who Listened to Ad-Supported (Free) SPOTIFY in the past 7 days</t>
  </si>
  <si>
    <t>USA - P25-54 who use WELLS FARGO</t>
  </si>
  <si>
    <t>Chicago - P25-54 who use WELLS FARGO</t>
  </si>
  <si>
    <t>Washington, DC - P25-54 who use WELLS FARGO</t>
  </si>
  <si>
    <t>Seattle - P25-54 who use WELLS FARGO</t>
  </si>
  <si>
    <t>Phoenix - P25-54 who use WELLS FARGO</t>
  </si>
  <si>
    <t>Minneapolis - P25-54 who use WELLS FARGO</t>
  </si>
  <si>
    <t>St. Louis - P25-54 who use WELLS FARGO</t>
  </si>
  <si>
    <t>Cincinnati - P25-54 who use WELLS FARGO</t>
  </si>
  <si>
    <t>West Palm Beach - P25-54 who use WELLS FARGO</t>
  </si>
  <si>
    <t>https://img1.wsimg.com/blobby/go/fa91e93a-72dd-4def-b76d-173477e02dd0/downloads/4bf87498-a2ef-4942-b39e-8ae7ca1d8044/HUBBARD%20-%20USA%2B4DMAs%20-%20P25-54%20WHO%20USE%20WELLS%20FAR.pdf?ver=1750098358930</t>
  </si>
  <si>
    <t>https://img1.wsimg.com/blobby/go/fa91e93a-72dd-4def-b76d-173477e02dd0/downloads/be55ff7f-5a0d-4adf-a8dc-d333dd2c412e/HUBBARD%20-%20USA%2B4MoreDMAs%20-%20P25-54%20WHO%20USE%20WELLS.pdf?ver=1750098318647</t>
  </si>
  <si>
    <t>USA - P21+ who say they might use the ESPN BET Sportsbook App/Website</t>
  </si>
  <si>
    <t>Chicago - P21+ who say they might use the ESPN BET Sportsbook App/Website</t>
  </si>
  <si>
    <t>Washington, DC - P21+ who say they might use the ESPN BET Sportsbook App/Website</t>
  </si>
  <si>
    <t>Seattle - P21+ who say they might use the ESPN BET Sportsbook App/Website</t>
  </si>
  <si>
    <t>Phoenix - P21+ who say they might use the ESPN BET Sportsbook App/Website</t>
  </si>
  <si>
    <t>Minneapolis - P21+ who say they might use the ESPN BET Sportsbook App/Website</t>
  </si>
  <si>
    <t>St. Louis - P21+ who say they might use the ESPN BET Sportsbook App/Website</t>
  </si>
  <si>
    <t>Cincinnati - P21+ who say they might use the ESPN BET Sportsbook App/Website</t>
  </si>
  <si>
    <t>West Palm Beach - P21+ who say they might use the ESPN BET Sportsbook App/Website</t>
  </si>
  <si>
    <t>https://img1.wsimg.com/blobby/go/fa91e93a-72dd-4def-b76d-173477e02dd0/downloads/d1a57803-bd5a-471c-9d5f-cee3b651e7c3/HUBBARD%20-%20USA%2B4DMAs%20-%20P21%2B%20WHO%20SAY%20THEY%20MIGHT%20.zip?ver=1750259114214</t>
  </si>
  <si>
    <t>https://img1.wsimg.com/blobby/go/fa91e93a-72dd-4def-b76d-173477e02dd0/downloads/7d857c8b-b93e-4ffc-8c2f-273eaa7d9d22/HUBBARD%20-%20USA%2B4MoreDMAs%20-%20P21%2B%20WHO%20SAY%20THEY%20MI.zip?ver=1750259085310</t>
  </si>
  <si>
    <t>https://img1.wsimg.com/blobby/go/fa91e93a-72dd-4def-b76d-173477e02dd0/downloads/1a8456df-5ea0-471d-8f8f-ec336b026f66/HUBBARD%20-%20USA%2B4DMAs%20-%20P18%2B%20WHO%20USED%20CASH%20APP%20I.zip?ver=1750353566695</t>
  </si>
  <si>
    <t>https://img1.wsimg.com/blobby/go/fa91e93a-72dd-4def-b76d-173477e02dd0/downloads/2d6bc927-e430-461e-a6a9-2958f7311e33/HUBBARD%20-%20USA%2B4MoreDMAs%20-%20P18%2B%20WHO%20USED%20CASH%20A.zip?ver=1750353543333</t>
  </si>
  <si>
    <t>USA - P18+ who used CASH APP in the past 3 months</t>
  </si>
  <si>
    <t>Chicago - P18+ who used CASH APP in the past 3 months</t>
  </si>
  <si>
    <t>Washington, DC - P18+ who used CASH APP in the past 3 months</t>
  </si>
  <si>
    <t>Seattle - P18+ who used CASH APP in the past 3 months</t>
  </si>
  <si>
    <t>Phoenix - P18+ who used CASH APP in the past 3 months</t>
  </si>
  <si>
    <t>Minneapolis - P18+ who used CASH APP in the past 3 months</t>
  </si>
  <si>
    <t>St. Louis - P18+ who used CASH APP in the past 3 months</t>
  </si>
  <si>
    <t>Cincinnati - P18+ who used CASH APP in the past 3 months</t>
  </si>
  <si>
    <t>West Palm Beach - P18+ who used CASH APP in the past 3 months</t>
  </si>
  <si>
    <t>USA - P21+ Single-Family Homeowners who Plan to Replace or Repair their ROOF</t>
  </si>
  <si>
    <t>Chicago - P21+ Single-Family Homeowners who Plan to Replace or Repair their ROOF</t>
  </si>
  <si>
    <t>Washington, DC - P21+ Single-Family Homeowners who Plan to Replace or Repair their ROOF</t>
  </si>
  <si>
    <t>Seattle - P21+ Single-Family Homeowners who Plan to Replace or Repair their ROOF</t>
  </si>
  <si>
    <t>Phoenix - P21+ Single-Family Homeowners who Plan to Replace or Repair their ROOF</t>
  </si>
  <si>
    <t>Minneapolis - P21+ Single-Family Homeowners who Plan to Replace or Repair their ROOF</t>
  </si>
  <si>
    <t>St. Louis - P21+ Single-Family Homeowners who Plan to Replace or Repair their ROOF</t>
  </si>
  <si>
    <t>Cincinnati - P21+ Single-Family Homeowners who Plan to Replace or Repair their ROOF</t>
  </si>
  <si>
    <t>West Palm Beach - P21+ Single-Family Homeowners who Plan to Replace or Repair their ROOF</t>
  </si>
  <si>
    <t>https://img1.wsimg.com/blobby/go/fa91e93a-72dd-4def-b76d-173477e02dd0/downloads/f3baf295-753d-461d-bc4c-d83e4b305bb1/HUBBARD%20-%20USA%2B4DMAs%20-%20P21%2B%20HOMEOWNERS%20WHO%20PLAN.zip?ver=1750784467942</t>
  </si>
  <si>
    <t>https://img1.wsimg.com/blobby/go/fa91e93a-72dd-4def-b76d-173477e02dd0/downloads/0aebc6f8-389c-4963-a0f2-fb4ff206432b/HUBBARD%20-%20USA%2B4MoreDMAs%20-%20P21%2B%20HOMEOWNERS%20WHO%20.zip?ver=1750784438884</t>
  </si>
  <si>
    <t>USA - P18+ who used a CHIROPRACTOR in the past 12 months</t>
  </si>
  <si>
    <t>Chicago - P18+ who used a CHIROPRACTOR in the past 12 months</t>
  </si>
  <si>
    <t>Washington, DC - P18+ who used a CHIROPRACTOR in the past 12 months</t>
  </si>
  <si>
    <t>Seattle - P18+ who used a CHIROPRACTOR in the past 12 months</t>
  </si>
  <si>
    <t>Phoenix - P18+ who used a CHIROPRACTOR in the past 12 months</t>
  </si>
  <si>
    <t>Minneapolis - P18+ who used a CHIROPRACTOR in the past 12 months</t>
  </si>
  <si>
    <t>St. Louis - P18+ who used a CHIROPRACTOR in the past 12 months</t>
  </si>
  <si>
    <t>Cincinnati - P18+ who used a CHIROPRACTOR in the past 12 months</t>
  </si>
  <si>
    <t>West Palm Beach - P18+ who used a CHIROPRACTOR in the past 12 months</t>
  </si>
  <si>
    <t>https://img1.wsimg.com/blobby/go/fa91e93a-72dd-4def-b76d-173477e02dd0/downloads/db6d2aa7-f516-464e-9ae3-c1c3a6cf4b68/HUBBARD%20-%20USA%2B4DMAs%20-%20P18%2B%20PAST%2012%20MONTHS%20CHIR.zip?ver=1750944211267</t>
  </si>
  <si>
    <t>https://img1.wsimg.com/blobby/go/fa91e93a-72dd-4def-b76d-173477e02dd0/downloads/9b1a7b3b-f04c-4c28-8b80-db0b1c019866/HUBBARD%20-%20USA%2B4MoreDMAs%20-%20P18%2B%20PAST%2012%20MONTHS%20.zip?ver=1750944188819</t>
  </si>
  <si>
    <t>https://img1.wsimg.com/blobby/go/fa91e93a-72dd-4def-b76d-173477e02dd0/downloads/87d4ea5f-f083-4138-8da6-11eed49673f6/HUBBARD%20-%20USA%2B4DMAs%20-%20P18%2B%20WEEKLY%20DRIVERS%20WHO%20.zip?ver=1751050052301</t>
  </si>
  <si>
    <t>https://img1.wsimg.com/blobby/go/fa91e93a-72dd-4def-b76d-173477e02dd0/downloads/bd2fec18-55e5-4da4-9378-6c5123aa4196/HUBBARD%20-%20USA%2B4MoreDMAs%20-%20P18%2B%20WEEKLY%20DRIVERS%20.zip?ver=1751050027074</t>
  </si>
  <si>
    <t>USA - P18+ Weekly Drivers who Listened to Local Ad-Supported AM Radio past 7 days</t>
  </si>
  <si>
    <t>Chicago - P18+ Weekly Drivers who Listened to Local Ad-Supported AM Radio past 7 days</t>
  </si>
  <si>
    <t>Washington, DC - P18+ Weekly Drivers who Listened to Local Ad-Supported AM Radio past 7 days</t>
  </si>
  <si>
    <t>Seattle - P18+ Weekly Drivers who Listened to Local Ad-Supported AM Radio past 7 days</t>
  </si>
  <si>
    <t>Phoenix - P18+ Weekly Drivers who Listened to Local Ad-Supported AM Radio past 7 days</t>
  </si>
  <si>
    <t>Minneapolis - P18+ Weekly Drivers who Listened to Local Ad-Supported AM Radio past 7 days</t>
  </si>
  <si>
    <t>St. Louis - P18+ Weekly Drivers who Listened to Local Ad-Supported AM Radio past 7 days</t>
  </si>
  <si>
    <t>Cincinnati - P18+ Weekly Drivers who Listened to Local Ad-Supported AM Radio past 7 days</t>
  </si>
  <si>
    <t>West Palm Beach - P18+ Weekly Drivers who Listened to Local Ad-Supported AM Radio past 7 days</t>
  </si>
  <si>
    <t>USA - P21+ who Drank SCOTCH WHISKY in the past 30 days</t>
  </si>
  <si>
    <t>Chicago - P21+ who Drank SCOTCH WHISKY in the past 30 days</t>
  </si>
  <si>
    <t>Washington, DC - P21+ who Drank SCOTCH WHISKY in the past 30 days</t>
  </si>
  <si>
    <t>Seattle - P21+ who Drank SCOTCH WHISKY in the past 30 days</t>
  </si>
  <si>
    <t>Phoenix - P21+ who Drank SCOTCH WHISKY in the past 30 days</t>
  </si>
  <si>
    <t>Minneapolis - P21+ who Drank SCOTCH WHISKY in the past 30 days</t>
  </si>
  <si>
    <t>St. Louis - P21+ who Drank SCOTCH WHISKY in the past 30 days</t>
  </si>
  <si>
    <t>Cincinnati - P21+ who Drank SCOTCH WHISKY in the past 30 days</t>
  </si>
  <si>
    <t>West Palm Beach - P21+ who Drank SCOTCH WHISKY in the past 30 days</t>
  </si>
  <si>
    <t>https://img1.wsimg.com/blobby/go/fa91e93a-72dd-4def-b76d-173477e02dd0/downloads/df792c2d-d4cf-433e-bdf0-c6b110da258d/HUBBARD%20-%20USA%2B4DMAs%20-%20P21%2B%20WHO%20DRANK%20SCOTCH%20WH.zip?ver=1751383153021</t>
  </si>
  <si>
    <t>https://img1.wsimg.com/blobby/go/fa91e93a-72dd-4def-b76d-173477e02dd0/downloads/f94bd3c3-5656-4e9a-8499-a003c807937c/HUBBARD%20-%20USA%2B4MoreDMAs%20-%20P21%2B%20WHO%20DRANK%20SCOTC.zip?ver=1751383115197</t>
  </si>
  <si>
    <t>USA - P18+ who Plan to Buy a Used Vehicle next 12mos &amp; would Shop at CarMax</t>
  </si>
  <si>
    <t>https://img1.wsimg.com/blobby/go/fa91e93a-72dd-4def-b76d-173477e02dd0/downloads/d25fe1fb-8f1c-4eb2-8e37-20acc054db7c/HUBBARD%20-%20USA%2B4DMAs%20-%20P18%2B%20PLAN%20TO%20BUY%20A%20USED%20.zip?ver=1751471481532</t>
  </si>
  <si>
    <t>Chicago - P18+ who Plan to Buy a Used Vehicle next 12mos &amp; would Shop at CarMax</t>
  </si>
  <si>
    <t>Washington, DC - P18+ who Plan to Buy a Used Vehicle next 12mos &amp; would Shop at CarMax</t>
  </si>
  <si>
    <t>Seattle - P18+ who Plan to Buy a Used Vehicle next 12mos &amp; would Shop at CarMax</t>
  </si>
  <si>
    <t>Phoenix - P18+ who Plan to Buy a Used Vehicle next 12mos &amp; would Shop at CarMax</t>
  </si>
  <si>
    <t>Minneapolis - P18+ who Plan to Buy a Used Vehicle next 12mos &amp; would Shop at CarMax</t>
  </si>
  <si>
    <t>https://img1.wsimg.com/blobby/go/fa91e93a-72dd-4def-b76d-173477e02dd0/downloads/442ee8d4-8192-412d-81ef-591ee1c9629f/HUBBARD%20-%20USA%2B4MoreDMAs%20-%20P18%2B%20PLAN%20TO%20BUY%20A%20U.zip?ver=1751471449269</t>
  </si>
  <si>
    <t>St. Louis - P18+ who Plan to Buy a Used Vehicle next 12mos &amp; would Shop at CarMax</t>
  </si>
  <si>
    <t>Cincinnati - P18+ who Plan to Buy a Used Vehicle next 12mos &amp; would Shop at CarMax</t>
  </si>
  <si>
    <t>West Palm Beach - P18+ who Plan to Buy a Used Vehicle next 12mos &amp; would Shop at CarMax</t>
  </si>
  <si>
    <t>USA - P18+ who had their Vehicle's TRANSMISSION Repaired or Replaced past 12mos</t>
  </si>
  <si>
    <t>Chicago - P18+ who had their Vehicle's TRANSMISSION Repaired or Replaced past 12mos</t>
  </si>
  <si>
    <t>Washington, DC - P18+ who had their Vehicle's TRANSMISSION Repaired or Replaced past 12mos</t>
  </si>
  <si>
    <t>Seattle - P18+ who had their Vehicle's TRANSMISSION Repaired or Replaced past 12mos</t>
  </si>
  <si>
    <t>Phoenix - P18+ who had their Vehicle's TRANSMISSION Repaired or Replaced past 12mos</t>
  </si>
  <si>
    <t>Minneapolis - P18+ who had their Vehicle's TRANSMISSION Repaired or Replaced past 12mos</t>
  </si>
  <si>
    <t>St. Louis - P18+ who had their Vehicle's TRANSMISSION Repaired or Replaced past 12mos</t>
  </si>
  <si>
    <t>Cincinnati - P18+ who had their Vehicle's TRANSMISSION Repaired or Replaced past 12mos</t>
  </si>
  <si>
    <t>West Palm Beach - P18+ who had their Vehicle's TRANSMISSION Repaired or Replaced past 12mos</t>
  </si>
  <si>
    <t>https://img1.wsimg.com/blobby/go/fa91e93a-72dd-4def-b76d-173477e02dd0/downloads/5f1f0d44-cbdb-4f6c-b9de-c37bce7e115a/HUBBARD%20-%20USA%2B4DMAs%20-%20P18%2B%20WHO%20HAD%20THEIR%20TRANS.zip?ver=1751900023592</t>
  </si>
  <si>
    <t>https://img1.wsimg.com/blobby/go/fa91e93a-72dd-4def-b76d-173477e02dd0/downloads/cfa4844e-0832-4629-b69e-c2f4ff861c79/HUBBARD%20-%20USA%2B4MoreDMAs%20-%20P18%2B%20WHO%20HAD%20THEIR%20T.zip?ver=1751899997719</t>
  </si>
  <si>
    <t>USA - P21+ who Plan to Visit a SHOOTING RANGE in the next 12 months</t>
  </si>
  <si>
    <t>https://img1.wsimg.com/blobby/go/fa91e93a-72dd-4def-b76d-173477e02dd0/downloads/d2ca0413-ef90-40fb-97b0-fe233db3fc04/HUBBARD%20-%20USA%2B4DMAs%20-%20P21%2B%20WHO%20PLAN%20TO%20VISIT%20A.zip?ver=1752091160738</t>
  </si>
  <si>
    <t>Chicago - P21+ who Plan to Visit a SHOOTING RANGE in the next 12 months</t>
  </si>
  <si>
    <t>Washington, DC - P21+ who Plan to Visit a SHOOTING RANGE in the next 12 months</t>
  </si>
  <si>
    <t>Seattle - P21+ who Plan to Visit a SHOOTING RANGE in the next 12 months</t>
  </si>
  <si>
    <t>Phoenix - P21+ who Plan to Visit a SHOOTING RANGE in the next 12 months</t>
  </si>
  <si>
    <t>Minneapolis - P21+ who Plan to Visit a SHOOTING RANGE in the next 12 months</t>
  </si>
  <si>
    <t>https://img1.wsimg.com/blobby/go/fa91e93a-72dd-4def-b76d-173477e02dd0/downloads/e571281f-fdc9-4595-bf57-f9cf5f9ee54b/HUBBARD%20-%20USA%2B4MoreDMAs%20-%20P21%2B%20WHO%20PLAN%20TO%20VIS.zip?ver=1752091132934</t>
  </si>
  <si>
    <t>St. Louis - P21+ who Plan to Visit a SHOOTING RANGE in the next 12 months</t>
  </si>
  <si>
    <t>Cincinnati - P21+ who Plan to Visit a SHOOTING RANGE in the next 12 months</t>
  </si>
  <si>
    <t>West Palm Beach - P21+ who Plan to Visit a SHOOTING RANGE in the next 12 months</t>
  </si>
  <si>
    <t>https://img1.wsimg.com/blobby/go/fa91e93a-72dd-4def-b76d-173477e02dd0/downloads/31be6b47-8bad-4583-9484-014d869b7990/HUBBARD%20-%20USA%2B4DMAs%20-%20P21%2B%20WHO%20USED%20BUFFALO%20WI.zip?ver=1752257670087</t>
  </si>
  <si>
    <t>https://img1.wsimg.com/blobby/go/fa91e93a-72dd-4def-b76d-173477e02dd0/downloads/24fc83c3-ed9f-4af6-a021-633da8fbb39e/HUBBARD%20-%20USA%2B4MoreDMAs%20-%20P21%2B%20WHO%20USED%20BUFFAL.zip?ver=1752257637499</t>
  </si>
  <si>
    <t>USA - P21+ who Used BUFFALO WILD WINGS in the past 30 days</t>
  </si>
  <si>
    <t>Chicago - P21+ who Used BUFFALO WILD WINGS in the past 30 days</t>
  </si>
  <si>
    <t>Washington, DC - P21+ who Used BUFFALO WILD WINGS in the past 30 days</t>
  </si>
  <si>
    <t>Seattle - P21+ who Used BUFFALO WILD WINGS in the past 30 days</t>
  </si>
  <si>
    <t>Phoenix - P21+ who Used BUFFALO WILD WINGS in the past 30 days</t>
  </si>
  <si>
    <t>Minneapolis - P21+ who Used BUFFALO WILD WINGS in the past 30 days</t>
  </si>
  <si>
    <t>St. Louis - P21+ who Used BUFFALO WILD WINGS in the past 30 days</t>
  </si>
  <si>
    <t>Cincinnati - P21+ who Used BUFFALO WILD WINGS in the past 30 days</t>
  </si>
  <si>
    <t>West Palm Beach - P21+ who Used BUFFALO WILD WINGS in the past 30 days</t>
  </si>
  <si>
    <t>USA - P35+ Single-Family Homeowners who Plan to Replace their GARAGE DOOR next 12mos</t>
  </si>
  <si>
    <t>Chicago - P35+ Single-Family Homeowners who Plan to Replace their GARAGE DOOR next 12mos</t>
  </si>
  <si>
    <t>Washington, DC - P35+ Single-Family Homeowners who Plan to Replace their GARAGE DOOR next 12mos</t>
  </si>
  <si>
    <t>Seattle - P35+ Single-Family Homeowners who Plan to Replace their GARAGE DOOR next 12mos</t>
  </si>
  <si>
    <t>Phoenix - P35+ Single-Family Homeowners who Plan to Replace their GARAGE DOOR next 12mos</t>
  </si>
  <si>
    <t>Minneapolis - P35+ Single-Family Homeowners who Plan to Replace their GARAGE DOOR next 12mos</t>
  </si>
  <si>
    <t>St. Louis - P35+ Single-Family Homeowners who Plan to Replace their GARAGE DOOR next 12mos</t>
  </si>
  <si>
    <t>Cincinnati - P35+ Single-Family Homeowners who Plan to Replace their GARAGE DOOR next 12mos</t>
  </si>
  <si>
    <t>West Palm Beach - P35+ Single-Family Homeowners who Plan to Replace their GARAGE DOOR next 12mos</t>
  </si>
  <si>
    <t>https://img1.wsimg.com/blobby/go/fa91e93a-72dd-4def-b76d-173477e02dd0/downloads/9166cef2-d241-45c4-a272-39888a383ada/HUBBARD%20-%20USA%2B4MoreDMAs%20-%20P35%2B%20HOMEOWNERS%20WHO%20.zip?ver=1753361133722</t>
  </si>
  <si>
    <t>https://img1.wsimg.com/blobby/go/fa91e93a-72dd-4def-b76d-173477e02dd0/downloads/125fd580-fe10-4a04-afd6-f887610fba98/HUBBARD%20-%20USA%2B4DMAs%20-%20P35%2B%20HOMEOWNERS%20WHO%20PLAN.zip?ver=1753361194753</t>
  </si>
  <si>
    <t>https://img1.wsimg.com/blobby/go/fa91e93a-72dd-4def-b76d-173477e02dd0/downloads/bd4709c2-34a7-4638-8ffd-bb8bd7fa90b4/HUBBARD%20-%20USA%2B4DMAs%20-%20P21-34%20WHO%20HAVE%20A%20STUDEN.zip?ver=1753728269259</t>
  </si>
  <si>
    <t>https://img1.wsimg.com/blobby/go/fa91e93a-72dd-4def-b76d-173477e02dd0/downloads/25dfe954-7e1a-46e4-bbd0-4945376954a8/HUBBARD%20-%20USA%2B4MoreDMAs%20-%20P21-34%20WHO%20HAVE%20A%20ST.zip?ver=1753728237085</t>
  </si>
  <si>
    <t>USA - P25-64 Current or Former MILITARY Members who DON'T Use USAA</t>
  </si>
  <si>
    <t>Chicago - P25-64 Current or Former MILITARY Members who DON'T Use USAA</t>
  </si>
  <si>
    <t>Washington, DC - P25-64 Current or Former MILITARY Members who DON'T Use USAA</t>
  </si>
  <si>
    <t>Seattle - P25-64 Current or Former MILITARY Members who DON'T Use USAA</t>
  </si>
  <si>
    <t>Phoenix - P25-64 Current or Former MILITARY Members who DON'T Use USAA</t>
  </si>
  <si>
    <t>Minneapolis - P25-64 Current or Former MILITARY Members who DON'T Use USAA</t>
  </si>
  <si>
    <t>St. Louis - P25-64 Current or Former MILITARY Members who DON'T Use USAA</t>
  </si>
  <si>
    <t>Cincinnati - P25-64 Current or Former MILITARY Members who DON'T Use USAA</t>
  </si>
  <si>
    <t>West Palm Beach - P25-64 Current or Former MILITARY Members who DON'T Use USAA</t>
  </si>
  <si>
    <t>https://img1.wsimg.com/blobby/go/fa91e93a-72dd-4def-b76d-173477e02dd0/downloads/89c38e4a-aa9a-4c03-aa6a-fc3553c6705a/HUBBARD%20-%20USA%2B4DMAs%20-%20P25-64%20CURRENT%20OR%20FORMER.zip?ver=1753822998149</t>
  </si>
  <si>
    <t>https://img1.wsimg.com/blobby/go/fa91e93a-72dd-4def-b76d-173477e02dd0/downloads/b4dd1281-109a-45d1-9960-fdfe5ffcf1a8/HUBBARD%20-%20USA%2B4MoreDMAs%20-%20P25-64%20CURRENT%20OR%20FO.zip?ver=1753822959297</t>
  </si>
  <si>
    <t>USA - P18+ who Purchased Items at VICTORIA'S SECRET in the past 3 months</t>
  </si>
  <si>
    <t>Chicago - P18+ who Purchased Items at VICTORIA'S SECRET in the past 3 months</t>
  </si>
  <si>
    <t>Washington, DC - P18+ who Purchased Items at VICTORIA'S SECRET in the past 3 months</t>
  </si>
  <si>
    <t>Seattle - P18+ who Purchased Items at VICTORIA'S SECRET in the past 3 months</t>
  </si>
  <si>
    <t>Phoenix - P18+ who Purchased Items at VICTORIA'S SECRET in the past 3 months</t>
  </si>
  <si>
    <t>Minneapolis - P18+ who Purchased Items at VICTORIA'S SECRET in the past 3 months</t>
  </si>
  <si>
    <t>St. Louis - P18+ who Purchased Items at VICTORIA'S SECRET in the past 3 months</t>
  </si>
  <si>
    <t>Cincinnati - P18+ who Purchased Items at VICTORIA'S SECRET in the past 3 months</t>
  </si>
  <si>
    <t>West Palm Beach - P18+ who Purchased Items at VICTORIA'S SECRET in the past 3 months</t>
  </si>
  <si>
    <t>https://img1.wsimg.com/blobby/go/fa91e93a-72dd-4def-b76d-173477e02dd0/downloads/9c371f07-d998-4aa7-8b73-80021059ad36/HUBBARD%20-%20USA%2B4DMAs%20-%20P18%2B%20WHO%20PURCHASED%20ITEMS.zip?ver=1753970964761</t>
  </si>
  <si>
    <t>https://img1.wsimg.com/blobby/go/fa91e93a-72dd-4def-b76d-173477e02dd0/downloads/b03406b3-4241-49ea-bc4a-a5110d38d470/HUBBARD%20-%20USA%2B4MoreDMAs%20-%20P18%2B%20WHO%20PURCHASED%20I.zip?ver=1753970884335</t>
  </si>
  <si>
    <t>USA - P21-34 who have a STUDENT LOAN that they need to Pay Off</t>
  </si>
  <si>
    <t>Chicago - P21-34 who have a STUDENT LOAN that they need to Pay Off</t>
  </si>
  <si>
    <t>Washington, DC - P21-34 who have a STUDENT LOAN that they need to Pay Off</t>
  </si>
  <si>
    <t>Seattle - P21-34 who have a STUDENT LOAN that they need to Pay Off</t>
  </si>
  <si>
    <t>Phoenix - P21-34 who have a STUDENT LOAN that they need to Pay Off</t>
  </si>
  <si>
    <t>Minneapolis - P21-34 who have a STUDENT LOAN that they need to Pay Off</t>
  </si>
  <si>
    <t>St. Louis - P21-34 who have a STUDENT LOAN that they need to Pay Off</t>
  </si>
  <si>
    <t>Cincinnati - P21-34 who have a STUDENT LOAN that they need to Pay Off</t>
  </si>
  <si>
    <t>West Palm Beach - P21-34 who have a STUDENT LOAN that they need to Pay Off</t>
  </si>
  <si>
    <t>https://img1.wsimg.com/blobby/go/fa91e93a-72dd-4def-b76d-173477e02dd0/downloads/ebdd2400-0f2b-402a-8882-5ff8b6972d15/HUBBARD%20-%20USA%2B4MoreDMAs%20-%20P21%2B%20WHO%20USED%20CARNIV.zip?ver=1754077462168</t>
  </si>
  <si>
    <t>https://img1.wsimg.com/blobby/go/fa91e93a-72dd-4def-b76d-173477e02dd0/downloads/207bfa81-6327-4f58-a524-47f75053d26b/HUBBARD%20-%20USA%2B4DMAs%20-%20P21%2B%20WHO%20USED%20CARNIVAL%20C.zip?ver=1754077512877</t>
  </si>
  <si>
    <t>USA - P21+ who Used CARNIVAL CRUISE LINES in the past 3 years</t>
  </si>
  <si>
    <t>Chicago - P21+ who Used CARNIVAL CRUISE LINES in the past 3 years</t>
  </si>
  <si>
    <t>Washington, DC - P21+ who Used CARNIVAL CRUISE LINES in the past 3 years</t>
  </si>
  <si>
    <t>Seattle - P21+ who Used CARNIVAL CRUISE LINES in the past 3 years</t>
  </si>
  <si>
    <t>Phoenix - P21+ who Used CARNIVAL CRUISE LINES in the past 3 years</t>
  </si>
  <si>
    <t>Minneapolis - P21+ who Used CARNIVAL CRUISE LINES in the past 3 years</t>
  </si>
  <si>
    <t>St. Louis - P21+ who Used CARNIVAL CRUISE LINES in the past 3 years</t>
  </si>
  <si>
    <t>Cincinnati - P21+ who Used CARNIVAL CRUISE LINES in the past 3 years</t>
  </si>
  <si>
    <t>West Palm Beach - P21+ who Used CARNIVAL CRUISE LINES in the past 3 years</t>
  </si>
  <si>
    <t>USA - P18+ who Read THE NEW YORK TIMES in Print and/or Online in the past 30 days</t>
  </si>
  <si>
    <t>Chicago - P18+ who Read THE NEW YORK TIMES in Print and/or Online in the past 30 days</t>
  </si>
  <si>
    <t>Washington, DC - P18+ who Read THE NEW YORK TIMES in Print and/or Online in the past 30 days</t>
  </si>
  <si>
    <t>Seattle - P18+ who Read THE NEW YORK TIMES in Print and/or Online in the past 30 days</t>
  </si>
  <si>
    <t>Phoenix - P18+ who Read THE NEW YORK TIMES in Print and/or Online in the past 30 days</t>
  </si>
  <si>
    <t>Minneapolis - P18+ who Read THE NEW YORK TIMES in Print and/or Online in the past 30 days</t>
  </si>
  <si>
    <t>St. Louis - P18+ who Read THE NEW YORK TIMES in Print and/or Online in the past 30 days</t>
  </si>
  <si>
    <t>Cincinnati - P18+ who Read THE NEW YORK TIMES in Print and/or Online in the past 30 days</t>
  </si>
  <si>
    <t>West Palm Beach - P18+ who Read THE NEW YORK TIMES in Print and/or Online in the past 30 days</t>
  </si>
  <si>
    <t>https://img1.wsimg.com/blobby/go/fa91e93a-72dd-4def-b76d-173477e02dd0/downloads/93edab46-f6f8-4799-a946-37a185affcd6/HUBBARD%20-%20USA%2B4MoreDMAs%20-%20P18%2B%20WHO%20READ%20THE%20NE.zip?ver=1754333269544</t>
  </si>
  <si>
    <t>https://img1.wsimg.com/blobby/go/fa91e93a-72dd-4def-b76d-173477e02dd0/downloads/b11f790d-d3f5-4561-b2d8-2e5839f764e3/HUBBARD%20-%20USA%2B4DMAs%20-%20P18%2B%20WHO%20READ%20THE%20NEW%20YO.zip?ver=1754333316346</t>
  </si>
  <si>
    <t>USA - P21+ who Purchased TOBACCO Products at a CONVENIENCE STORE past 7 days</t>
  </si>
  <si>
    <t>Chicago - P21+ who Purchased TOBACCO Products at a CONVENIENCE STORE past 7 days</t>
  </si>
  <si>
    <t>Washington, DC - P21+ who Purchased TOBACCO Products at a CONVENIENCE STORE past 7 days</t>
  </si>
  <si>
    <t>Seattle - P21+ who Purchased TOBACCO Products at a CONVENIENCE STORE past 7 days</t>
  </si>
  <si>
    <t>Phoenix - P21+ who Purchased TOBACCO Products at a CONVENIENCE STORE past 7 days</t>
  </si>
  <si>
    <t>Minneapolis - P21+ who Purchased TOBACCO Products at a CONVENIENCE STORE past 7 days</t>
  </si>
  <si>
    <t>St. Louis - P21+ who Purchased TOBACCO Products at a CONVENIENCE STORE past 7 days</t>
  </si>
  <si>
    <t>Cincinnati - P21+ who Purchased TOBACCO Products at a CONVENIENCE STORE past 7 days</t>
  </si>
  <si>
    <t>West Palm Beach - P21+ who Purchased TOBACCO Products at a CONVENIENCE STORE past 7 days</t>
  </si>
  <si>
    <t>https://img1.wsimg.com/blobby/go/fa91e93a-72dd-4def-b76d-173477e02dd0/downloads/96a482ff-f158-4931-ae06-fb5755a02e1a/HUBBARD%20-%20USA%2B4MoreDMAs%20-%20P21%2B%20WHO%20PURCHASE%20TO.zip?ver=1754487277061</t>
  </si>
  <si>
    <t>https://img1.wsimg.com/blobby/go/fa91e93a-72dd-4def-b76d-173477e02dd0/downloads/f37cbaad-d446-43fb-b6d5-fbd826c53de7/HUBBARD%20-%20USA%2B4DMAs%20-%20P21%2B%20WHO%20PURCHASE%20TOBACC.zip?ver=1754487331600</t>
  </si>
  <si>
    <t>USA - P21+ who Drank CORONA or MODELO or PACIFICO in the past 30 days</t>
  </si>
  <si>
    <t>Chicago - P21+ who Drank CORONA or MODELO or PACIFICO in the past 30 days</t>
  </si>
  <si>
    <t>Washington, DC - P21+ who Drank CORONA or MODELO or PACIFICO in the past 30 days</t>
  </si>
  <si>
    <t>Seattle - P21+ who Drank CORONA or MODELO or PACIFICO in the past 30 days</t>
  </si>
  <si>
    <t>Phoenix - P21+ who Drank CORONA or MODELO or PACIFICO in the past 30 days</t>
  </si>
  <si>
    <t>Minneapolis - P21+ who Drank CORONA or MODELO or PACIFICO in the past 30 days</t>
  </si>
  <si>
    <t>St. Louis - P21+ who Drank CORONA or MODELO or PACIFICO in the past 30 days</t>
  </si>
  <si>
    <t>Cincinnati - P21+ who Drank CORONA or MODELO or PACIFICO in the past 30 days</t>
  </si>
  <si>
    <t>West Palm Beach - P21+ who Drank CORONA or MODELO or PACIFICO in the past 30 days</t>
  </si>
  <si>
    <t>https://img1.wsimg.com/blobby/go/fa91e93a-72dd-4def-b76d-173477e02dd0/downloads/146e667d-36d0-4369-b343-b43371adf467/HUBBARD%20-%20USA%2B4DMAs%20-%20P21%2B%20WHO%20DRANK%20CORONA%20or.zip?ver=1754596582787</t>
  </si>
  <si>
    <t>https://img1.wsimg.com/blobby/go/fa91e93a-72dd-4def-b76d-173477e02dd0/downloads/decac750-411d-4bfd-a92b-66638c46b988/HUBBARD%20-%20USA%2B4MoreDMAs%20-%20P21%2B%20WHO%20DRANK%20CORON.zip?ver=1754596556108</t>
  </si>
  <si>
    <t>USA - P21+ who Plan to Visit an AXE THROWING Venue in the next 12 months</t>
  </si>
  <si>
    <t>Chicago - P21+ who Plan to Visit an AXE THROWING Venue in the next 12 months</t>
  </si>
  <si>
    <t>Washington, DC - P21+ who Plan to Visit an AXE THROWING Venue in the next 12 months</t>
  </si>
  <si>
    <t>Seattle - P21+ who Plan to Visit an AXE THROWING Venue in the next 12 months</t>
  </si>
  <si>
    <t>Phoenix - P21+ who Plan to Visit an AXE THROWING Venue in the next 12 months</t>
  </si>
  <si>
    <t>Minneapolis - P21+ who Plan to Visit an AXE THROWING Venue in the next 12 months</t>
  </si>
  <si>
    <t>St. Louis - P21+ who Plan to Visit an AXE THROWING Venue in the next 12 months</t>
  </si>
  <si>
    <t>Cincinnati - P21+ who Plan to Visit an AXE THROWING Venue in the next 12 months</t>
  </si>
  <si>
    <t>West Palm Beach - P21+ who Plan to Visit an AXE THROWING Venue in the next 12 months</t>
  </si>
  <si>
    <t>https://img1.wsimg.com/blobby/go/fa91e93a-72dd-4def-b76d-173477e02dd0/downloads/643223b3-0499-4a78-8a10-c1a5cdd309fd/HUBBARD%20-%20USA%2B4MoreDMAs%20-%20P21%2B%20WHO%20PLAN%20TO%20VIS.zip?ver=1754680618660</t>
  </si>
  <si>
    <t>https://img1.wsimg.com/blobby/go/fa91e93a-72dd-4def-b76d-173477e02dd0/downloads/40ca4e02-da67-457d-a7d3-301ee3029469/HUBBARD%20-%20USA%2B4DMAs%20-%20P21%2B%20WHO%20PLAN%20TO%20VISIT%20A.zip?ver=1754680671013</t>
  </si>
  <si>
    <t>USA - P18+ who Used INSTAGRAM in the past 30 days</t>
  </si>
  <si>
    <t>Chicago - P18+ who Used INSTAGRAM in the past 30 days</t>
  </si>
  <si>
    <t>Washington, DC - P18+ who Used INSTAGRAM in the past 30 days</t>
  </si>
  <si>
    <t>Seattle - P18+ who Used INSTAGRAM in the past 30 days</t>
  </si>
  <si>
    <t>Phoenix - P18+ who Used INSTAGRAM in the past 30 days</t>
  </si>
  <si>
    <t>Minneapolis - P18+ who Used INSTAGRAM in the past 30 days</t>
  </si>
  <si>
    <t>St. Louis - P18+ who Used INSTAGRAM in the past 30 days</t>
  </si>
  <si>
    <t>Cincinnati - P18+ who Used INSTAGRAM in the past 30 days</t>
  </si>
  <si>
    <t>West Palm Beach - P18+ who Used INSTAGRAM in the past 30 days</t>
  </si>
  <si>
    <t>https://img1.wsimg.com/blobby/go/fa91e93a-72dd-4def-b76d-173477e02dd0/downloads/85f176ee-70fc-47a9-b871-ecdbd8d7a6d7/HUBBARD%20-%20USA%2B4MoreDMAs%20-%20P18%2B%20WHO%20USED%20INSTAG.zip?ver=1754939736472</t>
  </si>
  <si>
    <t>https://img1.wsimg.com/blobby/go/fa91e93a-72dd-4def-b76d-173477e02dd0/downloads/93385fde-eb29-4d86-9a0f-30bd16936ae6/HUBBARD%20-%20USA%2B4DMAs%20-%20P18%2B%20WHO%20USED%20INSTAGRAM%20.zip?ver=1754939785301</t>
  </si>
  <si>
    <t>USA - P18+ who Purchased a New BATTERY for their Vehicle in the past 12 months</t>
  </si>
  <si>
    <t>https://img1.wsimg.com/blobby/go/fa91e93a-72dd-4def-b76d-173477e02dd0/downloads/f6873ed6-b073-4662-954d-4a46cfd731cc/HUBBARD%20-%20USA%2B4DMAs%20-%20P18%2B%20WHO%20PURCHASED%20A%20NEW.zip?ver=1755095767575</t>
  </si>
  <si>
    <t>Chicago - P18+ who Purchased a New BATTERY for their Vehicle in the past 12 months</t>
  </si>
  <si>
    <t>Washington, DC - P18+ who Purchased a New BATTERY for their Vehicle in the past 12 months</t>
  </si>
  <si>
    <t>Seattle - P18+ who Purchased a New BATTERY for their Vehicle in the past 12 months</t>
  </si>
  <si>
    <t>Phoenix - P18+ who Purchased a New BATTERY for their Vehicle in the past 12 months</t>
  </si>
  <si>
    <t>Minneapolis - P18+ who Purchased a New BATTERY for their Vehicle in the past 12 months</t>
  </si>
  <si>
    <t>https://img1.wsimg.com/blobby/go/fa91e93a-72dd-4def-b76d-173477e02dd0/downloads/4ab4e027-3849-488b-b4ce-14e6412b3c2d/HUBBARD%20-%20USA%2B4MoreDMAs%20-%20P18%2B%20WHO%20PURCHASED%20A.zip?ver=1755095712397</t>
  </si>
  <si>
    <t>St. Louis - P18+ who Purchased a New BATTERY for their Vehicle in the past 12 months</t>
  </si>
  <si>
    <t>Cincinnati - P18+ who Purchased a New BATTERY for their Vehicle in the past 12 months</t>
  </si>
  <si>
    <t>West Palm Beach - P18+ who Purchased a New BATTERY for their Vehicle in the past 12 months</t>
  </si>
  <si>
    <t>USA - P18+ who still have an Active LANDLINE TELEPHONE in their Home</t>
  </si>
  <si>
    <t>Chicago - P18+ who still have an Active LANDLINE TELEPHONE in their Home</t>
  </si>
  <si>
    <t>Washington, DC - P18+ who still have an Active LANDLINE TELEPHONE in their Home</t>
  </si>
  <si>
    <t>Seattle - P18+ who still have an Active LANDLINE TELEPHONE in their Home</t>
  </si>
  <si>
    <t>Phoenix - P18+ who still have an Active LANDLINE TELEPHONE in their Home</t>
  </si>
  <si>
    <t>Minneapolis - P18+ who still have an Active LANDLINE TELEPHONE in their Home</t>
  </si>
  <si>
    <t>St. Louis - P18+ who still have an Active LANDLINE TELEPHONE in their Home</t>
  </si>
  <si>
    <t>Cincinnati - P18+ who still have an Active LANDLINE TELEPHONE in their Home</t>
  </si>
  <si>
    <t>West Palm Beach - P18+ who still have an Active LANDLINE TELEPHONE in their Home</t>
  </si>
  <si>
    <t>https://img1.wsimg.com/blobby/go/fa91e93a-72dd-4def-b76d-173477e02dd0/downloads/ed72dc5f-ce2c-4131-bdea-9c76b33318a1/HUBBARD%20-%20USA%2B4MoreDMAs%20-%20P18%2B%20WHO%20STILL%20HAVE%20.zip?ver=1755190739640</t>
  </si>
  <si>
    <t>https://img1.wsimg.com/blobby/go/fa91e93a-72dd-4def-b76d-173477e02dd0/downloads/ab037572-4cfa-4bc7-b93d-435d02be6937/HUBBARD%20-%20USA%2B4DMAs%20-%20P18%2B%20WHO%20STILL%20HAVE%20A%20LA.zip?ver=1755190781748</t>
  </si>
  <si>
    <t>USA - P18+ who Purchased COSMETICS Online in the past 6 months</t>
  </si>
  <si>
    <t>Chicago - P18+ who Purchased COSMETICS Online in the past 6 months</t>
  </si>
  <si>
    <t>Washington, DC - P18+ who Purchased COSMETICS Online in the past 6 months</t>
  </si>
  <si>
    <t>Seattle - P18+ who Purchased COSMETICS Online in the past 6 months</t>
  </si>
  <si>
    <t>Phoenix - P18+ who Purchased COSMETICS Online in the past 6 months</t>
  </si>
  <si>
    <t>Minneapolis - P18+ who Purchased COSMETICS Online in the past 6 months</t>
  </si>
  <si>
    <t>St. Louis - P18+ who Purchased COSMETICS Online in the past 6 months</t>
  </si>
  <si>
    <t>Cincinnati - P18+ who Purchased COSMETICS Online in the past 6 months</t>
  </si>
  <si>
    <t>West Palm Beach - P18+ who Purchased COSMETICS Online in the past 6 months</t>
  </si>
  <si>
    <t>https://img1.wsimg.com/blobby/go/fa91e93a-72dd-4def-b76d-173477e02dd0/downloads/9bdde48a-05be-420b-bca4-579ac0154611/HUBBARD%20-%20USA%2B4MoreDMAs%20-%20P18%2B%20WHO%20PURCHASED%20C.zip?ver=1755289263940</t>
  </si>
  <si>
    <t>https://img1.wsimg.com/blobby/go/fa91e93a-72dd-4def-b76d-173477e02dd0/downloads/aa890ec7-cd4d-43ba-b80b-c7ad3e7075d9/HUBBARD%20-%20USA%2B4DMAs%20-%20P18%2B%20WHO%20PURCHASED%20COSME.zip?ver=1755289315294</t>
  </si>
  <si>
    <t>USA - P18+ who Purchased Fresh MEAT and/or Packaged MEAT in the past 7 days</t>
  </si>
  <si>
    <t>Chicago - P18+ who Purchased Fresh MEAT and/or Packaged MEAT in the past 7 days</t>
  </si>
  <si>
    <t>Washington, DC - P18+ who Purchased Fresh MEAT and/or Packaged MEAT in the past 7 days</t>
  </si>
  <si>
    <t>Seattle - P18+ who Purchased Fresh MEAT and/or Packaged MEAT in the past 7 days</t>
  </si>
  <si>
    <t>Phoenix - P18+ who Purchased Fresh MEAT and/or Packaged MEAT in the past 7 days</t>
  </si>
  <si>
    <t>Minneapolis - P18+ who Purchased Fresh MEAT and/or Packaged MEAT in the past 7 days</t>
  </si>
  <si>
    <t>St. Louis - P18+ who Purchased Fresh MEAT and/or Packaged MEAT in the past 7 days</t>
  </si>
  <si>
    <t>Cincinnati - P18+ who Purchased Fresh MEAT and/or Packaged MEAT in the past 7 days</t>
  </si>
  <si>
    <t>West Palm Beach - P18+ who Purchased Fresh MEAT and/or Packaged MEAT in the past 7 days</t>
  </si>
  <si>
    <t>https://img1.wsimg.com/blobby/go/fa91e93a-72dd-4def-b76d-173477e02dd0/downloads/c735e13c-b90c-4b9f-a2c9-ef5be81ebba7/HUBBARD%20-%20USA%2B4MoreDMAs%20-%20P18%2B%20WHO%20USED%20FRESH%20.zip?ver=1755551275318</t>
  </si>
  <si>
    <t>https://img1.wsimg.com/blobby/go/fa91e93a-72dd-4def-b76d-173477e02dd0/downloads/6c72aa45-fe9a-47c2-97d2-6bf576b0b652/HUBBARD%20-%20USA%2B4DMAs%20-%20P18%2B%20WHO%20USED%20FRESH%20MEAT.zip?ver=1755551329277</t>
  </si>
  <si>
    <t>https://img1.wsimg.com/blobby/go/fa91e93a-72dd-4def-b76d-173477e02dd0/downloads/2e83fc72-0bed-4f93-9b14-db6534cf0771/HUBBARD%20-%20USA%2B4MoreDMAs%20-%20P18%2B%20WHO%20ARE%20TRUE%20VE.zip?ver=1755638302070</t>
  </si>
  <si>
    <t>https://img1.wsimg.com/blobby/go/fa91e93a-72dd-4def-b76d-173477e02dd0/downloads/384574ae-87ca-4066-b636-59759dc22a3b/HUBBARD%20-%20USA%2B4DMAs%20-%20P18%2B%20WHO%20ARE%20TRUE%20VEGANS.zip?ver=1755638346848</t>
  </si>
  <si>
    <t>USA - P18+ who are True VEGANS and/or VEGETARIANS (for BEYOND MEAT)</t>
  </si>
  <si>
    <t>Chicago - P18+ who are True VEGANS and/or VEGETARIANS (for BEYOND MEAT)</t>
  </si>
  <si>
    <t>Washington, DC - P18+ who are True VEGANS and/or VEGETARIANS (for BEYOND MEAT)</t>
  </si>
  <si>
    <t>Seattle - P18+ who are True VEGANS and/or VEGETARIANS (for BEYOND MEAT)</t>
  </si>
  <si>
    <t>Phoenix - P18+ who are True VEGANS and/or VEGETARIANS (for BEYOND MEAT)</t>
  </si>
  <si>
    <t>Minneapolis - P18+ who are True VEGANS and/or VEGETARIANS (for BEYOND MEAT)</t>
  </si>
  <si>
    <t>St. Louis - P18+ who are True VEGANS and/or VEGETARIANS (for BEYOND MEAT)</t>
  </si>
  <si>
    <t>Cincinnati - P18+ who are True VEGANS and/or VEGETARIANS (for BEYOND MEAT)</t>
  </si>
  <si>
    <t>West Palm Beach - P18+ who are True VEGANS and/or VEGETARIANS (for BEYOND MEAT)</t>
  </si>
  <si>
    <t>USA - P35+ Homeowners who Plan to Buy a HOME SECURITY SYSTEM in the next 12mos</t>
  </si>
  <si>
    <t>Chicago - P35+ Homeowners who Plan to Buy a HOME SECURITY SYSTEM in the next 12mos</t>
  </si>
  <si>
    <t>Washington, DC - P35+ Homeowners who Plan to Buy a HOME SECURITY SYSTEM in the next 12mos</t>
  </si>
  <si>
    <t>Seattle - P35+ Homeowners who Plan to Buy a HOME SECURITY SYSTEM in the next 12mos</t>
  </si>
  <si>
    <t>Phoenix - P35+ Homeowners who Plan to Buy a HOME SECURITY SYSTEM in the next 12mos</t>
  </si>
  <si>
    <t>Minneapolis - P35+ Homeowners who Plan to Buy a HOME SECURITY SYSTEM in the next 12mos</t>
  </si>
  <si>
    <t>St. Louis - P35+ Homeowners who Plan to Buy a HOME SECURITY SYSTEM in the next 12mos</t>
  </si>
  <si>
    <t>Cincinnati - P35+ Homeowners who Plan to Buy a HOME SECURITY SYSTEM in the next 12mos</t>
  </si>
  <si>
    <t>West Palm Beach - P35+ Homeowners who Plan to Buy a HOME SECURITY SYSTEM in the next 12mos</t>
  </si>
  <si>
    <t>https://img1.wsimg.com/blobby/go/fa91e93a-72dd-4def-b76d-173477e02dd0/downloads/06975789-5819-4b93-a4cf-93265fee26a8/HUBBARD%20-%20USA%2B4MoreDMAs%20-%20P35%2B%20HOMEOWNERS%20WHO%20.zip?ver=1755876453224</t>
  </si>
  <si>
    <t>https://img1.wsimg.com/blobby/go/fa91e93a-72dd-4def-b76d-173477e02dd0/downloads/3d8d0600-7c2c-4033-b82c-e71900d98cef/HUBBARD%20-%20USA%2B4DMAs%20-%20P35%2B%20HOMEOWNERS%20WHO%20PLAN.zip?ver=1755876502121</t>
  </si>
  <si>
    <t>USA - P18+ who Used CRACKER BARREL OLD COUNTRY STORE in the past 30 days</t>
  </si>
  <si>
    <t>https://img1.wsimg.com/blobby/go/fa91e93a-72dd-4def-b76d-173477e02dd0/downloads/4084bf13-4e18-4127-bb4b-8356cebbe495/HUBBARD%20-%20USA%2B3DMAs%20-%20P18%2B%20WHO%20USED%20CRACKER%20BA.pdf?ver=1755961462193</t>
  </si>
  <si>
    <t>Chicago - P18+ who Used CRACKER BARREL OLD COUNTRY STORE in the past 30 days</t>
  </si>
  <si>
    <t>Washington, DC - P18+ who Used CRACKER BARREL OLD COUNTRY STORE in the past 30 days</t>
  </si>
  <si>
    <t>Phoenix - P18+ who Used CRACKER BARREL OLD COUNTRY STORE in the past 30 days</t>
  </si>
  <si>
    <t>St. Louis - P18+ who Used CRACKER BARREL OLD COUNTRY STORE in the past 30 days</t>
  </si>
  <si>
    <t>https://img1.wsimg.com/blobby/go/fa91e93a-72dd-4def-b76d-173477e02dd0/downloads/5aeb2737-ed44-4175-8635-39a8fc20ce0a/HUBBARD%20-%20USA%2B3MoreDMAs%20-%20P18%2B%20WHO%20USED%20CRACKE.pdf?ver=1755961435980</t>
  </si>
  <si>
    <t>Cincinnati - P18+ who Used CRACKER BARREL OLD COUNTRY STORE in the past 30 days</t>
  </si>
  <si>
    <t>West Palm Beach - P18+ who Used CRACKER BARREL OLD COUNTRY STORE in the past 30 days</t>
  </si>
  <si>
    <t>USA - P18+ who Used IHOP and/or APPLEBEE'S in the past 3 days (for DINE BRANDS)</t>
  </si>
  <si>
    <t>Chicago - P18+ who Used IHOP and/or APPLEBEE'S in the past 3 days (for DINE BRANDS)</t>
  </si>
  <si>
    <t>Washington, DC - P18+ who Used IHOP and/or APPLEBEE'S in the past 3 days (for DINE BRANDS)</t>
  </si>
  <si>
    <t>Seattle - P18+ who Used IHOP and/or APPLEBEE'S in the past 3 days (for DINE BRANDS)</t>
  </si>
  <si>
    <t>Phoenix - P18+ who Used IHOP and/or APPLEBEE'S in the past 3 days (for DINE BRANDS)</t>
  </si>
  <si>
    <t>Minneapolis - P18+ who Used IHOP and/or APPLEBEE'S in the past 3 days (for DINE BRANDS)</t>
  </si>
  <si>
    <t>St. Louis - P18+ who Used IHOP and/or APPLEBEE'S in the past 3 days (for DINE BRANDS)</t>
  </si>
  <si>
    <t>Cincinnati - P18+ who Used IHOP and/or APPLEBEE'S in the past 3 days (for DINE BRANDS)</t>
  </si>
  <si>
    <t>West Palm Beach - P18+ who Used IHOP and/or APPLEBEE'S in the past 3 days (for DINE BRANDS)</t>
  </si>
  <si>
    <t>https://img1.wsimg.com/blobby/go/fa91e93a-72dd-4def-b76d-173477e02dd0/downloads/664c02ba-e21e-4584-8578-e41a448b6b14/HUBBARD%20-%20USA%2B4MoreDMAs%20-%20P18%2B%20WHO%20USED%20IHOP%20A.zip?ver=1756149563450</t>
  </si>
  <si>
    <t>https://img1.wsimg.com/blobby/go/fa91e93a-72dd-4def-b76d-173477e02dd0/downloads/510306b2-fd23-46d4-9bb7-a22a4ff861f1/HUBBARD%20-%20USA%2B4DMAs%20-%20P18%2B%20WHO%20USED%20IHOP%20AND%20O.zip?ver=1756149605942</t>
  </si>
  <si>
    <t>USA - P18-49 Parents of Children Ages 0-5 who Use/Plan to Use DAY CARE Services</t>
  </si>
  <si>
    <t>Chicago - P18-49 Parents of Children Ages 0-5 who Use/Plan to Use DAY CARE Services</t>
  </si>
  <si>
    <t>Washington, DC - P18-49 Parents of Children Ages 0-5 who Use/Plan to Use DAY CARE Services</t>
  </si>
  <si>
    <t>Seattle - P18-49 Parents of Children Ages 0-5 who Use/Plan to Use DAY CARE Services</t>
  </si>
  <si>
    <t>Phoenix - P18-49 Parents of Children Ages 0-5 who Use/Plan to Use DAY CARE Services</t>
  </si>
  <si>
    <t>Minneapolis - P18-49 Parents of Children Ages 0-5 who Use/Plan to Use DAY CARE Services</t>
  </si>
  <si>
    <t>St. Louis - P18-49 Parents of Children Ages 0-5 who Use/Plan to Use DAY CARE Services</t>
  </si>
  <si>
    <t>Cincinnati - P18-49 Parents of Children Ages 0-5 who Use/Plan to Use DAY CARE Services</t>
  </si>
  <si>
    <t>West Palm Beach - P18-49 Parents of Children Ages 0-5 who Use/Plan to Use DAY CARE Services</t>
  </si>
  <si>
    <t>https://img1.wsimg.com/blobby/go/fa91e93a-72dd-4def-b76d-173477e02dd0/downloads/134c4431-78a0-474b-ab6c-1b0d72a05590/HUBBARD%20-%20USA%2B4MoreDMAs%20-%20P18-49%20PARENTS%20OF%20CH.zip?ver=1756240655567</t>
  </si>
  <si>
    <t>https://img1.wsimg.com/blobby/go/fa91e93a-72dd-4def-b76d-173477e02dd0/downloads/91212574-7198-4992-b233-c198af0517c0/HUBBARD%20-%20USA%2B4DMAs%20-%20P18-49%20PARENTS%20OF%20CHILDR.zip?ver=1756240771457</t>
  </si>
  <si>
    <t>USA - P18+ who Transacted in CRYPTOCURRENCY in the past 6 months</t>
  </si>
  <si>
    <t>Chicago - P18+ who Transacted in CRYPTOCURRENCY in the past 6 months</t>
  </si>
  <si>
    <t>Washington, DC - P18+ who Transacted in CRYPTOCURRENCY in the past 6 months</t>
  </si>
  <si>
    <t>Seattle - P18+ who Transacted in CRYPTOCURRENCY in the past 6 months</t>
  </si>
  <si>
    <t>Phoenix - P18+ who Transacted in CRYPTOCURRENCY in the past 6 months</t>
  </si>
  <si>
    <t>Minneapolis - P18+ who Transacted in CRYPTOCURRENCY in the past 6 months</t>
  </si>
  <si>
    <t>St. Louis - P18+ who Transacted in CRYPTOCURRENCY in the past 6 months</t>
  </si>
  <si>
    <t>Cincinnati - P18+ who Transacted in CRYPTOCURRENCY in the past 6 months</t>
  </si>
  <si>
    <t>West Palm Beach - P18+ who Transacted in CRYPTOCURRENCY in the past 6 months</t>
  </si>
  <si>
    <t>https://img1.wsimg.com/blobby/go/fa91e93a-72dd-4def-b76d-173477e02dd0/downloads/547e4c5a-d202-468f-8184-04f57df9b72d/HUBBARD%20-%20USA%2B4MoreDMAs%20-%20P18%2B%20WHO%20TRANSACTED%20.zip?ver=1756324453127</t>
  </si>
  <si>
    <t>https://img1.wsimg.com/blobby/go/fa91e93a-72dd-4def-b76d-173477e02dd0/downloads/b6f5c568-e74a-47a9-88d5-a2c9d88c9f7c/HUBBARD%20-%20USA%2B4DMAs%20-%20P18%2B%20WHO%20TRANSACTED%20IN%20C.zip?ver=1756324511144</t>
  </si>
  <si>
    <t>USA - W25-54 who Purchased Groceries at ALDI in the past 7 days</t>
  </si>
  <si>
    <t>Chicago - W25-54 who Purchased Groceries at ALDI in the past 7 days</t>
  </si>
  <si>
    <t>Washington, DC - W25-54 who Purchased Groceries at ALDI in the past 7 days</t>
  </si>
  <si>
    <t>Minneapolis - W25-54 who Purchased Groceries at ALDI in the past 7 days</t>
  </si>
  <si>
    <t>St. Louis - W25-54 who Purchased Groceries at ALDI in the past 7 days</t>
  </si>
  <si>
    <t>Cincinnati - W25-54 who Purchased Groceries at ALDI in the past 7 days</t>
  </si>
  <si>
    <t>West Palm Beach - W25-54 who Purchased Groceries at ALDI in the past 7 days</t>
  </si>
  <si>
    <t>https://img1.wsimg.com/blobby/go/fa91e93a-72dd-4def-b76d-173477e02dd0/downloads/3eb29cac-c656-48d1-9636-372b9149abb1/HUBBARD%20-%20USA%2B3MoreDMAs%20-%20W25-54%20WHO%20BOUGHT%20GR.pdf?ver=1756495063163</t>
  </si>
  <si>
    <t>https://img1.wsimg.com/blobby/go/fa91e93a-72dd-4def-b76d-173477e02dd0/downloads/006fcd40-f690-45be-8810-c130a8e78223/HUBBARD%20-%20USA%2B3DMAs%20-%20W25-54%20WHO%20BOUGHT%20GROCER.pdf?ver=1756495103187</t>
  </si>
  <si>
    <t>USA - P18+ who Purchased IDENTITY THEFT PROTECTION Online in the past 6 months</t>
  </si>
  <si>
    <t>Chicago - P18+ who Purchased IDENTITY THEFT PROTECTION Online in the past 6 months</t>
  </si>
  <si>
    <t>Washington, DC - P18+ who Purchased IDENTITY THEFT PROTECTION Online in the past 6 months</t>
  </si>
  <si>
    <t>Seattle - P18+ who Purchased IDENTITY THEFT PROTECTION Online in the past 6 months</t>
  </si>
  <si>
    <t>Phoenix - P18+ who Purchased IDENTITY THEFT PROTECTION Online in the past 6 months</t>
  </si>
  <si>
    <t>Minneapolis - P18+ who Purchased IDENTITY THEFT PROTECTION Online in the past 6 months</t>
  </si>
  <si>
    <t>St. Louis - P18+ who Purchased IDENTITY THEFT PROTECTION Online in the past 6 months</t>
  </si>
  <si>
    <t>Cincinnati - P18+ who Purchased IDENTITY THEFT PROTECTION Online in the past 6 months</t>
  </si>
  <si>
    <t>West Palm Beach - P18+ who Purchased IDENTITY THEFT PROTECTION Online in the past 6 months</t>
  </si>
  <si>
    <t>https://img1.wsimg.com/blobby/go/fa91e93a-72dd-4def-b76d-173477e02dd0/downloads/d09354f3-edbe-4ee6-be70-11e32834cd3c/HUBBARD%20-%20USA%2B4MoreDMAs%20-%20P18%2B%20BOUGHT%20IDENTITY.zip?ver=1756908695073</t>
  </si>
  <si>
    <t>https://img1.wsimg.com/blobby/go/fa91e93a-72dd-4def-b76d-173477e02dd0/downloads/529e5819-7da1-4256-b89f-c87c01545f77/HUBBARD%20-%20USA%2B4DMAs%20-%20P18%2B%20BOUGHT%20IDENTITY%20THE.zip?ver=1756908744604</t>
  </si>
  <si>
    <t>USA - P18+ who Plan to Purchase a SMART TV in the next 12 months</t>
  </si>
  <si>
    <t>Chicago - P18+ who Plan to Purchase a SMART TV in the next 12 months</t>
  </si>
  <si>
    <t>Washington, DC - P18+ who Plan to Purchase a SMART TV in the next 12 months</t>
  </si>
  <si>
    <t>Seattle - P18+ who Plan to Purchase a SMART TV in the next 12 months</t>
  </si>
  <si>
    <t>Phoenix - P18+ who Plan to Purchase a SMART TV in the next 12 months</t>
  </si>
  <si>
    <t>Minneapolis - P18+ who Plan to Purchase a SMART TV in the next 12 months</t>
  </si>
  <si>
    <t>St. Louis - P18+ who Plan to Purchase a SMART TV in the next 12 months</t>
  </si>
  <si>
    <t>Cincinnati - P18+ who Plan to Purchase a SMART TV in the next 12 months</t>
  </si>
  <si>
    <t>West Palm Beach - P18+ who Plan to Purchase a SMART TV in the next 12 months</t>
  </si>
  <si>
    <t>https://img1.wsimg.com/blobby/go/fa91e93a-72dd-4def-b76d-173477e02dd0/downloads/1acf2255-e186-4dfe-aedf-14ffab3633b8/HUBBARD%20-%20USA%2B4MoreDMAs%20-%20P18%2B%20WHO%20PLAN%20TO%20BUY.zip?ver=1756997897829</t>
  </si>
  <si>
    <t>https://img1.wsimg.com/blobby/go/fa91e93a-72dd-4def-b76d-173477e02dd0/downloads/70c2b5bf-71a3-47ca-9662-f06722bef200/HUBBARD%20-%20USA%2B4DMAs%20-%20P18%2B%20WHO%20PLAN%20TO%20BUY%20A%20S.zip?ver=1756997944032</t>
  </si>
  <si>
    <t>USA - P18+ who Attended One or More MONSTER JAM Events in the past 12 months</t>
  </si>
  <si>
    <t>Chicago - P18+ who Attended One or More MONSTER JAM Events in the past 12 months</t>
  </si>
  <si>
    <t>Washington, DC - P18+ who Attended One or More MONSTER JAM Events in the past 12 months</t>
  </si>
  <si>
    <t>Seattle - P18+ who Attended One or More MONSTER JAM Events in the past 12 months</t>
  </si>
  <si>
    <t>Phoenix - P18+ who Attended One or More MONSTER JAM Events in the past 12 months</t>
  </si>
  <si>
    <t>Minneapolis - P18+ who Attended One or More MONSTER JAM Events in the past 12 months</t>
  </si>
  <si>
    <t>St. Louis - P18+ who Attended One or More MONSTER JAM Events in the past 12 months</t>
  </si>
  <si>
    <t>Cincinnati - P18+ who Attended One or More MONSTER JAM Events in the past 12 months</t>
  </si>
  <si>
    <t>West Palm Beach - P18+ who Attended One or More MONSTER JAM Events in the past 12 months</t>
  </si>
  <si>
    <t>https://img1.wsimg.com/blobby/go/fa91e93a-72dd-4def-b76d-173477e02dd0/downloads/4e571b0d-8a8d-4f22-ba54-7b22f602bc82/HUBBARD%20-%20USA%2B4MoreDMAs%20-%20P18%2B%20WHO%20ATTENDED%20ON.zip?ver=1757359235758</t>
  </si>
  <si>
    <t>https://img1.wsimg.com/blobby/go/fa91e93a-72dd-4def-b76d-173477e02dd0/downloads/34b7a189-a5f1-46da-87fa-a905a3bdc73a/HUBBARD%20-%20USA%2B4DMAs%20-%20P18%2B%20WHO%20ATTENDED%20ONE%2B%20M.zip?ver=1757359281911</t>
  </si>
  <si>
    <t>USA - P18+ who Used The UPS Store for an AMAZON Return in the past 3 months</t>
  </si>
  <si>
    <t>Chicago - P18+ who Used The UPS Store for an AMAZON Return in the past 3 months</t>
  </si>
  <si>
    <t>Washington, DC - P18+ who Used The UPS Store for an AMAZON Return in the past 3 months</t>
  </si>
  <si>
    <t>Seattle - P18+ who Used The UPS Store for an AMAZON Return in the past 3 months</t>
  </si>
  <si>
    <t>Phoenix - P18+ who Used The UPS Store for an AMAZON Return in the past 3 months</t>
  </si>
  <si>
    <t>Minneapolis - P18+ who Used The UPS Store for an AMAZON Return in the past 3 months</t>
  </si>
  <si>
    <t>St. Louis - P18+ who Used The UPS Store for an AMAZON Return in the past 3 months</t>
  </si>
  <si>
    <t>Cincinnati - P18+ who Used The UPS Store for an AMAZON Return in the past 3 months</t>
  </si>
  <si>
    <t>West Palm Beach - P18+ who Used The UPS Store for an AMAZON Return in the past 3 months</t>
  </si>
  <si>
    <t>https://img1.wsimg.com/blobby/go/fa91e93a-72dd-4def-b76d-173477e02dd0/downloads/ff335580-aa34-4dfb-ba53-ead4924652a2/HUBBARD%20-%20USA%2B4MoreDMAs%20-%20P18%2B%20WHO%20USED%20THE%20UP.zip?ver=1757509430484</t>
  </si>
  <si>
    <t>https://img1.wsimg.com/blobby/go/fa91e93a-72dd-4def-b76d-173477e02dd0/downloads/9b6bffb9-b2b8-4ba6-90cf-8ee54085762a/HUBBARD%20-%20USA%2B4DMAs%20-%20P18%2B%20WHO%20USED%20THE%20UPS%20ST.zip?ver=1757509478192</t>
  </si>
  <si>
    <t>USA - P18+ who Asked Their Doctor to Prescribe a DRUG due to Health Ads past 12mos</t>
  </si>
  <si>
    <t>Chicago - P18+ who Asked Their Doctor to Prescribe a DRUG due to Health Ads past 12mos</t>
  </si>
  <si>
    <t>Washington, DC - P18+ who Asked Their Doctor to Prescribe a DRUG due to Health Ads past 12mos</t>
  </si>
  <si>
    <t>Seattle - P18+ who Asked Their Doctor to Prescribe a DRUG due to Health Ads past 12mos</t>
  </si>
  <si>
    <t>Phoenix - P18+ who Asked Their Doctor to Prescribe a DRUG due to Health Ads past 12mos</t>
  </si>
  <si>
    <t>Minneapolis - P18+ who Asked Their Doctor to Prescribe a DRUG due to Health Ads past 12mos</t>
  </si>
  <si>
    <t>St. Louis - P18+ who Asked Their Doctor to Prescribe a DRUG due to Health Ads past 12mos</t>
  </si>
  <si>
    <t>Cincinnati - P18+ who Asked Their Doctor to Prescribe a DRUG due to Health Ads past 12mos</t>
  </si>
  <si>
    <t>West Palm Beach - P18+ who Asked Their Doctor to Prescribe a DRUG due to Health Ads past 12mos</t>
  </si>
  <si>
    <t>https://img1.wsimg.com/blobby/go/fa91e93a-72dd-4def-b76d-173477e02dd0/downloads/a679654c-73f5-49b7-ab0e-d0104f46c010/HUBBARD%20-%20USA%2B4MoreDMAs%20-%20P18%2BASKED%20DR%20TO%20PRES.zip?ver=1757535659185</t>
  </si>
  <si>
    <t>https://img1.wsimg.com/blobby/go/fa91e93a-72dd-4def-b76d-173477e02dd0/downloads/2b64b4b8-b463-4e79-a150-5b036c07ece6/HUBBARD%20-%20USA%2B4DMAs%20-%20P18%2BASKED%20DR%20TO%20PRESCRIB.zip?ver=1757535721592</t>
  </si>
  <si>
    <t>USA - P18+ who Shopped at FOOT LOCKER in the past 3 months</t>
  </si>
  <si>
    <t>Chicago - P18+ who Shopped at FOOT LOCKER in the past 3 months</t>
  </si>
  <si>
    <t>Washington, DC - P18+ who Shopped at FOOT LOCKER in the past 3 months</t>
  </si>
  <si>
    <t>Seattle - P18+ who Shopped at FOOT LOCKER in the past 3 months</t>
  </si>
  <si>
    <t>Phoenix - P18+ who Shopped at FOOT LOCKER in the past 3 months</t>
  </si>
  <si>
    <t>Minneapolis - P18+ who Shopped at FOOT LOCKER in the past 3 months</t>
  </si>
  <si>
    <t>St. Louis - P18+ who Shopped at FOOT LOCKER in the past 3 months</t>
  </si>
  <si>
    <t>Cincinnati - P18+ who Shopped at FOOT LOCKER in the past 3 months</t>
  </si>
  <si>
    <t>West Palm Beach - P18+ who Shopped at FOOT LOCKER in the past 3 months</t>
  </si>
  <si>
    <t>https://img1.wsimg.com/blobby/go/fa91e93a-72dd-4def-b76d-173477e02dd0/downloads/e9f15712-83d0-48f9-b313-3a4cb9423393/HUBBARD%20-%20USA%2B4MoreDMAs%20-%20P18%2B%20WHO%20SHOPPED%20AT%20.zip?ver=1757944091790</t>
  </si>
  <si>
    <t>https://img1.wsimg.com/blobby/go/fa91e93a-72dd-4def-b76d-173477e02dd0/downloads/542c989d-9c99-4435-ad80-729fcd013ee1/HUBBARD%20-%20USA%2B4DMAs%20-%20P18%2B%20WHO%20SHOPPED%20AT%20FOOT.zip?ver=1757944460926</t>
  </si>
  <si>
    <t>USA - P25-64 who Did Not Use their Employer-Sponsored Group Health Insurance past 12mos</t>
  </si>
  <si>
    <t>Chicago - P25-64 who Did Not Use their Employer-Sponsored Group Health Insurance past 12mos</t>
  </si>
  <si>
    <t>Washington, DC - P25-64 who Did Not Use their Employer-Sponsored Group Health Insurance past 12mos</t>
  </si>
  <si>
    <t>Seattle - P25-64 who Did Not Use their Employer-Sponsored Group Health Insurance past 12mos</t>
  </si>
  <si>
    <t>Phoenix - P25-64 who Did Not Use their Employer-Sponsored Group Health Insurance past 12mos</t>
  </si>
  <si>
    <t>Minneapolis - P25-64 who Did Not Use their Employer-Sponsored Group Health Insurance past 12mos</t>
  </si>
  <si>
    <t>St. Louis - P25-64 who Did Not Use their Employer-Sponsored Group Health Insurance past 12mos</t>
  </si>
  <si>
    <t>Cincinnati - P25-64 who Did Not Use their Employer-Sponsored Group Health Insurance past 12mos</t>
  </si>
  <si>
    <t>West Palm Beach - P25-64 who Did Not Use their Employer-Sponsored Group Health Insurance past 12mos</t>
  </si>
  <si>
    <t>https://img1.wsimg.com/blobby/go/fa91e93a-72dd-4def-b76d-173477e02dd0/downloads/097dd427-9727-4c60-a0b6-fb04afdc9a9c/HUBBARD%20-%20USA%2B4MoreDMAs%20-%20P25-64%20NOT%20USING%20THE.zip?ver=1758045825986</t>
  </si>
  <si>
    <t>https://img1.wsimg.com/blobby/go/fa91e93a-72dd-4def-b76d-173477e02dd0/downloads/dae80b3d-beac-4b6e-912b-73d973bf8b9d/HUBBARD%20-%20USA%2B4DMAs%20-%20P25-64%20NOT%20USING%20THEIR%20G.zip?ver=1758045870744</t>
  </si>
  <si>
    <t>USA - P18+ past 30 days users of REDDIT</t>
  </si>
  <si>
    <t>Chicago - P18+ past 30 days users of REDDIT</t>
  </si>
  <si>
    <t>Washington, DC - P18+ past 30 days users of REDDIT</t>
  </si>
  <si>
    <t>Seattle - P18+ past 30 days users of REDDIT</t>
  </si>
  <si>
    <t>Phoenix - P18+ past 30 days users of REDDIT</t>
  </si>
  <si>
    <t>Minneapolis - P18+ past 30 days users of REDDIT</t>
  </si>
  <si>
    <t>St. Louis - P18+ past 30 days users of REDDIT</t>
  </si>
  <si>
    <t>Cincinnati - P18+ past 30 days users of REDDIT</t>
  </si>
  <si>
    <t>West Palm Beach - P18+ past 30 days users of REDDIT</t>
  </si>
  <si>
    <t>https://img1.wsimg.com/blobby/go/fa91e93a-72dd-4def-b76d-173477e02dd0/downloads/30f75fbb-56ab-47e4-ae58-eb378c412be8/HUBBARD%20-%20USA%2B4MoreDMAs%20-%20P18%2B%20WHO%20USED%20REDDIT.zip?ver=1758141613716</t>
  </si>
  <si>
    <t>https://img1.wsimg.com/blobby/go/fa91e93a-72dd-4def-b76d-173477e02dd0/downloads/7aa6ec04-3f7f-40a3-9e3e-03b931af9661/HUBBARD%20-%20USA%2B4DMAs%20-%20P18%2B%20WHO%20USED%20REDDIT%20IN%20.zip?ver=1758141683605</t>
  </si>
  <si>
    <t>USA - P18+ who use a Pre-Paid Smartphone from BOOST MOBILE</t>
  </si>
  <si>
    <t>Chicago - P18+ who use a Pre-Paid Smartphone from BOOST MOBILE</t>
  </si>
  <si>
    <t>Washington, DC - P18+ who use a Pre-Paid Smartphone from BOOST MOBILE</t>
  </si>
  <si>
    <t>Seattle - P18+ who use a Pre-Paid Smartphone from BOOST MOBILE</t>
  </si>
  <si>
    <t>Phoenix - P18+ who use a Pre-Paid Smartphone from BOOST MOBILE</t>
  </si>
  <si>
    <t>Minneapolis - P18+ who use a Pre-Paid Smartphone from BOOST MOBILE</t>
  </si>
  <si>
    <t>St. Louis - P18+ who use a Pre-Paid Smartphone from BOOST MOBILE</t>
  </si>
  <si>
    <t>Cincinnati - P18+ who use a Pre-Paid Smartphone from BOOST MOBILE</t>
  </si>
  <si>
    <t>West Palm Beach - P18+ who use a Pre-Paid Smartphone from BOOST MOBILE</t>
  </si>
  <si>
    <t>https://img1.wsimg.com/blobby/go/fa91e93a-72dd-4def-b76d-173477e02dd0/downloads/088aafe9-c974-477c-86cc-286f13e1233a/HUBBARD%20-%20USA%2B4DMAs%20-%20P18%2B%20PRE-PAID%20BOOST%20MOBI.zip?ver=1758295764811</t>
  </si>
  <si>
    <t>https://img1.wsimg.com/blobby/go/fa91e93a-72dd-4def-b76d-173477e02dd0/downloads/b4005bc2-c85a-491d-98f6-ca9351871e03/HUBBARD%20-%20USA%2B4MoreDMAs%20-%20P18%2B%20PRE-PAID%20BOOST%20.zip?ver=1758295726880</t>
  </si>
  <si>
    <t>USA - P21+ who Drank HIGH NOON Hard Seltzer in the past 30 days</t>
  </si>
  <si>
    <t>Chicago - P21+ who Drank HIGH NOON Hard Seltzer in the past 30 days</t>
  </si>
  <si>
    <t>Washington, DC - P21+ who Drank HIGH NOON Hard Seltzer in the past 30 days</t>
  </si>
  <si>
    <t>Seattle - P21+ who Drank HIGH NOON Hard Seltzer in the past 30 days</t>
  </si>
  <si>
    <t>Phoenix - P21+ who Drank HIGH NOON Hard Seltzer in the past 30 days</t>
  </si>
  <si>
    <t>Minneapolis - P21+ who Drank HIGH NOON Hard Seltzer in the past 30 days</t>
  </si>
  <si>
    <t>St. Louis - P21+ who Drank HIGH NOON Hard Seltzer in the past 30 days</t>
  </si>
  <si>
    <t>Cincinnati - P21+ who Drank HIGH NOON Hard Seltzer in the past 30 days</t>
  </si>
  <si>
    <t>West Palm Beach - P21+ who Drank HIGH NOON Hard Seltzer in the past 30 days</t>
  </si>
  <si>
    <t>https://img1.wsimg.com/blobby/go/fa91e93a-72dd-4def-b76d-173477e02dd0/downloads/c95c1222-d4b4-4023-8453-4869625726f2/HUBBARD%20-%20USA%2B4MoreDMAs%20-%20P21%2B%20WHO%20DRANK%20HIGH%20.zip?ver=1758561500403</t>
  </si>
  <si>
    <t>https://img1.wsimg.com/blobby/go/fa91e93a-72dd-4def-b76d-173477e02dd0/downloads/0987d881-74da-4088-a0a3-1a58682cb666/HUBBARD%20-%20USA%2B4DMAs%20-%20P21%2B%20WHO%20DRANK%20HIGH%20NOON.zip?ver=1758561543173</t>
  </si>
  <si>
    <t>USA - P18+ who Shopped for Groceries at WHOLE FOODS MARKET in the past 7 days</t>
  </si>
  <si>
    <t>Chicago - P18+ who Shopped for Groceries at WHOLE FOODS MARKET in the past 7 days</t>
  </si>
  <si>
    <t>Washington, DC - P18+ who Shopped for Groceries at WHOLE FOODS MARKET in the past 7 days</t>
  </si>
  <si>
    <t>Seattle - P18+ who Shopped for Groceries at WHOLE FOODS MARKET in the past 7 days</t>
  </si>
  <si>
    <t>Phoenix - P18+ who Shopped for Groceries at WHOLE FOODS MARKET in the past 7 days</t>
  </si>
  <si>
    <t>Minneapolis - P18+ who Shopped for Groceries at WHOLE FOODS MARKET in the past 7 days</t>
  </si>
  <si>
    <t>St. Louis - P18+ who Shopped for Groceries at WHOLE FOODS MARKET in the past 7 days</t>
  </si>
  <si>
    <t>Cincinnati - P18+ who Shopped for Groceries at WHOLE FOODS MARKET in the past 7 days</t>
  </si>
  <si>
    <t>West Palm Beach - P18+ who Shopped for Groceries at WHOLE FOODS MARKET in the past 7 days</t>
  </si>
  <si>
    <t>https://img1.wsimg.com/blobby/go/fa91e93a-72dd-4def-b76d-173477e02dd0/downloads/a52dc69b-1cc5-4b34-9781-70a70908cb9e/HUBBARD%20-%20USA%2B4MoreDMAs%20-%20P18%2B%20WHO%20SHOPPED%20FOR.zip?ver=1758658876492</t>
  </si>
  <si>
    <t>https://img1.wsimg.com/blobby/go/fa91e93a-72dd-4def-b76d-173477e02dd0/downloads/d0c085a9-29da-40ce-a3e6-d197d3b0a355/HUBBARD%20-%20USA%2B4DMAs%20-%20P18%2B%20WHO%20SHOPPED%20FOR%20GRO.zip?ver=1758658931024</t>
  </si>
  <si>
    <t>USA - P18+ who Used an Online GROCERY DELIVERY Service in the past 30 days</t>
  </si>
  <si>
    <t>Chicago - P18+ who Used an Online GROCERY DELIVERY Service in the past 30 days</t>
  </si>
  <si>
    <t>Washington, DC - P18+ who Used an Online GROCERY DELIVERY Service in the past 30 days</t>
  </si>
  <si>
    <t>Seattle - P18+ who Used an Online GROCERY DELIVERY Service in the past 30 days</t>
  </si>
  <si>
    <t>Phoenix - P18+ who Used an Online GROCERY DELIVERY Service in the past 30 days</t>
  </si>
  <si>
    <t>Minneapolis - P18+ who Used an Online GROCERY DELIVERY Service in the past 30 days</t>
  </si>
  <si>
    <t>St. Louis - P18+ who Used an Online GROCERY DELIVERY Service in the past 30 days</t>
  </si>
  <si>
    <t>Cincinnati - P18+ who Used an Online GROCERY DELIVERY Service in the past 30 days</t>
  </si>
  <si>
    <t>West Palm Beach - P18+ who Used an Online GROCERY DELIVERY Service in the past 30 days</t>
  </si>
  <si>
    <t>https://img1.wsimg.com/blobby/go/fa91e93a-72dd-4def-b76d-173477e02dd0/downloads/ec2ac7f3-5f7b-4789-a269-dec32d3c2bfd/HUBBARD%20-%20USA%2B4MoreDMAs%20-%20P18%2B%20WHO%20USE%20ONLINE%20.zip?ver=1758812256390</t>
  </si>
  <si>
    <t>https://img1.wsimg.com/blobby/go/fa91e93a-72dd-4def-b76d-173477e02dd0/downloads/099faf8e-9b05-46e2-b7f7-96ddcb44cc16/HUBBARD%20-%20USA%2B4DMAs%20-%20P18%2B%20WHO%20USE%20ONLINE%20GROC.zip?ver=1758812297365</t>
  </si>
  <si>
    <t>$12.3 B</t>
  </si>
  <si>
    <t>Source: GOOGLE, BIA 2025 Projection: Total U.S. Ad Revenue $168.2B (September 25, 2025)</t>
  </si>
  <si>
    <t>USA - P25-64 who Participated in Company Purchasing Decisions for Overnight Delivery Services</t>
  </si>
  <si>
    <t>Chicago - P25-64 who Participated in Company Purchasing Decisions for Overnight Delivery Services</t>
  </si>
  <si>
    <t>Washington, DC - P25-64 who Participated in Company Purchasing Decisions for Overnight Delivery Services</t>
  </si>
  <si>
    <t>Seattle - P25-64 who Participated in Company Purchasing Decisions for Overnight Delivery Services</t>
  </si>
  <si>
    <t>Phoenix - P25-64 who Participated in Company Purchasing Decisions for Overnight Delivery Services</t>
  </si>
  <si>
    <t>Minneapolis - P25-64 who Participated in Company Purchasing Decisions for Overnight Delivery Services</t>
  </si>
  <si>
    <t>St. Louis - P25-64 who Participated in Company Purchasing Decisions for Overnight Delivery Services</t>
  </si>
  <si>
    <t>Cincinnati - P25-64 who Participated in Company Purchasing Decisions for Overnight Delivery Services</t>
  </si>
  <si>
    <t>West Palm Beach - P25-64 who Participated in Company Purchasing Decisions for Overnight Delivery Services</t>
  </si>
  <si>
    <t>https://img1.wsimg.com/blobby/go/fa91e93a-72dd-4def-b76d-173477e02dd0/downloads/0edb261e-f8e9-41bd-808c-11de6feb649e/HUBBARD%20-%20USA%2B4MoreDMAs%20-%20P25-64%20DECISIONS%20FOR.zip?ver=1758908378854</t>
  </si>
  <si>
    <t>https://img1.wsimg.com/blobby/go/fa91e93a-72dd-4def-b76d-173477e02dd0/downloads/2e396e39-f68c-4907-82d4-88de541b772b/HUBBARD%20-%20USA%2B4DMAs%20-%20P25-64%20DECISIONS%20FOR%20OVE.zip?ver=1758908466919</t>
  </si>
  <si>
    <t>USA - P18+ who Watched/Streamed/Attended/Followed PROFESSIONAL VIDEO GAMING past 12mos</t>
  </si>
  <si>
    <t>Chicago - P18+ who Watched/Streamed/Attended/Followed PROFESSIONAL VIDEO GAMING past 12mos</t>
  </si>
  <si>
    <t>Washington, DC - P18+ who Watched/Streamed/Attended/Followed PROFESSIONAL VIDEO GAMING past 12mos</t>
  </si>
  <si>
    <t>Seattle - P18+ who Watched/Streamed/Attended/Followed PROFESSIONAL VIDEO GAMING past 12mos</t>
  </si>
  <si>
    <t>Phoenix - P18+ who Watched/Streamed/Attended/Followed PROFESSIONAL VIDEO GAMING past 12mos</t>
  </si>
  <si>
    <t>Minneapolis - P18+ who Watched/Streamed/Attended/Followed PROFESSIONAL VIDEO GAMING past 12mos</t>
  </si>
  <si>
    <t>St. Louis - P18+ who Watched/Streamed/Attended/Followed PROFESSIONAL VIDEO GAMING past 12mos</t>
  </si>
  <si>
    <t>Cincinnati - P18+ who Watched/Streamed/Attended/Followed PROFESSIONAL VIDEO GAMING past 12mos</t>
  </si>
  <si>
    <t>West Palm Beach - P18+ who Watched/Streamed/Attended/Followed PROFESSIONAL VIDEO GAMING past 12mos</t>
  </si>
  <si>
    <t>https://img1.wsimg.com/blobby/go/fa91e93a-72dd-4def-b76d-173477e02dd0/downloads/c5036e7f-eb66-4bf9-9404-f793e76ade48/HUBBARD%20-%20USA%2B4MoreDMAs%20-%20P18%2B%20WHO%20FOLLOW%20PROF.zip?ver=1759178069454</t>
  </si>
  <si>
    <t>https://img1.wsimg.com/blobby/go/fa91e93a-72dd-4def-b76d-173477e02dd0/downloads/09d50052-8aa1-460d-bf09-d14670843a45/HUBBARD%20-%20USA%2B4DMAs%20-%20P18%2B%20WHO%20FOLLOW%20PROFESSI.zip?ver=1759178113763</t>
  </si>
  <si>
    <t>USA - P18+ who Purchased New GLASSES or CONTACTS from LUXOTTICA BRANDS past 12mos</t>
  </si>
  <si>
    <t>Chicago - P18+ who Purchased New GLASSES or CONTACTS from LUXOTTICA BRANDS past 12mos</t>
  </si>
  <si>
    <t>Washington, DC - P18+ who Purchased New GLASSES or CONTACTS from LUXOTTICA BRANDS past 12mos</t>
  </si>
  <si>
    <t>Seattle - P18+ who Purchased New GLASSES or CONTACTS from LUXOTTICA BRANDS past 12mos</t>
  </si>
  <si>
    <t>Phoenix - P18+ who Purchased New GLASSES or CONTACTS from LUXOTTICA BRANDS past 12mos</t>
  </si>
  <si>
    <t>Minneapolis - P18+ who Purchased New GLASSES or CONTACTS from LUXOTTICA BRANDS past 12mos</t>
  </si>
  <si>
    <t>St. Louis - P18+ who Purchased New GLASSES or CONTACTS from LUXOTTICA BRANDS past 12mos</t>
  </si>
  <si>
    <t>Cincinnati - P18+ who Purchased New GLASSES or CONTACTS from LUXOTTICA BRANDS past 12mos</t>
  </si>
  <si>
    <t>West Palm Beach - P18+ who Purchased New GLASSES or CONTACTS from LUXOTTICA BRANDS past 12mos</t>
  </si>
  <si>
    <t>https://img1.wsimg.com/blobby/go/fa91e93a-72dd-4def-b76d-173477e02dd0/downloads/303e05d5-4847-4e22-b7d2-4ca401f7080f/HUBBARD%20-%20USA%2B4MoreDMAs%20-%20P18%2B%20BOUGHT%20NEW%20GLAS.zip?ver=1759332339300</t>
  </si>
  <si>
    <t>https://img1.wsimg.com/blobby/go/fa91e93a-72dd-4def-b76d-173477e02dd0/downloads/b480e4f6-27f9-4365-aa80-d9d2852572c3/HUBBARD%20-%20USA%2B4DMAs%20-%20P18%2B%20BOUGHT%20NEW%20GLASSES%20.zip?ver=1759332388054</t>
  </si>
  <si>
    <t>USA - P25-64 Homeowners who Plan to Purchase a MAJOR APPLANCE in the next 12 months</t>
  </si>
  <si>
    <t>Chicago - P25-64 Homeowners who Plan to Purchase a MAJOR APPLANCE in the next 12 months</t>
  </si>
  <si>
    <t>Washington, DC - P25-64 Homeowners who Plan to Purchase a MAJOR APPLANCE in the next 12 months</t>
  </si>
  <si>
    <t>Seattle - P25-64 Homeowners who Plan to Purchase a MAJOR APPLANCE in the next 12 months</t>
  </si>
  <si>
    <t>Phoenix - P25-64 Homeowners who Plan to Purchase a MAJOR APPLANCE in the next 12 months</t>
  </si>
  <si>
    <t>Minneapolis - P25-64 Homeowners who Plan to Purchase a MAJOR APPLANCE in the next 12 months</t>
  </si>
  <si>
    <t>St. Louis - P25-64 Homeowners who Plan to Purchase a MAJOR APPLANCE in the next 12 months</t>
  </si>
  <si>
    <t>Cincinnati - P25-64 Homeowners who Plan to Purchase a MAJOR APPLANCE in the next 12 months</t>
  </si>
  <si>
    <t>West Palm Beach - P25-64 Homeowners who Plan to Purchase a MAJOR APPLANCE in the next 12 months</t>
  </si>
  <si>
    <t>https://img1.wsimg.com/blobby/go/fa91e93a-72dd-4def-b76d-173477e02dd0/downloads/e0f0840c-efdd-45f7-837a-7e75c9274e68/HUBBARD%20-%20USA%2B4MoreDMAs%20-%20P25-64%20HOMEOWNERS%20PL.zip?ver=1759435210508</t>
  </si>
  <si>
    <t>https://img1.wsimg.com/blobby/go/fa91e93a-72dd-4def-b76d-173477e02dd0/downloads/cd100e92-753f-4aeb-92b5-7e98ba3eccb3/HUBBARD%20-%20USA%2B4DMAs%20-%20P25-64%20HOMEOWNERS%20PLAN%20T.zip?ver=1759435257588</t>
  </si>
  <si>
    <t>West Palm Beach DMA vs. the USA - P18+ - R2 2025</t>
  </si>
  <si>
    <t>West Palm Beach DMA vs. the USA - P25-54 - R2 2025</t>
  </si>
  <si>
    <t>West Palm Beach DMA vs. the USA - W25-54 - R2 2025</t>
  </si>
  <si>
    <t>West Palm Beach DMA vs. the USA - M25-54 - R2 2025</t>
  </si>
  <si>
    <t>West Palm Beach DMA vs. the USA - P35-64 - R2 2025</t>
  </si>
  <si>
    <t>West Palm Beach - P18+ who Used BUD'S CHICKEN &amp; SEAFOOD in the past 30 days - R2 2025</t>
  </si>
  <si>
    <t>West Palm Beach - P18+ who Used HURRICANE GRILL &amp; WINGS in the past 30 days - R2 2025</t>
  </si>
  <si>
    <t>West Palm Beach - P18+ who Used MILLER'S ALE HOUSE in the past 30 days - R2 2025</t>
  </si>
  <si>
    <t>West Palm Beach - P18+ who Used POLLO TROPICAL in the past 30 days - R2 2025</t>
  </si>
  <si>
    <t>West Palm Beach - P18+ who Used TOOJAY'S in the past 30 days - R2 2025</t>
  </si>
  <si>
    <t>https://img1.wsimg.com/blobby/go/fa91e93a-72dd-4def-b76d-173477e02dd0/downloads/b4016074-b0ac-4580-a791-cc0f40a9d82b/HUBBARD%20-%20USA%20-%20WEST%20PALM%20BEACH%20DMA%20vs.%20USA%20-%20.pdf?ver=1760388989898</t>
  </si>
  <si>
    <t>https://img1.wsimg.com/blobby/go/fa91e93a-72dd-4def-b76d-173477e02dd0/downloads/54d114cc-0af6-4465-9ab0-cc7df738cfca/HUBBARD%20-%20USA%20-%20WEST%20PALM%20BEACH%20DMA%20%20-%205%20QSRs%20.zip?ver=1760389041345</t>
  </si>
  <si>
    <t>West Palm Beach - P18+ who Listened to IHEART RADIO in the past 7 days - R2 2025</t>
  </si>
  <si>
    <t>West Palm Beach - P18+ who Listened to WKGR-FM in the past 7 days - R2 2025</t>
  </si>
  <si>
    <t>West Palm Beach - P18+ who Listened to WLDI-FM in the past 7 days - R2 2025</t>
  </si>
  <si>
    <t>West Palm Beach - P18+ who Listened to WOLL-FM in the past 7 days - R2 2025</t>
  </si>
  <si>
    <t>West Palm Beach - P18+ who Listened to WQOL-FM in the past 7 days - R2 2025</t>
  </si>
  <si>
    <t>West Palm Beach - P18+ who Listened to HUBBARD RADIO in the past 7 days - R2 2025</t>
  </si>
  <si>
    <t>West Palm Beach - P18+ who Listened to WEAT-FM in the past 7 days - R2 2025</t>
  </si>
  <si>
    <t>West Palm Beach - P18+ who Listened to WIRK-FM in the past 7 days - R2 2025</t>
  </si>
  <si>
    <t>West Palm Beach - P18+ who Listened to WMBX-FM in the past 7 days - R2 2025</t>
  </si>
  <si>
    <t>West Palm Beach - P18+ who Listened to WRMF-FM in the past 7 days - R2 2025</t>
  </si>
  <si>
    <t>https://img1.wsimg.com/blobby/go/fa91e93a-72dd-4def-b76d-173477e02dd0/downloads/0fea812b-849a-4939-9f06-34926d1ac6a4/HUBBARD%20-%20USA%20-%20WEST%20PALM%20BEACH%20DMA%20-%20IHEART%20R.zip?ver=1760543148351</t>
  </si>
  <si>
    <t>https://img1.wsimg.com/blobby/go/fa91e93a-72dd-4def-b76d-173477e02dd0/downloads/dd0895ab-eda6-44f5-b070-ed58e74bf0bc/HUBBARD%20-%20USA%20-%20WEST%20PALM%20BEACH%20DMA%20-%20HUBBARD%20.zip?ver=1760543205594</t>
  </si>
  <si>
    <t>Seattle-Tacoma - P18+ who Shopped at THE BELLEVUE COLLECTION in the past 30 days</t>
  </si>
  <si>
    <t>Phoenix - P21+ CRAFT BEER DRINKERS w/in a 15-mi radius of SANTAN BREWING CO.</t>
  </si>
  <si>
    <t>Phoenix - P21+ LIQUOR DRINKERS w/in a 15-mi radius of SANTAN BREWING CO.</t>
  </si>
  <si>
    <t>Phoenix - P21+ CANNED COCKTAIL DRINKERS w/in a 15-mi radius of SANTAN BREWING CO.</t>
  </si>
  <si>
    <t>USA - P18+ who used THE CHEESECAKE FACTORY in the past 30 days</t>
  </si>
  <si>
    <t>Chicago - P18+ who used THE CHEESECAKE FACTORY in the past 30 days</t>
  </si>
  <si>
    <t>Washington, DC - P18+ who used THE CHEESECAKE FACTORY in the past 30 days</t>
  </si>
  <si>
    <t>Seattle - P18+ who used THE CHEESECAKE FACTORY in the past 30 days</t>
  </si>
  <si>
    <t>Phoenix - P18+ who used THE CHEESECAKE FACTORY in the past 30 days</t>
  </si>
  <si>
    <t>Minneapolis - P18+ who used THE CHEESECAKE FACTORY in the past 30 days</t>
  </si>
  <si>
    <t>St. Louis - P18+ who used THE CHEESECAKE FACTORY in the past 30 days</t>
  </si>
  <si>
    <t>Cincinnati - P18+ who used THE CHEESECAKE FACTORY in the past 30 days</t>
  </si>
  <si>
    <t>West Palm Beach - P18+ who used THE CHEESECAKE FACTORY in the past 30 days</t>
  </si>
  <si>
    <t>https://img1.wsimg.com/blobby/go/fa91e93a-72dd-4def-b76d-173477e02dd0/downloads/7c3ed84c-6bc0-4c17-8ad1-9804922458bd/HUBBARD%20-%20USA%2B4MoreDMAs%20-%20P18%2B%20WHO%20USED%20CHEESE.zip?ver=1760639594359</t>
  </si>
  <si>
    <t>https://img1.wsimg.com/blobby/go/fa91e93a-72dd-4def-b76d-173477e02dd0/downloads/1376e545-1f90-49ae-bb58-df76d7e5b987/HUBBARD%20-%20USA%2B4DMAs%20-%20P18%2B%20WHO%20USED%20CHEESECAKE.zip?ver=1760639638876</t>
  </si>
  <si>
    <t>https://img1.wsimg.com/blobby/go/fa91e93a-72dd-4def-b76d-173477e02dd0/downloads/70d5a30d-f125-4cdd-bdd2-884967185347/PHOENIX%2C%20AZ%2C%20DMA%20-%20P21%2B%203%20TYPES%20OF%20SANTAN%20BREW.pdf?ver=1760720774452</t>
  </si>
  <si>
    <t>Seattle-Tacoma - W25-64 who Shopped at THE BELLEVUE COLLECTION in the past 30 days</t>
  </si>
  <si>
    <t>https://img1.wsimg.com/blobby/go/fa91e93a-72dd-4def-b76d-173477e02dd0/downloads/af3f0479-7da4-4dc6-bd18-6bfd05f6c65c/HUBBARD%20-%20Seattle%20-%20DMA%20-%20BELLEVUE%20COLLECTION%20.pdf?ver=1760730906638</t>
  </si>
  <si>
    <t>USA - P18+ who Spent $100 or more on New ATHLETIC SHOES in the past 12 months</t>
  </si>
  <si>
    <t>Chicago - P18+ who Spent $100 or more on New ATHLETIC SHOES in the past 12 months</t>
  </si>
  <si>
    <t>Washington, DC - P18+ who Spent $100 or more on New ATHLETIC SHOES in the past 12 months</t>
  </si>
  <si>
    <t>Seattle - P18+ who Spent $100 or more on New ATHLETIC SHOES in the past 12 months</t>
  </si>
  <si>
    <t>Phoenix - P18+ who Spent $100 or more on New ATHLETIC SHOES in the past 12 months</t>
  </si>
  <si>
    <t>Minneapolis - P18+ who Spent $100 or more on New ATHLETIC SHOES in the past 12 months</t>
  </si>
  <si>
    <t>St. Louis - P18+ who Spent $100 or more on New ATHLETIC SHOES in the past 12 months</t>
  </si>
  <si>
    <t>Cincinnati - P18+ who Spent $100 or more on New ATHLETIC SHOES in the past 12 months</t>
  </si>
  <si>
    <t>West Palm Beach - P18+ who Spent $100 or more on New ATHLETIC SHOES in the past 12 months</t>
  </si>
  <si>
    <t>https://img1.wsimg.com/blobby/go/fa91e93a-72dd-4def-b76d-173477e02dd0/downloads/19976d1a-db84-4048-99c3-e83a4b533097/HUBBARD%20-%20USA%2B4MoreDMAs%20-%20P18%2B%20WHO%20SPENT%20%24100%2B.zip?ver=1760991222414</t>
  </si>
  <si>
    <t>https://img1.wsimg.com/blobby/go/fa91e93a-72dd-4def-b76d-173477e02dd0/downloads/71d6830b-f9af-4310-90f1-903480c3e0db/HUBBARD%20-%20USA%2B4DMAs%20-%20P18%2B%20WHO%20SPENT%20%24100%2B%20ON%20.zip?ver=1760991266321</t>
  </si>
  <si>
    <t>74.,5%</t>
  </si>
  <si>
    <t>USA - $75K+HHI P25-64 who Plan to Buy HOME FITNESS EQUIPMENT in the next 12mos</t>
  </si>
  <si>
    <t>Chicago - $75K+HHI P25-64 who Plan to Buy HOME FITNESS EQUIPMENT in the next 12mos</t>
  </si>
  <si>
    <t>Washington, DC - $75K+HHI P25-64 who Plan to Buy HOME FITNESS EQUIPMENT in the next 12mos</t>
  </si>
  <si>
    <t>Seattle - $75K+HHI P25-64 who Plan to Buy HOME FITNESS EQUIPMENT in the next 12mos</t>
  </si>
  <si>
    <t>Phoenix - $75K+HHI P25-64 who Plan to Buy HOME FITNESS EQUIPMENT in the next 12mos</t>
  </si>
  <si>
    <t>Minneapolis - $75K+HHI P25-64 who Plan to Buy HOME FITNESS EQUIPMENT in the next 12mos</t>
  </si>
  <si>
    <t>St. Louis - $75K+HHI P25-64 who Plan to Buy HOME FITNESS EQUIPMENT in the next 12mos</t>
  </si>
  <si>
    <t>Cincinnati - $75K+HHI P25-64 who Plan to Buy HOME FITNESS EQUIPMENT in the next 12mos</t>
  </si>
  <si>
    <t>West Palm Beach - $75K+HHI P25-64 who Plan to Buy HOME FITNESS EQUIPMENT in the next 12mos</t>
  </si>
  <si>
    <t>https://img1.wsimg.com/blobby/go/fa91e93a-72dd-4def-b76d-173477e02dd0/downloads/8b4c8d22-af78-4744-bb13-67a8374d291e/HUBBARD%20-%20USA%2B4MoreDMAs%20-%20%2475K%2BHHI%20P25-64%20PLAN.zip?ver=1761141187257</t>
  </si>
  <si>
    <t>https://img1.wsimg.com/blobby/go/fa91e93a-72dd-4def-b76d-173477e02dd0/downloads/e4c18d6a-3073-4598-b385-0c456b836f4b/HUBBARD%20-%20USA%2B4DMAs%20-%20%2475K%2BHHI%20P25-64%20PLAN%20TO%20.zip?ver=1761141234892</t>
  </si>
  <si>
    <t>Phoenix - P18+ who Used BARRO'S PIZZA in the past 30 days - R2 2025</t>
  </si>
  <si>
    <t>Phoenix - P18+ who Used FILIBERTO'S MEXICAN FOOD in the past 30 days - R2 2025</t>
  </si>
  <si>
    <t>Phoenix - P18+ who Used MACAYO'S MEXICAN FOOD in the past 30 days - R2 2025</t>
  </si>
  <si>
    <t>Phoenix - P18+ who Used OREGANO'S PIZZA BISTRO in the past 30 days - R2 2025</t>
  </si>
  <si>
    <t>Phoenix - P18+ who Used PITA JUNGLE in the past 30 days - R2 2025</t>
  </si>
  <si>
    <t>Phoenix DMA vs. the USA - P18+ - R2 2025</t>
  </si>
  <si>
    <t>Phoenix DMA vs. the USA - P25-54 - R2 2025</t>
  </si>
  <si>
    <t>Phoenix DMA vs. the USA - W25-54 - R2 2025</t>
  </si>
  <si>
    <t>Phoenix DMA vs. the USA - M25-54 - R2 2025</t>
  </si>
  <si>
    <t>Phoenix DMA vs. the USA - P35-64 - R2 2025</t>
  </si>
  <si>
    <t>https://img1.wsimg.com/blobby/go/fa91e93a-72dd-4def-b76d-173477e02dd0/downloads/8c355864-9ea6-47cc-ab24-48add5d3c99a/HUBBARD%20-%20USA%20-%20PHOENIX%20DMA%20%20-%205%20QSRs%20%26%20RESTAU.zip?ver=1761326118992</t>
  </si>
  <si>
    <t>https://img1.wsimg.com/blobby/go/fa91e93a-72dd-4def-b76d-173477e02dd0/downloads/459ef047-de1a-4e4c-bef9-fada75f0965c/HUBBARD%20-%20USA%20-%20PHOENIX%20AZ%20DMA%20vs.%20USA%20-%205%20DEM.pdf?ver=1761326179710</t>
  </si>
  <si>
    <t>https://img1.wsimg.com/blobby/go/fa91e93a-72dd-4def-b76d-173477e02dd0/downloads/2006ee0a-0e05-4f4c-b0eb-210158c4523e/HUBBARD%20-%20USA%20-%20PHOENIX%20METRO%20-%20IHEART%20RADIO%20C.zip?ver=1761577125683</t>
  </si>
  <si>
    <t>https://img1.wsimg.com/blobby/go/fa91e93a-72dd-4def-b76d-173477e02dd0/downloads/5d7cda8f-b389-45f0-92ce-555f2cb5eb19/HUBBARD%20-%20USA%20-%20PHOENIX%20METRO%20-%20HUBBARD%20RADIO%20.zip?ver=1761577210584</t>
  </si>
  <si>
    <t>USA - P18+ Who Checked Their CREDIT SCORE Online in the past 6 months</t>
  </si>
  <si>
    <t>Chicago - P18+ Who Checked Their CREDIT SCORE Online in the past 6 months</t>
  </si>
  <si>
    <t>Washington, DC - P18+ Who Checked Their CREDIT SCORE Online in the past 6 months</t>
  </si>
  <si>
    <t>Seattle - P18+ Who Checked Their CREDIT SCORE Online in the past 6 months</t>
  </si>
  <si>
    <t>Phoenix - P18+ Who Checked Their CREDIT SCORE Online in the past 6 months</t>
  </si>
  <si>
    <t>Minneapolis - P18+ Who Checked Their CREDIT SCORE Online in the past 6 months</t>
  </si>
  <si>
    <t>St. Louis - P18+ Who Checked Their CREDIT SCORE Online in the past 6 months</t>
  </si>
  <si>
    <t>Cincinnati - P18+ Who Checked Their CREDIT SCORE Online in the past 6 months</t>
  </si>
  <si>
    <t>West Palm Beach - P18+ Who Checked Their CREDIT SCORE Online in the past 6 months</t>
  </si>
  <si>
    <t>https://img1.wsimg.com/blobby/go/fa91e93a-72dd-4def-b76d-173477e02dd0/downloads/b27cb14c-c3b8-46b4-b464-56b9198e8d5e/HUBBARD%20-%20USA%2B4MoreDMAs%20-%20P18%2B%20CHECKED%20THEIR%20C.zip?ver=1761667660882</t>
  </si>
  <si>
    <t>https://img1.wsimg.com/blobby/go/fa91e93a-72dd-4def-b76d-173477e02dd0/downloads/0abf9451-f91c-4750-b179-93feb8d61c5c/HUBBARD%20-%20USA%2B4DMAs%20-%20P18%2B%20CHECKED%20THEIR%20CREDI.zip?ver=1761667709140</t>
  </si>
  <si>
    <t>USA - P25-54 Parents of Kids Ages 2-17 who Plan to Visit an INDOOR WATER PARK next 12mos</t>
  </si>
  <si>
    <t>Chicago - P25-54 Parents of Kids Ages 2-17 who Plan to Visit an INDOOR WATER PARK next 12mos</t>
  </si>
  <si>
    <t>Washington, DC - P25-54 Parents of Kids Ages 2-17 who Plan to Visit an INDOOR WATER PARK next 12mos</t>
  </si>
  <si>
    <t>Seattle - P25-54 Parents of Kids Ages 2-17 who Plan to Visit an INDOOR WATER PARK next 12mos</t>
  </si>
  <si>
    <t>Phoenix - P25-54 Parents of Kids Ages 2-17 who Plan to Visit an INDOOR WATER PARK next 12mos</t>
  </si>
  <si>
    <t>Minneapolis - P25-54 Parents of Kids Ages 2-17 who Plan to Visit an INDOOR WATER PARK next 12mos</t>
  </si>
  <si>
    <t>St. Louis - P25-54 Parents of Kids Ages 2-17 who Plan to Visit an INDOOR WATER PARK next 12mos</t>
  </si>
  <si>
    <t>Cincinnati - P25-54 Parents of Kids Ages 2-17 who Plan to Visit an INDOOR WATER PARK next 12mos</t>
  </si>
  <si>
    <t>West Palm Beach - P25-54 Parents of Kids Ages 2-17 who Plan to Visit an INDOOR WATER PARK next 12mos</t>
  </si>
  <si>
    <t>https://img1.wsimg.com/blobby/go/fa91e93a-72dd-4def-b76d-173477e02dd0/downloads/3665e9d5-8b85-4b87-abdb-1023dc3b6069/HUBBARD%20-%20USA%2B4MoreDMAs%20-%20P25-54%20PARENTS%20KIDS%20.zip?ver=1761758018115</t>
  </si>
  <si>
    <t>https://img1.wsimg.com/blobby/go/fa91e93a-72dd-4def-b76d-173477e02dd0/downloads/fb551de7-856e-43a0-8696-f07f12ece3c9/HUBBARD%20-%20USA%2B4DMAs%20-%20P25-54%20PARENTS%20KIDS%20PLAN.zip?ver=1761758065314</t>
  </si>
  <si>
    <t>Minneapolis - P18+ who Listened to HUBBARD RADIO in the past 7 days - R2 2025</t>
  </si>
  <si>
    <t>Minneapolis - P18+ who Listened to KSTP-AM in the past 7 days - R2 2025</t>
  </si>
  <si>
    <t>Minneapolis - P18+ who Listened to KSTP-FM in the past 7 days - R2 2025</t>
  </si>
  <si>
    <t>Minneapolis - P18+ who Listened to KTMY-FM in the past 7 days - R2 2025</t>
  </si>
  <si>
    <t>Minneapolis - P18+ who Listened to IHEART RADIO in the past 7 days - R2 2025</t>
  </si>
  <si>
    <t>Minneapolis - P18+ who Listened to KDWB-FM in the past 7 days - R2 2025</t>
  </si>
  <si>
    <t>Minneapolis - P18+ who Listened to KEEY-FM in the past 7 days - R2 2025</t>
  </si>
  <si>
    <t>Minneapolis - P18+ who Listened to KFXN-FM in the past 7 days - R2 2025</t>
  </si>
  <si>
    <t>Minneapolis - P18+ who Listened to KQQL-FM in the past 7 days - R2 2025</t>
  </si>
  <si>
    <t>Minneapolis - P18+ who Bought Groceries at CUB FOODS in the past 7 days - R2 2025</t>
  </si>
  <si>
    <t>Minneapolis - P18+ who Bought Groceries at TARGET/SUPER TARGET in the past 7 days - R2 2025</t>
  </si>
  <si>
    <t>Minneapolis - P18+ who Bought Groceries at KOWALSKI'S in the past 7 days - R2 2025</t>
  </si>
  <si>
    <t>Minneapolis - P18+ who Bought Groceries at COBORN'S in the past 7 days - R2 2025</t>
  </si>
  <si>
    <t>Minneapolis - P18+ who Bought Groceries at LUND'S &amp; BYERLY'S in the past 7 days - R2 2025</t>
  </si>
  <si>
    <t>Minneapolis DMA vs. the USA - P18+ - R2 2025</t>
  </si>
  <si>
    <t>Minneapolis DMA vs. the USA - P25-54 - R2 2025</t>
  </si>
  <si>
    <t>Minneapolis DMA vs. the USA - W25-54 - R2 2025</t>
  </si>
  <si>
    <t>Minneapolis DMA vs. the USA - M25-54 - R2 2025</t>
  </si>
  <si>
    <t>Minneapolis DMA vs. the USA - P35-64 - R2 2025</t>
  </si>
  <si>
    <t>https://img1.wsimg.com/blobby/go/fa91e93a-72dd-4def-b76d-173477e02dd0/downloads/84c2a9c3-f065-4a74-a520-be5479ced03b/HUBBARD%20-%20USA%20-%20MINNEAPOLIS-ST.%20PAUL%20DMA%20-%205%20G.zip?ver=1761926063316</t>
  </si>
  <si>
    <t>https://img1.wsimg.com/blobby/go/fa91e93a-72dd-4def-b76d-173477e02dd0/downloads/b9ec0990-bb67-477e-b4fb-42c92859c327/HUBBARD%20-%20USA%20-%20MINNEAPOLIS-ST.%20PAUL%20DMA%20vs.%20U.pdf?ver=1761926007277</t>
  </si>
  <si>
    <t>https://img1.wsimg.com/blobby/go/fa91e93a-72dd-4def-b76d-173477e02dd0/downloads/28642ff3-b691-4345-8bd8-7065ea3df7fa/HUBBARD%20-%20USA%20-%20MINNEAPOLIS-ST.%20PAUL%20METRO%20-%20I.zip?ver=1762187509128</t>
  </si>
  <si>
    <t>https://img1.wsimg.com/blobby/go/fa91e93a-72dd-4def-b76d-173477e02dd0/downloads/e636792a-6d17-4949-8725-02b4903ddc37/HUBBARD%20-%20USA%20-%20MINNEAPOLIS-ST.%20PAUL%20METRO%20-%20H.zip?ver=1762187847928</t>
  </si>
  <si>
    <t>USA - P18+ who used CHIPOTLE one or more times in the past 30 days</t>
  </si>
  <si>
    <t>Chicago - P18+ who used CHIPOTLE one or more times in the past 30 days</t>
  </si>
  <si>
    <t>Washington, DC - P18+ who used CHIPOTLE one or more times in the past 30 days</t>
  </si>
  <si>
    <t>Seattle - P18+ who used CHIPOTLE one or more times in the past 30 days</t>
  </si>
  <si>
    <t>Phoenix - P18+ who used CHIPOTLE one or more times in the past 30 days</t>
  </si>
  <si>
    <t>Minneapolis - P18+ who used CHIPOTLE one or more times in the past 30 days</t>
  </si>
  <si>
    <t>St. Louis - P18+ who used CHIPOTLE one or more times in the past 30 days</t>
  </si>
  <si>
    <t>Cincinnati - P18+ who used CHIPOTLE one or more times in the past 30 days</t>
  </si>
  <si>
    <t>West Palm Beach - P18+ who used CHIPOTLE one or more times in the past 30 days</t>
  </si>
  <si>
    <t>https://img1.wsimg.com/blobby/go/fa91e93a-72dd-4def-b76d-173477e02dd0/downloads/3505766f-d626-46a3-b825-468bb443c77d/HUBBARD%20-%20USA%2B4MoreDMAs%20-%20P18%2B%20WHO%20USED%20CHIPOT.zip?ver=1762270706395</t>
  </si>
  <si>
    <t>https://img1.wsimg.com/blobby/go/fa91e93a-72dd-4def-b76d-173477e02dd0/downloads/ceb75023-4063-4791-81f7-3355c825cd0c/HUBBARD%20-%20USA%2B4DMAs%20-%20P18%2B%20WHO%20USED%20CHIPOTLE%20I.zip?ver=1762270750292</t>
  </si>
  <si>
    <t>USA - P18+ who purchased SNACK FOODS in the past 7 days</t>
  </si>
  <si>
    <t>Chicago - P18+ who purchased SNACK FOODS in the past 7 days</t>
  </si>
  <si>
    <t>Washington, DC - P18+ who purchased SNACK FOODS in the past 7 days</t>
  </si>
  <si>
    <t>Seattle - P18+ who purchased SNACK FOODS in the past 7 days</t>
  </si>
  <si>
    <t>Phoenix - P18+ who purchased SNACK FOODS in the past 7 days</t>
  </si>
  <si>
    <t>Minneapolis - P18+ who purchased SNACK FOODS in the past 7 days</t>
  </si>
  <si>
    <t>St. Louis - P18+ who purchased SNACK FOODS in the past 7 days</t>
  </si>
  <si>
    <t>Cincinnati - P18+ who purchased SNACK FOODS in the past 7 days</t>
  </si>
  <si>
    <t>West Palm Beach - P18+ who purchased SNACK FOODS in the past 7 days</t>
  </si>
  <si>
    <t>https://img1.wsimg.com/blobby/go/fa91e93a-72dd-4def-b76d-173477e02dd0/downloads/df060f04-ac63-4a45-b9fd-6823491c736c/HUBBARD%20-%20USA%2B4MoreDMAs%20-%20P18%2B%20WHO%20PURCHASED%20S.zip?ver=1762372501725</t>
  </si>
  <si>
    <t>https://img1.wsimg.com/blobby/go/fa91e93a-72dd-4def-b76d-173477e02dd0/downloads/2b77696e-e8fa-4a77-9b0e-6ced73f638aa/HUBBARD%20-%20USA%2B4DMAs%20-%20P18%2B%20WHO%20PURCHASED%20SNACK.zip?ver=1762372546803</t>
  </si>
  <si>
    <t>Cincinnati DMA vs. the USA - P18+ - R2 2025</t>
  </si>
  <si>
    <t>Cincinnati DMA vs. the USA - P25-54 - R2 2025</t>
  </si>
  <si>
    <t>Cincinnati DMA vs. the USA - W25-54 - R2 2025</t>
  </si>
  <si>
    <t>Cincinnati DMA vs. the USA - M25-54 - R2 2025</t>
  </si>
  <si>
    <t>Cincinnati DMA vs. the USA - P35-64 - R2 2025</t>
  </si>
  <si>
    <t>St. Louis DMA vs. the USA - P18+ - R2 2025</t>
  </si>
  <si>
    <t>St. Louis DMA vs. the USA - P25-54 - R2 2025</t>
  </si>
  <si>
    <t>St. Louis DMA vs. the USA - W25-54 - R2 2025</t>
  </si>
  <si>
    <t>St. Louis DMA vs. the USA - M25-54 - R2 2025</t>
  </si>
  <si>
    <t>St. Louis DMA vs. the USA - P35-64 - R2 2025</t>
  </si>
  <si>
    <t>https://img1.wsimg.com/blobby/go/fa91e93a-72dd-4def-b76d-173477e02dd0/downloads/b3eab288-9ca1-4301-ae69-b40fd64bc4be/HUBBARD%20-%20USA%20-%20CINCINNATI%20OH%20DMA%20vs.%20USA%20-%205%20.pdf?ver=1762622315506</t>
  </si>
  <si>
    <t>https://img1.wsimg.com/blobby/go/fa91e93a-72dd-4def-b76d-173477e02dd0/downloads/b72218e2-6297-4e82-a991-43dd5095358a/HUBBARD%20-%20USA%20-%20ST.%20LOUIS%20MO%20DMA%20vs.%20USA%20-%205%20D.pdf?ver=1762622366385</t>
  </si>
  <si>
    <t>Cincinnati - P18+ who Used SKYLINE CHILI in the past 30 days - R2 2025</t>
  </si>
  <si>
    <t>Cincinnati - P18+ who Used GOLD STAR CHILI in the past 30 days - R2 2025</t>
  </si>
  <si>
    <t>Cincinnati - P18+ who Used FRISCH'S BIG BOY in the past 30 days - R2 2025</t>
  </si>
  <si>
    <t>Cincinnati - P18+ who Used LAROSA'S FAMILY PIZZERIA in the past 30 days - R2 2025</t>
  </si>
  <si>
    <t>Cincinnati - P18+ who Used DEWEY'S PIZZA in the past 30 days - R2 2025</t>
  </si>
  <si>
    <t>St. Louis - P18+ who Used IMO'S PIZZA in the past 30 days - R2 2025</t>
  </si>
  <si>
    <t>St. Louis - P18+ who Used LION'S CHOICE in the past 30 days - R2 2025</t>
  </si>
  <si>
    <t>St. Louis - P18+ who Used STEAK 'N SHAKE in the past 30 days - R2 2025</t>
  </si>
  <si>
    <t>St. Louis - P18+ who Used BANDANA'S BAR-B-Q in the past 30 days - R2 2025</t>
  </si>
  <si>
    <t>St. Louis - P18+ who Used THE PASTA HOUSE CO. in the past 30 days - R2 2025</t>
  </si>
  <si>
    <t>https://img1.wsimg.com/blobby/go/fa91e93a-72dd-4def-b76d-173477e02dd0/downloads/c309fedf-62c2-42cd-9e7b-22be535b056c/HUBBARD%20-%20USA%20-%20CINCINNATI%20OH%20DMA%20-%205%20SIT-DOWN.zip?ver=1762794053444</t>
  </si>
  <si>
    <t>https://img1.wsimg.com/blobby/go/fa91e93a-72dd-4def-b76d-173477e02dd0/downloads/ce51d864-6a3b-4fb7-a8bc-aec6cc6db68d/HUBBARD%20-%20USA%20-%20ST.%20LOUIS%20MO%20DMA%20-%205%20QSRs%20AND%20.zip?ver=1762794104821</t>
  </si>
  <si>
    <t>9.,8%</t>
  </si>
  <si>
    <t>Cincinnati - P18+ who Listened to CUMULUS RADIO in the past 7 days - R2 2025</t>
  </si>
  <si>
    <t>Cincinnati - P18+ who Listened to WFTK-FM in the past 7 days - R2 2025</t>
  </si>
  <si>
    <t>Cincinnati - P18+ who Listened to WGRR-FM in the past 7 days - R2 2025</t>
  </si>
  <si>
    <t>Cincinnati - P18+ who Listened to WOFX-FM in the past 7 days - R2 2025</t>
  </si>
  <si>
    <t>Cincinnati - P18+ who Listened to WRRM-FM in the past 7 days - R2 2025</t>
  </si>
  <si>
    <t>Cincinnati - P18+ who Listened to HUBBARD RADIO in the past 7 days - R2 2025</t>
  </si>
  <si>
    <t>Cincinnati - P18+ who Listened to WKRQ-FM in the past 7 days - R2 2025</t>
  </si>
  <si>
    <t>Cincinnati - P18+ who Listened to WREW-FM in the past 7 days - R2 2025</t>
  </si>
  <si>
    <t>Cincinnati - P18+ who Listened to WUBE-FM in the past 7 days - R2 2025</t>
  </si>
  <si>
    <t>Cincinnati - P18+ who Listened to WYGY-FM in the past 7 days - R2 2025</t>
  </si>
  <si>
    <t>https://img1.wsimg.com/blobby/go/fa91e93a-72dd-4def-b76d-173477e02dd0/downloads/47f39df6-f11b-4dd9-96e0-fafb73d75499/HUBBARD%20-%20USA%20-%20CINCINNATI%20METRO%20-%20CUMULUS%20RAD.zip?ver=1762873828464</t>
  </si>
  <si>
    <t>https://img1.wsimg.com/blobby/go/fa91e93a-72dd-4def-b76d-173477e02dd0/downloads/892bd654-d7ff-4d7b-bf75-6787be73d5ac/HUBBARD%20-%20USA%20-%20CINCINNATI%20METRO%20-%20HUBBARD%20RAD.zip?ver=1762873891232</t>
  </si>
  <si>
    <t>St. Louis - P18+ who Listened to KEZK-FM in the past 7 days - R2 2025</t>
  </si>
  <si>
    <t>St. Louis - P18+ who Listened to KFTK-FM in the past 7 days - R2 2025</t>
  </si>
  <si>
    <t>St. Louis - P18+ who Listened to KMOX-AM in the past 7 days - R2 2025</t>
  </si>
  <si>
    <t>St. Louis - P18+ who Listened to KYKY-FM in the past 7 days - R2 2025</t>
  </si>
  <si>
    <t>St. Louis - P18+ who Listened to WFUN-FM in the past 7 days - R2 2025</t>
  </si>
  <si>
    <t>St. Louis - P18+ who Listened to KPNT-FM in the past 7 days - R2 2025</t>
  </si>
  <si>
    <t>St. Louis - P18+ who Listened to KSHE-FM in the past 7 days - R2 2025</t>
  </si>
  <si>
    <t>St. Louis - P18+ who Listened to WARH-FM in the past 7 days - R2 2025</t>
  </si>
  <si>
    <t>St. Louis - P18+ who Listened to WIL-FM in the past 7 days - R2 2025</t>
  </si>
  <si>
    <t>St. Louis - P18+ who Listened to WXOS-FM in the past 7 days - R2 2025</t>
  </si>
  <si>
    <t>https://img1.wsimg.com/blobby/go/fa91e93a-72dd-4def-b76d-173477e02dd0/downloads/b9bd2ca0-87d3-4c4f-afaa-1d66fb5553f2/HUBBARD%20-%20USA%20-%20ST.%20LOUIS%20METRO%20-%20AUDACY%20RADIO.zip?ver=1762896801063</t>
  </si>
  <si>
    <t>https://img1.wsimg.com/blobby/go/fa91e93a-72dd-4def-b76d-173477e02dd0/downloads/e2cab3c8-529b-49b9-8f64-6f066050ef5f/HUBBARD%20-%20USA%20-%20ST.%20LOUIS%20METRO%20-%20HUBBARD%20RADI.zip?ver=1762896844389</t>
  </si>
  <si>
    <t>USA - P18+ who use MEDICAID Low-Cost or Free Health Coverage</t>
  </si>
  <si>
    <t>Chicago - P18+ who use MEDICAID Low-Cost or Free Health Coverage</t>
  </si>
  <si>
    <t>Washington, DC - P18+ who use MEDICAID Low-Cost or Free Health Coverage</t>
  </si>
  <si>
    <t>Seattle - P18+ who use MEDICAID Low-Cost or Free Health Coverage</t>
  </si>
  <si>
    <t>Phoenix - P18+ who use MEDICAID Low-Cost or Free Health Coverage</t>
  </si>
  <si>
    <t>Minneapolis - P18+ who use MEDICAID Low-Cost or Free Health Coverage</t>
  </si>
  <si>
    <t>St. Louis - P18+ who use MEDICAID Low-Cost or Free Health Coverage</t>
  </si>
  <si>
    <t>Cincinnati - P18+ who use MEDICAID Low-Cost or Free Health Coverage</t>
  </si>
  <si>
    <t>West Palm Beach - P18+ who use MEDICAID Low-Cost or Free Health Coverage</t>
  </si>
  <si>
    <t>https://img1.wsimg.com/blobby/go/fa91e93a-72dd-4def-b76d-173477e02dd0/downloads/05e5b41b-229b-4e21-91c2-7cbb1e3818b0/HUBBARD%20-%20USA%2B4MoreDMAs%20-%20P18%2B%20WHO%20USE%20MEDICAI.zip?ver=1762974740928</t>
  </si>
  <si>
    <t>https://img1.wsimg.com/blobby/go/fa91e93a-72dd-4def-b76d-173477e02dd0/downloads/9db40a67-dde7-485a-a4be-11b7aa48e522/HUBBARD%20-%20USA%2B4DMAs%20-%20P18%2B%20WHO%20USE%20MEDICAID%20HE.zip?ver=1762974816449</t>
  </si>
  <si>
    <t>Chicago DMA vs. the USA - P18+ - R2 2025</t>
  </si>
  <si>
    <t>Chicago DMA vs. the USA - P25-54 - R2 2025</t>
  </si>
  <si>
    <t>Chicago DMA vs. the USA - W25-54 - R2 2025</t>
  </si>
  <si>
    <t>Chicago DMA vs. the USA - M25-54 - R2 2025</t>
  </si>
  <si>
    <t>Chicago DMA vs. the USA - P35-64 - R2 2025</t>
  </si>
  <si>
    <t>Seattle-Tacoma DMA vs. the USA - P18+ - R2 2025</t>
  </si>
  <si>
    <t>Seattle-Tacoma DMA vs. the USA - P25-54 - R2 2025</t>
  </si>
  <si>
    <t>Seattle-Tacoma DMA vs. the USA - W25-54 - R2 2025</t>
  </si>
  <si>
    <t>Seattle-Tacoma DMA vs. the USA - M25-54 - R2 2025</t>
  </si>
  <si>
    <t>Seattle-Tacoma DMA vs. the USA - P35-64 - R2 2025</t>
  </si>
  <si>
    <t>https://img1.wsimg.com/blobby/go/fa91e93a-72dd-4def-b76d-173477e02dd0/downloads/466e31de-df1f-4750-8259-e2f968764306/HUBBARD%20-%20USA%20-%20SEATTLE-TACOMA%20DMA%20vs.%20USA%20-%205.pdf?ver=1763142224113</t>
  </si>
  <si>
    <t>https://img1.wsimg.com/blobby/go/fa91e93a-72dd-4def-b76d-173477e02dd0/downloads/5c4a1bdf-4913-4514-af4a-a3efde6604bd/HUBBARD%20-%20USA%20-%20CHICAGO%20IL%20DMA%20vs.%20USA%20-%205%20DEM.pdf?ver=1763145659906</t>
  </si>
  <si>
    <t>Chicago - P18+ who Used PORTILLO'S in the past 30 days - R2 2025</t>
  </si>
  <si>
    <t>Chicago - P18+ who Used JIMMY JOHN'S in the past 30 days - R2 2025</t>
  </si>
  <si>
    <t>Chicago - P18+ who Used POTBELLY SANDWICH SHOP in the past 30 days - R2 2025</t>
  </si>
  <si>
    <t>Chicago - P18+ who Used ROSATI'S PIZZA in the past 30 days - R2 2025</t>
  </si>
  <si>
    <t>Chicago - P18+ who Used BUONA ITALIAN BEEF in the past 30 days - R2 2025</t>
  </si>
  <si>
    <t>Seattle-Tacoma - P18+ who Used ANTHONY'S RESTAURANTS in the past 30 days - R2 2025</t>
  </si>
  <si>
    <t>Seattle-Tacoma - P18+ who Used DICK'S DRIVE-IN in the past 30 days - R2 2025</t>
  </si>
  <si>
    <t>Seattle-Tacoma - P18+ who Used IVAR'S SEAFOOD BAR in the past 30 days - R2 2025</t>
  </si>
  <si>
    <t>Seattle-Tacoma - P18+ who Used MOD PIZZA in the past 30 days - R2 2025</t>
  </si>
  <si>
    <t>Seattle-Tacoma - P18+ who Used TACO TIME in the past 30 days - R2 2025</t>
  </si>
  <si>
    <t>https://img1.wsimg.com/blobby/go/fa91e93a-72dd-4def-b76d-173477e02dd0/downloads/d5b1ba7d-7567-4267-bb31-7fee04915ce7/HUBBARD%20-%20USA%20-%20SEATTLE-TACOMA%20DMA%20-%205%20RESTAUR.zip?ver=1763260364187</t>
  </si>
  <si>
    <t>https://img1.wsimg.com/blobby/go/fa91e93a-72dd-4def-b76d-173477e02dd0/downloads/67b5efa2-e6a2-417a-a432-97ebf3e25559/HUBBARD%20-%20USA%20-%20CHICAGO%20IL%20DMA%20-%205%20LOCAL%20QSRs%20.zip?ver=1763260414581</t>
  </si>
  <si>
    <t>Seattle-Tacoma - P18+ who Listened to HUBBARD RADIO in the past 7 days - R2 2025</t>
  </si>
  <si>
    <t>Seattle-Tacoma - P18+ who Listened to KPNW-FM in the past 7 days - R2 2025</t>
  </si>
  <si>
    <t>Seattle-Tacoma - P18+ who Listened to KQMV-FMM in the past 7 days - R2 2025</t>
  </si>
  <si>
    <t>Seattle-Tacoma - P18+ who Listened to KQMV-FM M-F 6A-10A in the past 7 days - R2 2025</t>
  </si>
  <si>
    <t>Seattle-Tacoma - P18+ who Listened to KRWM-FM in the past 7 days - R2 2025</t>
  </si>
  <si>
    <t>Seattle-Tacoma - P18+ who Listened to IHEART RADIO in the past 7 days - R2 2025</t>
  </si>
  <si>
    <t>Seattle-Tacoma - P18+ who Listened to KBKS-FM in the past 7 days - R2 2025</t>
  </si>
  <si>
    <t>Seattle-Tacoma - P18+ who Listened to KJAQ-FM in the past 7 days - R2 2025</t>
  </si>
  <si>
    <t>Seattle-Tacoma - P18+ who Listened to KJEB-FM in the past 7 days - R2 2025</t>
  </si>
  <si>
    <t>Seattle-Tacoma - P18+ who Listened to KZOK-FM in the past 7 days - R2 2025</t>
  </si>
  <si>
    <t>https://img1.wsimg.com/blobby/go/fa91e93a-72dd-4def-b76d-173477e02dd0/downloads/171045a8-8b9f-424a-bb2e-93ac9c7a6b4e/HUBBARD%20-%20USA%20-%20SEATTLE-TACOMA%20METRO%20-%20IHEART%20.zip?ver=1763414613501</t>
  </si>
  <si>
    <t>https://img1.wsimg.com/blobby/go/fa91e93a-72dd-4def-b76d-173477e02dd0/downloads/0bec5888-cf6a-4c95-801e-7e7d0c1f2202/HUBBARD%20-%20USA%20-%20SEATTLE-TACOMA%20METRO%20-%20HUBBARD.zip?ver=1763414682768</t>
  </si>
  <si>
    <t>Chicago - P18+ who Listened to HUBBARD RADIO in the past 7 days - R2 2025</t>
  </si>
  <si>
    <t>Chicago - P18+ who Listened to WDRV-FM in the past 7 days - R2 2025</t>
  </si>
  <si>
    <t>Chicago - P18+ who Listened to WTBC-FM in the past 7 days - R2 2025</t>
  </si>
  <si>
    <t>Chicago - P18+ who Listened to WTMX-FM in the past 7 days - R2 2025</t>
  </si>
  <si>
    <t>Chicago - P18+ who Listened to WTMX-FM M-F 6A-10A in the past 7 days - R2 2025</t>
  </si>
  <si>
    <t>Chicago - P18+ who Listened to AUDACY RADIO in the past 7 days - R2 2025</t>
  </si>
  <si>
    <t>Chicago - P18+ who Listened to WBBM-AM in the past 7 days - R2 2025</t>
  </si>
  <si>
    <t>Chicago - P18+ who Listened to WBBM-FM in the past 7 days - R2 2025</t>
  </si>
  <si>
    <t>Chicago - P18+ who Listened to WUSN-FM in the past 7 days - R2 2025</t>
  </si>
  <si>
    <t>Chicago - P18+ who Listened to WXRT-FM in the past 7 days - R2 2025</t>
  </si>
  <si>
    <t>https://img1.wsimg.com/blobby/go/fa91e93a-72dd-4def-b76d-173477e02dd0/downloads/b7454ed7-a9d8-43a5-b9c8-4e616b8ddfd8/HUBBARD%20-%20USA%20-%20CHICAGO%20METRO%20-%20AUDACY%20RADIO%20A.zip?ver=1763481859892</t>
  </si>
  <si>
    <t>https://img1.wsimg.com/blobby/go/fa91e93a-72dd-4def-b76d-173477e02dd0/downloads/543ce58d-0df9-43e9-887c-8c8fbcd671cb/HUBBARD%20-%20USA%20-%20CHICAGO%20METRO%20-%20HUBBARD%20RADIO%20.zip?ver=1763481957716</t>
  </si>
  <si>
    <t>USA - P18+ who Purchased Items In-Store at MACY'S in the past 3 months</t>
  </si>
  <si>
    <t>Chicago - P18+ who Purchased Items In-Store at MACY'S in the past 3 months</t>
  </si>
  <si>
    <t>Washington, DC - P18+ who Purchased Items In-Store at MACY'S in the past 3 months</t>
  </si>
  <si>
    <t>Seattle - P18+ who Purchased Items In-Store at MACY'S in the past 3 months</t>
  </si>
  <si>
    <t>Phoenix - P18+ who Purchased Items In-Store at MACY'S in the past 3 months</t>
  </si>
  <si>
    <t>Minneapolis - P18+ who Purchased Items In-Store at MACY'S in the past 3 months</t>
  </si>
  <si>
    <t>St. Louis - P18+ who Purchased Items In-Store at MACY'S in the past 3 months</t>
  </si>
  <si>
    <t>Cincinnati - P18+ who Purchased Items In-Store at MACY'S in the past 3 months</t>
  </si>
  <si>
    <t>West Palm Beach - P18+ who Purchased Items In-Store at MACY'S in the past 3 months</t>
  </si>
  <si>
    <t>https://img1.wsimg.com/blobby/go/fa91e93a-72dd-4def-b76d-173477e02dd0/downloads/68c72945-7c76-45bd-82d2-ca755400a82d/HUBBARD%20-%20USA%2B4MoreDMAs%20-%20P18%2B%20WHO%20PURCHASED%20I.zip?ver=1763589247442</t>
  </si>
  <si>
    <t>https://img1.wsimg.com/blobby/go/fa91e93a-72dd-4def-b76d-173477e02dd0/downloads/c1f28e2a-df8e-4f98-8155-500f43bdb8f6/HUBBARD%20-%20USA%2B4DMAs%20-%20P18%2B%20WHO%20PURCHASED%20ITEMS.zip?ver=1763589314933</t>
  </si>
  <si>
    <t>USA - P18+ who used WINGSTOP One or More Times in the past 30 days</t>
  </si>
  <si>
    <t>Chicago - P18+ who used WINGSTOP One or More Times in the past 30 days</t>
  </si>
  <si>
    <t>Washington, DC - P18+ who used WINGSTOP One or More Times in the past 30 days</t>
  </si>
  <si>
    <t>Seattle - P18+ who used WINGSTOP One or More Times in the past 30 days</t>
  </si>
  <si>
    <t>Phoenix - P18+ who used WINGSTOP One or More Times in the past 30 days</t>
  </si>
  <si>
    <t>Minneapolis - P18+ who used WINGSTOP One or More Times in the past 30 days</t>
  </si>
  <si>
    <t>St. Louis - P18+ who used WINGSTOP One or More Times in the past 30 days</t>
  </si>
  <si>
    <t>Cincinnati - P18+ who used WINGSTOP One or More Times in the past 30 days</t>
  </si>
  <si>
    <t>West Palm Beach - P18+ who used WINGSTOP One or More Times in the past 30 days</t>
  </si>
  <si>
    <t>https://img1.wsimg.com/blobby/go/fa91e93a-72dd-4def-b76d-173477e02dd0/downloads/69f4c96a-2eb3-4cd2-884f-62573ba701fd/HUBBARD%20-%20USA%2B4MoreDMAs%20-%20P18%2B%20WHO%20USED%20WINGST.zip?ver=1763750779692</t>
  </si>
  <si>
    <t>https://img1.wsimg.com/blobby/go/fa91e93a-72dd-4def-b76d-173477e02dd0/downloads/6599bf3c-8e8b-47b0-9a48-b01d6c97a5c2/HUBBARD%20-%20USA%2B4DMAs%20-%20P18%2B%20WHO%20USED%20WINGSTOP%20P.zip?ver=1763750825413</t>
  </si>
  <si>
    <t>USA - P35+ Single-Family Homeowners who have Purchased SOLAR PANELS for their Home</t>
  </si>
  <si>
    <t>Chicago - P35+ Single-Family Homeowners who have Purchased SOLAR PANELS for their Home</t>
  </si>
  <si>
    <t>Washington, DC - P35+ Single-Family Homeowners who have Purchased SOLAR PANELS for their Home</t>
  </si>
  <si>
    <t>Seattle - P35+ Single-Family Homeowners who have Purchased SOLAR PANELS for their Home</t>
  </si>
  <si>
    <t>Phoenix - P35+ Single-Family Homeowners who have Purchased SOLAR PANELS for their Home</t>
  </si>
  <si>
    <t>Minneapolis - P35+ Single-Family Homeowners who have Purchased SOLAR PANELS for their Home</t>
  </si>
  <si>
    <t>St. Louis - P35+ Single-Family Homeowners who have Purchased SOLAR PANELS for their Home</t>
  </si>
  <si>
    <t>Cincinnati - P35+ Single-Family Homeowners who have Purchased SOLAR PANELS for their Home</t>
  </si>
  <si>
    <t>West Palm Beach - P35+ Single-Family Homeowners who have Purchased SOLAR PANELS for their Home</t>
  </si>
  <si>
    <t>https://img1.wsimg.com/blobby/go/fa91e93a-72dd-4def-b76d-173477e02dd0/downloads/05e5b41b-229b-4e21-91c2-7cbb1e3818b0/HUBBARD%20-%20USA%2B4MoreDMAs%20-%20P18%2B%20WHO%20USE%20MEDICAI.zip?ver=1764090972596</t>
  </si>
  <si>
    <t>https://img1.wsimg.com/blobby/go/fa91e93a-72dd-4def-b76d-173477e02dd0/downloads/9db40a67-dde7-485a-a4be-11b7aa48e522/HUBBARD%20-%20USA%2B4DMAs%20-%20P18%2B%20WHO%20USE%20MEDICAID%20HE.zip?ver=1764091032635</t>
  </si>
  <si>
    <t>Washington, DC - P18+ who Used CAVA in the past 30 days - R2 2025</t>
  </si>
  <si>
    <t>Washington, DC - P18+ who Used LEDO PIZZA in the past 30 days - R2 2025</t>
  </si>
  <si>
    <t>Washington, DC - P18+ who Used SILVER DINER in the past 30 days - R2 2025</t>
  </si>
  <si>
    <t>Washington, DC - P18+ who Used ROY ROGERS in the past 30 days - R2 2025</t>
  </si>
  <si>
    <t>Washington, DC - P18+ who Used GLORY days - R2 2025GRILL in the past 30 days - R2 2025</t>
  </si>
  <si>
    <t>Washington, DC DMA vs. the USA - P18+ - R2 2025</t>
  </si>
  <si>
    <t>Washington, DC DMA vs. the USA - P25-54 - R2 2025</t>
  </si>
  <si>
    <t>Washington, DC DMA vs. the USA - W25-54 - R2 2025</t>
  </si>
  <si>
    <t>Washington, DC DMA vs. the USA - M25-54 - R2 2025</t>
  </si>
  <si>
    <t>Washington, DC DMA vs. the USA - P35-64 - R2 2025</t>
  </si>
  <si>
    <t>https://img1.wsimg.com/blobby/go/fa91e93a-72dd-4def-b76d-173477e02dd0/downloads/2384b8e4-178d-4073-bcdd-6bdf06f116fe/HUBBARD%20-%20USA%20-%20WASHINGTON%20DC%20DMA%20-%205%20RESTAURA.zip?ver=1764779965515</t>
  </si>
  <si>
    <t>https://img1.wsimg.com/blobby/go/fa91e93a-72dd-4def-b76d-173477e02dd0/downloads/9e6fd5da-d3c9-4a55-a458-e4c5dbbc2f90/HUBBARD%20-%20USA%20-%20WASHINGTON%20DC%20DMA%20vs.%20USA%20-%205%20.pdf?ver=1764780009597</t>
  </si>
  <si>
    <t>Washington, DC - P18+ who Used WRC-TV4(NBC) for NEWS in the past 7 days - R2 2025</t>
  </si>
  <si>
    <t>Washington, DC - P18+ who Used WJLA-TV7(ABC) for NEWS in the past 7 days - R2 2025</t>
  </si>
  <si>
    <t>Washington, DC - P18+ who Used WUSA-TV9(CBS) for NEWS in the past 7 days - R2 2025</t>
  </si>
  <si>
    <t>Washington, DC - P18+ who Used WTOP NEWS in the past 7 days - R2 2025</t>
  </si>
  <si>
    <t>Washington, DC - P18+ who Used THE WASHINGTON POST in the past 7 days - R2 2025</t>
  </si>
  <si>
    <t>Washington, DC - P18+ who Attended a WASHINGTON CAPITALS Hockey Game past 12mos - R2 2025</t>
  </si>
  <si>
    <t>Washington, DC - P18+ who Attended a WASHINGTON COMMANDERS Football Game past 12mos - R2 2025</t>
  </si>
  <si>
    <t>Washington, DC - P18+ who Attended a WASHINGTON MYSTICS WNBA Game past 12mos - R2 2025</t>
  </si>
  <si>
    <t>Washington, DC - P18+ who Attended a WASHINGTON NATIONALS Baseball Game past 12mos - R2 2025</t>
  </si>
  <si>
    <t>Washington, DC - P18+ who Attended a WASHINGTON WIZARDS NBA Game past 12mos - R2 2025</t>
  </si>
  <si>
    <t>https://img1.wsimg.com/blobby/go/fa91e93a-72dd-4def-b76d-173477e02dd0/downloads/0e92510a-e363-4a6e-92e6-86b4db228a98/HUBBARD%20-%20USA%20-%20WASHINGTON%20DC%20DMA%20-%205%20LOCAL%20PR.zip?ver=1764881827038</t>
  </si>
  <si>
    <t>https://img1.wsimg.com/blobby/go/fa91e93a-72dd-4def-b76d-173477e02dd0/downloads/70c21b40-b664-421c-b6b0-e76a13a44a83/HUBBARD%20-%20USA%20-%20WASHINGTON%20DC%20METRO%20-%205%20LOCAL%20.zip?ver=1764881896403</t>
  </si>
  <si>
    <t>Washington, DC - P18+ who Listened to AUDACY RADIO in the past 7 days - R2 2025</t>
  </si>
  <si>
    <t>Washington, DC - P18+ who Listened to WIAD-FM in the past 7 days - R2 2025</t>
  </si>
  <si>
    <t>Washington, DC - P18+ who Listened to WJFK-FM in the past 7 days - R2 2025</t>
  </si>
  <si>
    <t>Washington, DC - P18+ who Listened to WLZL-FM in the past 7 days - R2 2025</t>
  </si>
  <si>
    <t>Washington, DC - P18+ who Listened to WPGC-FM in the past 7 days - R2 2025</t>
  </si>
  <si>
    <t>Washington, DC - P18+ who Listened to IHEART RADIO in the past 7 days - R2 2025</t>
  </si>
  <si>
    <t>Washington, DC - P18+ who Listened to WASH-FM in the past 7 days - R2 2025</t>
  </si>
  <si>
    <t>Washington, DC - P18+ who Listened to WBIG-FM in the past 7 days - R2 2025</t>
  </si>
  <si>
    <t>Washington, DC - P18+ who Listened to WIHT-FM in the past 7 days - R2 2025</t>
  </si>
  <si>
    <t>Washington, DC - P18+ who Listened to WWDC-FM in the past 7 days - R2 2025</t>
  </si>
  <si>
    <t>https://img1.wsimg.com/blobby/go/fa91e93a-72dd-4def-b76d-173477e02dd0/downloads/1484baae-7e30-458d-b753-1301ed410c78/HUBBARD%20-%20USA%20-%20WASHINGTON%20DC%20METRO%20-%20IHEART%20R.zip?ver=1764956705456</t>
  </si>
  <si>
    <t>https://img1.wsimg.com/blobby/go/fa91e93a-72dd-4def-b76d-173477e02dd0/downloads/6e6019ac-b2c3-4af4-9047-c2ca8c530f38/HUBBARD%20-%20USA%20-%20WASHINGTON%20DC%20METRO%20-%20AUDACY%20R.zip?ver=1764956777095</t>
  </si>
  <si>
    <t>USA - P21+ who Attended a COMEDY CLUB in the past 12 months</t>
  </si>
  <si>
    <t>Chicago - P21+ who Attended a COMEDY CLUB in the past 12 months</t>
  </si>
  <si>
    <t>Washington, DC - P21+ who Attended a COMEDY CLUB in the past 12 months</t>
  </si>
  <si>
    <t>Seattle - P21+ who Attended a COMEDY CLUB in the past 12 months</t>
  </si>
  <si>
    <t>Phoenix - P21+ who Attended a COMEDY CLUB in the past 12 months</t>
  </si>
  <si>
    <t>Minneapolis - P21+ who Attended a COMEDY CLUB in the past 12 months</t>
  </si>
  <si>
    <t>St. Louis - P21+ who Attended a COMEDY CLUB in the past 12 months</t>
  </si>
  <si>
    <t>Cincinnati - P21+ who Attended a COMEDY CLUB in the past 12 months</t>
  </si>
  <si>
    <t>West Palm Beach - P21+ who Attended a COMEDY CLUB in the past 12 months</t>
  </si>
  <si>
    <t>https://img1.wsimg.com/blobby/go/fa91e93a-72dd-4def-b76d-173477e02dd0/downloads/a29de1ce-659e-4bf7-a781-f3443fddc6a2/HUBBARD%20-%20USA%2B4MoreDMAs%20-%20P21%2B%20WHO%20ATTENDED%20A%20.zip?ver=1765298117160</t>
  </si>
  <si>
    <t>https://img1.wsimg.com/blobby/go/fa91e93a-72dd-4def-b76d-173477e02dd0/downloads/2c6710b7-1fd8-4273-9b02-6f54739b8386/HUBBARD%20-%20USA%2B4DMAs%20-%20P21%2B%20WHO%20ATTENDED%20A%20COME.zip?ver=1765298176126</t>
  </si>
  <si>
    <t>USA - P18+ who Own or Lease a Vehicle with a Subscription-Based AUTO SAFETY and SECURITY SERVICE</t>
  </si>
  <si>
    <t>Chicago - P18+ who Own or Lease a Vehicle with a Subscription-Based AUTO SAFETY and SECURITY SERVICE</t>
  </si>
  <si>
    <t>Washington, DC - P18+ who Own or Lease a Vehicle with a Subscription-Based AUTO SAFETY and SECURITY SERVICE</t>
  </si>
  <si>
    <t>Seattle - P18+ who Own or Lease a Vehicle with a Subscription-Based AUTO SAFETY and SECURITY SERVICE</t>
  </si>
  <si>
    <t>Phoenix - P18+ who Own or Lease a Vehicle with a Subscription-Based AUTO SAFETY and SECURITY SERVICE</t>
  </si>
  <si>
    <t>Minneapolis - P18+ who Own or Lease a Vehicle with a Subscription-Based AUTO SAFETY and SECURITY SERVICE</t>
  </si>
  <si>
    <t>St. Louis - P18+ who Own or Lease a Vehicle with a Subscription-Based AUTO SAFETY and SECURITY SERVICE</t>
  </si>
  <si>
    <t>Cincinnati - P18+ who Own or Lease a Vehicle with a Subscription-Based AUTO SAFETY and SECURITY SERVICE</t>
  </si>
  <si>
    <t>West Palm Beach - P18+ who Own or Lease a Vehicle with a Subscription-Based AUTO SAFETY and SECURITY SERVICE</t>
  </si>
  <si>
    <t>https://img1.wsimg.com/blobby/go/fa91e93a-72dd-4def-b76d-173477e02dd0/downloads/45bc0252-d36a-484d-96f2-fd0d53090e5e/HUBBARD%20-%20USA%2B4MoreDMAs%20-%20P18%2B%20WITH%20AN%20AUTO%20SA.zip?ver=1765395139566</t>
  </si>
  <si>
    <t>https://img1.wsimg.com/blobby/go/fa91e93a-72dd-4def-b76d-173477e02dd0/downloads/3cc4dcf1-983b-41dd-8bae-553ba1521eea/HUBBARD%20-%20USA%2B4DMAs%20-%20P18%2B%20WITH%20AN%20AUTO%20SAFETY.zip?ver=1765395197536</t>
  </si>
  <si>
    <t>https://img1.wsimg.com/blobby/go/fa91e93a-72dd-4def-b76d-173477e02dd0/downloads/266d2020-b11f-4d28-8bf7-1ee634ec30e0/HUBBARD%20-%20USA%2B4DMAs%20-%20P18%2B%20WHO%20SPENT%20%245%2C000%2B%20O.zip?ver=1765484041797</t>
  </si>
  <si>
    <t>https://img1.wsimg.com/blobby/go/fa91e93a-72dd-4def-b76d-173477e02dd0/downloads/730484cb-72ea-4a77-9263-825bdfaed135/HUBBARD%20-%20USA%2B4MoreDMAs%20-%20P18%2B%20WHO%20SPENT%20%245%2C00.zip?ver=1765483997884</t>
  </si>
  <si>
    <t>USA - P18+ who Spent $5,000 or More on a FLORIDA VACATION in the past 12 months</t>
  </si>
  <si>
    <t>Chicago - P18+ who Spent $5,000 or More on a FLORIDA VACATION in the past 12 months</t>
  </si>
  <si>
    <t>Washington, DC - P18+ who Spent $5,000 or More on a FLORIDA VACATION in the past 12 months</t>
  </si>
  <si>
    <t>Seattle - P18+ who Spent $5,000 or More on a FLORIDA VACATION in the past 12 months</t>
  </si>
  <si>
    <t>Phoenix - P18+ who Spent $5,000 or More on a FLORIDA VACATION in the past 12 months</t>
  </si>
  <si>
    <t>Minneapolis - P18+ who Spent $5,000 or More on a FLORIDA VACATION in the past 12 months</t>
  </si>
  <si>
    <t>St. Louis - P18+ who Spent $5,000 or More on a FLORIDA VACATION in the past 12 months</t>
  </si>
  <si>
    <t>Cincinnati - P18+ who Spent $5,000 or More on a FLORIDA VACATION in the past 12 months</t>
  </si>
  <si>
    <t>West Palm Beach - P18+ who Spent $5,000 or More on a FLORIDA VACATION in the past 12 months</t>
  </si>
  <si>
    <t>https://img1.wsimg.com/blobby/go/fa91e93a-72dd-4def-b76d-173477e02dd0/downloads/9524ee9a-34c2-4145-9e80-612b5333d431/HUBBARD%20-%20USA%2B4MoreDMAs%20-%20P18%2B%20BECAME%20FOLLOWER.zip?ver=1765828064276</t>
  </si>
  <si>
    <t>https://img1.wsimg.com/blobby/go/fa91e93a-72dd-4def-b76d-173477e02dd0/downloads/c653f141-dd02-4b8c-a08a-6ce0167d4fd2/HUBBARD%20-%20USA%2B4DMAs%20-%20P18%2B%20BECAME%20FOLLOWER%20OF%20.zip?ver=1765828120995</t>
  </si>
  <si>
    <t>USA - P18+ who Became a Follower of a SOCIAL MEDIA INFLUENCER in the past 30 days</t>
  </si>
  <si>
    <t>Chicago - P18+ who Became a Follower of a SOCIAL MEDIA INFLUENCER in the past 30 days</t>
  </si>
  <si>
    <t>Washington, DC - P18+ who Became a Follower of a SOCIAL MEDIA INFLUENCER in the past 30 days</t>
  </si>
  <si>
    <t>Seattle - P18+ who Became a Follower of a SOCIAL MEDIA INFLUENCER in the past 30 days</t>
  </si>
  <si>
    <t>Phoenix - P18+ who Became a Follower of a SOCIAL MEDIA INFLUENCER in the past 30 days</t>
  </si>
  <si>
    <t>Minneapolis - P18+ who Became a Follower of a SOCIAL MEDIA INFLUENCER in the past 30 days</t>
  </si>
  <si>
    <t>St. Louis - P18+ who Became a Follower of a SOCIAL MEDIA INFLUENCER in the past 30 days</t>
  </si>
  <si>
    <t>Cincinnati - P18+ who Became a Follower of a SOCIAL MEDIA INFLUENCER in the past 30 days</t>
  </si>
  <si>
    <t>West Palm Beach - P18+ who Became a Follower of a SOCIAL MEDIA INFLUENCER in the past 30 days</t>
  </si>
  <si>
    <t>USA - P18+ who Don’t Watch LOCAL TV NEWS and/or NATIONAL/NETWORK TV NEWS</t>
  </si>
  <si>
    <t>Chicago - P18+ who Don’t Watch LOCAL TV NEWS and/or NATIONAL/NETWORK TV NEWS</t>
  </si>
  <si>
    <t>Washington, DC - P18+ who Don’t Watch LOCAL TV NEWS and/or NATIONAL/NETWORK TV NEWS</t>
  </si>
  <si>
    <t>Seattle - P18+ who Don’t Watch LOCAL TV NEWS and/or NATIONAL/NETWORK TV NEWS</t>
  </si>
  <si>
    <t>Phoenix - P18+ who Don’t Watch LOCAL TV NEWS and/or NATIONAL/NETWORK TV NEWS</t>
  </si>
  <si>
    <t>Minneapolis - P18+ who Don’t Watch LOCAL TV NEWS and/or NATIONAL/NETWORK TV NEWS</t>
  </si>
  <si>
    <t>St. Louis - P18+ who Don’t Watch LOCAL TV NEWS and/or NATIONAL/NETWORK TV NEWS</t>
  </si>
  <si>
    <t>Cincinnati - P18+ who Don’t Watch LOCAL TV NEWS and/or NATIONAL/NETWORK TV NEWS</t>
  </si>
  <si>
    <t>West Palm Beach - P18+ who Don’t Watch LOCAL TV NEWS and/or NATIONAL/NETWORK TV NEWS</t>
  </si>
  <si>
    <t>https://img1.wsimg.com/blobby/go/fa91e93a-72dd-4def-b76d-173477e02dd0/downloads/6080af4c-b527-4cf4-ba3e-4ef0908dfed7/HUBBARD%20-%20USA%2B4MoreDMAs%20-%20P18%2B%20WHO%20DON_T%20WATCH.zip?ver=1765999640329</t>
  </si>
  <si>
    <t>https://img1.wsimg.com/blobby/go/fa91e93a-72dd-4def-b76d-173477e02dd0/downloads/26db38c3-9337-4a23-ba5a-a18937b2c664/HUBBARD%20-%20USA%2B4DMAs%20-%20P18%2B%20WHO%20DON_T%20WATCH%20TV%20.zip?ver=1765999692503</t>
  </si>
  <si>
    <t>USA - P18+ who Asked Their DOCTOR to Prescribe a SPECIFIC DRUG due to Health Ads</t>
  </si>
  <si>
    <t>Chicago - P18+ who Asked Their DOCTOR to Prescribe a SPECIFIC DRUG due to Health Ads</t>
  </si>
  <si>
    <t>Washington, DC - P18+ who Asked Their DOCTOR to Prescribe a SPECIFIC DRUG due to Health Ads</t>
  </si>
  <si>
    <t>Seattle - P18+ who Asked Their DOCTOR to Prescribe a SPECIFIC DRUG due to Health Ads</t>
  </si>
  <si>
    <t>Phoenix - P18+ who Asked Their DOCTOR to Prescribe a SPECIFIC DRUG due to Health Ads</t>
  </si>
  <si>
    <t>Minneapolis - P18+ who Asked Their DOCTOR to Prescribe a SPECIFIC DRUG due to Health Ads</t>
  </si>
  <si>
    <t>St. Louis - P18+ who Asked Their DOCTOR to Prescribe a SPECIFIC DRUG due to Health Ads</t>
  </si>
  <si>
    <t>Cincinnati - P18+ who Asked Their DOCTOR to Prescribe a SPECIFIC DRUG due to Health Ads</t>
  </si>
  <si>
    <t>West Palm Beach - P18+ who Asked Their DOCTOR to Prescribe a SPECIFIC DRUG due to Health Ads</t>
  </si>
  <si>
    <t>https://img1.wsimg.com/blobby/go/fa91e93a-72dd-4def-b76d-173477e02dd0/downloads/ca33c9d8-0e14-4558-b5bc-4b1bab946ed9/HUBBARD%20-%20USA%2B4MoreDMAs%20-%20P18%2B%20WHO%20ASKED%20DOCTO.zip?ver=1766149834263</t>
  </si>
  <si>
    <t>https://img1.wsimg.com/blobby/go/fa91e93a-72dd-4def-b76d-173477e02dd0/downloads/c05b34a6-c80d-4586-a24b-c3a0e752dd4f/HUBBARD%20-%20USA%2B4DMAs%20-%20P18%2B%20WHO%20ASKED%20DOCTOR%20TO.zip?ver=1766149913983</t>
  </si>
  <si>
    <t>USA - P35+ who Pre-Planned Their Own or a Loved One’s FUNERAL Arrangements in the past 12mos</t>
  </si>
  <si>
    <t>Chicago - P35+ who Pre-Planned Their Own or a Loved One’s FUNERAL Arrangements in the past 12mos</t>
  </si>
  <si>
    <t>Washington, DC - P35+ who Pre-Planned Their Own or a Loved One’s FUNERAL Arrangements in the past 12mos</t>
  </si>
  <si>
    <t>Seattle - P35+ who Pre-Planned Their Own or a Loved One’s FUNERAL Arrangements in the past 12mos</t>
  </si>
  <si>
    <t>Phoenix - P35+ who Pre-Planned Their Own or a Loved One’s FUNERAL Arrangements in the past 12mos</t>
  </si>
  <si>
    <t>Minneapolis - P35+ who Pre-Planned Their Own or a Loved One’s FUNERAL Arrangements in the past 12mos</t>
  </si>
  <si>
    <t>St. Louis - P35+ who Pre-Planned Their Own or a Loved One’s FUNERAL Arrangements in the past 12mos</t>
  </si>
  <si>
    <t>Cincinnati - P35+ who Pre-Planned Their Own or a Loved One’s FUNERAL Arrangements in the past 12mos</t>
  </si>
  <si>
    <t>West Palm Beach - P35+ who Pre-Planned Their Own or a Loved One’s FUNERAL Arrangements in the past 12mos</t>
  </si>
  <si>
    <t>https://img1.wsimg.com/blobby/go/fa91e93a-72dd-4def-b76d-173477e02dd0/downloads/5bc28445-9869-4922-b479-13879bebb0e6/HUBBARD%20-%20USA%2B4MoreDMAs%20-%20P35%2B%20WHO%20PRE-PLANNED.zip?ver=1766502194635</t>
  </si>
  <si>
    <t>https://img1.wsimg.com/blobby/go/fa91e93a-72dd-4def-b76d-173477e02dd0/downloads/5bc28445-9869-4922-b479-13879bebb0e6/HUBBARD%20-%20USA%2B4MoreDMAs%20-%20P35%2B%20WHO%20PRE-PLANNED.zip?ver=1766502148696</t>
  </si>
  <si>
    <t>USA - P35+ $75K+HHI Single-Family Homeowners who Plan to Buy REPLACEMENT WINDOWS in the next 12 months</t>
  </si>
  <si>
    <t>Chicago - P35+ $75K+HHI Single-Family Homeowners who Plan to Buy REPLACEMENT WINDOWS in the next 12 months</t>
  </si>
  <si>
    <t>Washington, DC - P35+ $75K+HHI Single-Family Homeowners who Plan to Buy REPLACEMENT WINDOWS in the next 12 months</t>
  </si>
  <si>
    <t>Seattle - P35+ $75K+HHI Single-Family Homeowners who Plan to Buy REPLACEMENT WINDOWS in the next 12 months</t>
  </si>
  <si>
    <t>Phoenix - P35+ $75K+HHI Single-Family Homeowners who Plan to Buy REPLACEMENT WINDOWS in the next 12 months</t>
  </si>
  <si>
    <t>Minneapolis - P35+ $75K+HHI Single-Family Homeowners who Plan to Buy REPLACEMENT WINDOWS in the next 12 months</t>
  </si>
  <si>
    <t>St. Louis - P35+ $75K+HHI Single-Family Homeowners who Plan to Buy REPLACEMENT WINDOWS in the next 12 months</t>
  </si>
  <si>
    <t>Cincinnati - P35+ $75K+HHI Single-Family Homeowners who Plan to Buy REPLACEMENT WINDOWS in the next 12 months</t>
  </si>
  <si>
    <t>West Palm Beach - P35+ $75K+HHI Single-Family Homeowners who Plan to Buy REPLACEMENT WINDOWS in the next 12 months</t>
  </si>
  <si>
    <t>https://img1.wsimg.com/blobby/go/fa91e93a-72dd-4def-b76d-173477e02dd0/downloads/04a5e309-9ceb-4018-9b31-37cd89033ba4/HUBBARD%20-%20USA%2B4MoreDMAs%20-%20P35%2B%20%2475K%2BHHI%20PLAN%20T.zip?ver=1767206300404</t>
  </si>
  <si>
    <t>https://websites.godaddy.com/en-US/editor/fa91e93a-72dd-4def-b76d-173477e02dd0/abf48a69-c075-4229-894f-83628f85d86f/edit/5a4f7e14-93b7-45cb-b47f-b26e0d68712b/mutator/file/HUBBARD%20-%20USA+4DMAs%20-%20P35+%20$75K+HHI%20PLAN%20TO%20BU.zip?ver=1767206350290</t>
  </si>
  <si>
    <t>USA - P21+ who drank WHITE CLAW Hard Seltzer in the past 30 days</t>
  </si>
  <si>
    <t>Chicago - P21+ who drank WHITE CLAW Hard Seltzer in the past 30 days</t>
  </si>
  <si>
    <t>Washington, DC - P21+ who drank WHITE CLAW Hard Seltzer in the past 30 days</t>
  </si>
  <si>
    <t>Seattle - P21+ who drank WHITE CLAW Hard Seltzer in the past 30 days</t>
  </si>
  <si>
    <t>Phoenix - P21+ who drank WHITE CLAW Hard Seltzer in the past 30 days</t>
  </si>
  <si>
    <t>Minneapolis - P21+ who drank WHITE CLAW Hard Seltzer in the past 30 days</t>
  </si>
  <si>
    <t>St. Louis - P21+ who drank WHITE CLAW Hard Seltzer in the past 30 days</t>
  </si>
  <si>
    <t>Cincinnati - P21+ who drank WHITE CLAW Hard Seltzer in the past 30 days</t>
  </si>
  <si>
    <t>West Palm Beach - P21+ who drank WHITE CLAW Hard Seltzer in the past 30 days</t>
  </si>
  <si>
    <t>https://img1.wsimg.com/blobby/go/fa91e93a-72dd-4def-b76d-173477e02dd0/downloads/5f0d4aed-12b8-43b1-a9cf-e2fd1dc9ab2e/HUBBARD%20-%20USA%2B4MoreDMAs%20-%20P21%2B%20DRANK%20WHITE%20CLA.zip?ver=1767978981741</t>
  </si>
  <si>
    <t>https://img1.wsimg.com/blobby/go/fa91e93a-72dd-4def-b76d-173477e02dd0/downloads/0777e94f-aa5d-4f84-8a64-0e08d0edd749/HUBBARD%20-%20USA%2B4DMAs%20-%20P21%2B%20DRANK%20WHITE%20CLAW%20HA.zip?ver=1767979037442</t>
  </si>
  <si>
    <t>USA - P35+ who Own an RV or MOTOR HOME</t>
  </si>
  <si>
    <t>Chicago - P35+ who Own an RV or MOTOR HOME</t>
  </si>
  <si>
    <t>Washington, DC - P35+ who Own an RV or MOTOR HOME</t>
  </si>
  <si>
    <t>Seattle - P35+ who Own an RV or MOTOR HOME</t>
  </si>
  <si>
    <t>Phoenix - P35+ who Own an RV or MOTOR HOME</t>
  </si>
  <si>
    <t>Minneapolis - P35+ who Own an RV or MOTOR HOME</t>
  </si>
  <si>
    <t>St. Louis - P35+ who Own an RV or MOTOR HOME</t>
  </si>
  <si>
    <t>Cincinnati - P35+ who Own an RV or MOTOR HOME</t>
  </si>
  <si>
    <t>West Palm Beach - P35+ who Own an RV or MOTOR HOME</t>
  </si>
  <si>
    <t>https://img1.wsimg.com/blobby/go/fa91e93a-72dd-4def-b76d-173477e02dd0/downloads/5cbc7638-2c4f-4aed-8c66-7240d38664d3/HUBBARD%20-%20USA%2B4MoreDMAs%20-%20P35%2B%20WHO%20OWN%20AN%20RV%20O.zip?ver=1768319495011</t>
  </si>
  <si>
    <t>https://img1.wsimg.com/blobby/go/fa91e93a-72dd-4def-b76d-173477e02dd0/downloads/ac524300-0d4a-41a4-a664-50543228a8ca/HUBBARD%20-%20USA%2B4DMAs%20-%20P35%2B%20WHO%20OWN%20AN%20RV%20OR%20MO.zip?ver=1768319543621</t>
  </si>
  <si>
    <t>USA - P18+ who Purchased Items In-Store at BEST BUY in the past 3 months</t>
  </si>
  <si>
    <t>Chicago - P18+ who Purchased Items In-Store at BEST BUY in the past 3 months</t>
  </si>
  <si>
    <t>Washington, DC - P18+ who Purchased Items In-Store at BEST BUY in the past 3 months</t>
  </si>
  <si>
    <t>Seattle - P18+ who Purchased Items In-Store at BEST BUY in the past 3 months</t>
  </si>
  <si>
    <t>Phoenix - P18+ who Purchased Items In-Store at BEST BUY in the past 3 months</t>
  </si>
  <si>
    <t>Minneapolis - P18+ who Purchased Items In-Store at BEST BUY in the past 3 months</t>
  </si>
  <si>
    <t>St. Louis - P18+ who Purchased Items In-Store at BEST BUY in the past 3 months</t>
  </si>
  <si>
    <t>Cincinnati - P18+ who Purchased Items In-Store at BEST BUY in the past 3 months</t>
  </si>
  <si>
    <t>West Palm Beach - P18+ who Purchased Items In-Store at BEST BUY in the past 3 months</t>
  </si>
  <si>
    <t>https://img1.wsimg.com/blobby/go/fa91e93a-72dd-4def-b76d-173477e02dd0/downloads/6cee4e0a-3ece-461a-9552-1e63eeffdd4c/HUBBARD%20-%20USA%2B4MoreDMAs%20-%20P18%2B%20WHO%20PURCHASED%20I.zip?ver=1768494624320</t>
  </si>
  <si>
    <t>https://img1.wsimg.com/blobby/go/fa91e93a-72dd-4def-b76d-173477e02dd0/downloads/f25c39a7-3e51-43c9-b2b9-9a967c96dadd/HUBBARD%20-%20USA%2B4DMAs%20-%20P18%2B%20WHO%20PURCHASED%20ITEMS.zip?ver=1768494712383</t>
  </si>
  <si>
    <t>USA - P18+ who Used  DAIRY QUEEN One or More Times in the past 30 days</t>
  </si>
  <si>
    <t>Chicago - P18+ who Used  DAIRY QUEEN One or More Times in the past 30 days</t>
  </si>
  <si>
    <t>Washington, DC - P18+ who Used  DAIRY QUEEN One or More Times in the past 30 days</t>
  </si>
  <si>
    <t>Seattle - P18+ who Used  DAIRY QUEEN One or More Times in the past 30 days</t>
  </si>
  <si>
    <t>Phoenix - P18+ who Used  DAIRY QUEEN One or More Times in the past 30 days</t>
  </si>
  <si>
    <t>Minneapolis - P18+ who Used  DAIRY QUEEN One or More Times in the past 30 days</t>
  </si>
  <si>
    <t>St. Louis - P18+ who Used  DAIRY QUEEN One or More Times in the past 30 days</t>
  </si>
  <si>
    <t>Cincinnati - P18+ who Used  DAIRY QUEEN One or More Times in the past 30 days</t>
  </si>
  <si>
    <t>West Palm Beach - P18+ who Used  DAIRY QUEEN One or More Times in the past 30 days</t>
  </si>
  <si>
    <t>https://img1.wsimg.com/blobby/go/fa91e93a-72dd-4def-b76d-173477e02dd0/downloads/8a193338-e0d6-4206-9380-ef6c2b5c71a7/HUBBARD%20-%20USA%2B4MoreDMAs%20-%20P18%2B%20WHO%20USED%20DAIRY%20.zip?ver=1768592549150</t>
  </si>
  <si>
    <t>https://img1.wsimg.com/blobby/go/fa91e93a-72dd-4def-b76d-173477e02dd0/downloads/d6e01c20-dc10-4a3d-a208-954715a58c8e/HUBBARD%20-%20USA%2B4DMAs%20-%20P18%2B%20WHO%20USED%20DAIRY%20QUEE.zip?ver=1768592619758</t>
  </si>
  <si>
    <t>https://img1.wsimg.com/blobby/go/fa91e93a-72dd-4def-b76d-173477e02dd0/downloads/be69ade4-745a-46ea-a023-346a9d69beff/HUBBARD%20-%20USA%2B4MoreDMAs%20-%20P21%2B%20VIEWERS%20OF%20THE%20.zip?ver=1768923604094</t>
  </si>
  <si>
    <t>https://img1.wsimg.com/blobby/go/fa91e93a-72dd-4def-b76d-173477e02dd0/downloads/64e874e8-8a81-46b9-8402-9a0097b8aa13/HUBBARD%20-%20USA%2B4DMAs%20-%20P21%2B%20VIEWERS%20OF%20THE%20DAYT.zip?ver=1768923668605</t>
  </si>
  <si>
    <t>USA - P21+ who Watched the DAYTONA 500 in the past 12mos (2025 Race)</t>
  </si>
  <si>
    <t>Chicago - P21+ who Watched the DAYTONA 500 in the past 12mos (2025 Race)</t>
  </si>
  <si>
    <t>Washington, DC - P21+ who Watched the DAYTONA 500 in the past 12mos (2025 Race)</t>
  </si>
  <si>
    <t>Seattle - P21+ who Watched the DAYTONA 500 in the past 12mos (2025 Race)</t>
  </si>
  <si>
    <t>Phoenix - P21+ who Watched the DAYTONA 500 in the past 12mos (2025 Race)</t>
  </si>
  <si>
    <t>Minneapolis - P21+ who Watched the DAYTONA 500 in the past 12mos (2025 Race)</t>
  </si>
  <si>
    <t>St. Louis - P21+ who Watched the DAYTONA 500 in the past 12mos (2025 Race)</t>
  </si>
  <si>
    <t>Cincinnati - P21+ who Watched the DAYTONA 500 in the past 12mos (2025 Race)</t>
  </si>
  <si>
    <t>West Palm Beach - P21+ who Watched the DAYTONA 500 in the past 12mos (2025 Race)</t>
  </si>
  <si>
    <t>USA - P18+ who Shopped for Groceries at TRADER JOE'S in the past 7 days</t>
  </si>
  <si>
    <t>Chicago - P18+ who Shopped for Groceries at TRADER JOE'S in the past 7 days</t>
  </si>
  <si>
    <t>Washington, DC - P18+ who Shopped for Groceries at TRADER JOE'S in the past 7 days</t>
  </si>
  <si>
    <t>Seattle - P18+ who Shopped for Groceries at TRADER JOE'S in the past 7 days</t>
  </si>
  <si>
    <t>Phoenix - P18+ who Shopped for Groceries at TRADER JOE'S in the past 7 days</t>
  </si>
  <si>
    <t>Minneapolis - P18+ who Shopped for Groceries at TRADER JOE'S in the past 7 days</t>
  </si>
  <si>
    <t>St. Louis - P18+ who Shopped for Groceries at TRADER JOE'S in the past 7 days</t>
  </si>
  <si>
    <t>Cincinnati - P18+ who Shopped for Groceries at TRADER JOE'S in the past 7 days</t>
  </si>
  <si>
    <t>West Palm Beach - P18+ who Shopped for Groceries at TRADER JOE'S in the past 7 days</t>
  </si>
  <si>
    <t>https://img1.wsimg.com/blobby/go/fa91e93a-72dd-4def-b76d-173477e02dd0/downloads/0b856134-5b9f-4aed-8c1b-52a43d1d3e61/HUBBARD%20-%20USA%2B4MoreDMAs%20-%20P18%2B%20PAST%207%20DAYS%20TRA.zip?ver=1769092818616</t>
  </si>
  <si>
    <t>https://img1.wsimg.com/blobby/go/fa91e93a-72dd-4def-b76d-173477e02dd0/downloads/a15e8131-f50d-4d32-a139-f0e228776cc0/HUBBARD%20-%20USA%2B4DMAs%20-%20P18%2B%20PAST%207%20DAYS%20TRADER%20.zip?ver=1769092886304</t>
  </si>
  <si>
    <t>USA - P18+ who Purchased Items In-Store at TJ MAXX in the past 3 months</t>
  </si>
  <si>
    <t>Chicago - P18+ who Purchased Items In-Store at TJ MAXX in the past 3 months</t>
  </si>
  <si>
    <t>Washington, DC - P18+ who Purchased Items In-Store at TJ MAXX in the past 3 months</t>
  </si>
  <si>
    <t>Seattle - P18+ who Purchased Items In-Store at TJ MAXX in the past 3 months</t>
  </si>
  <si>
    <t>Phoenix - P18+ who Purchased Items In-Store at TJ MAXX in the past 3 months</t>
  </si>
  <si>
    <t>Minneapolis - P18+ who Purchased Items In-Store at TJ MAXX in the past 3 months</t>
  </si>
  <si>
    <t>St. Louis - P18+ who Purchased Items In-Store at TJ MAXX in the past 3 months</t>
  </si>
  <si>
    <t>Cincinnati - P18+ who Purchased Items In-Store at TJ MAXX in the past 3 months</t>
  </si>
  <si>
    <t>West Palm Beach - P18+ who Purchased Items In-Store at TJ MAXX in the past 3 months</t>
  </si>
  <si>
    <t>https://img1.wsimg.com/blobby/go/fa91e93a-72dd-4def-b76d-173477e02dd0/downloads/09d9892e-9336-4532-a1d9-bd804db76514/HUBBARD%20-%20USA%2B4MoreDMAs%20-%20P18%2B%20WHO%20PURCHASED%20I.zip?ver=1769193697676</t>
  </si>
  <si>
    <t>https://img1.wsimg.com/blobby/go/fa91e93a-72dd-4def-b76d-173477e02dd0/downloads/302c9593-e6eb-4999-a422-ab945c2cdb61/HUBBARD%20-%20USA%2B4DMAs%20-%20P18%2B%20WHO%20PURCHASED%20ITEMS.zip?ver=1769193755702</t>
  </si>
  <si>
    <t>USA - P21+ who Plan to Bet on NCAA Basketball in 2026</t>
  </si>
  <si>
    <t>Chicago - P21+ who Plan to Bet on NCAA Basketball in 2026</t>
  </si>
  <si>
    <t>Washington, DC - P21+ who Plan to Bet on NCAA Basketball in 2026</t>
  </si>
  <si>
    <t>Seattle - P21+ who Plan to Bet on NCAA Basketball in 2026</t>
  </si>
  <si>
    <t>Phoenix - P21+ who Plan to Bet on NCAA Basketball in 2026</t>
  </si>
  <si>
    <t>Minneapolis - P21+ who Plan to Bet on NCAA Basketball in 2026</t>
  </si>
  <si>
    <t>St. Louis - P21+ who Plan to Bet on NCAA Basketball in 2026</t>
  </si>
  <si>
    <t>Cincinnati - P21+ who Plan to Bet on NCAA Basketball in 2026</t>
  </si>
  <si>
    <t>West Palm Beach - P21+ who Plan to Bet on NCAA Basketball in 2026</t>
  </si>
  <si>
    <t>https://img1.wsimg.com/blobby/go/fa91e93a-72dd-4def-b76d-173477e02dd0/downloads/525f89ff-78fb-461b-92d6-06a5420a226f/HUBBARD%20-%20USA%2B4MoreDMAs%20-%20P21%2B%20WHO%20PLAN%20TO%20BET.zip?ver=1769538098434</t>
  </si>
  <si>
    <t>https://img1.wsimg.com/blobby/go/fa91e93a-72dd-4def-b76d-173477e02dd0/downloads/3f5dcbd6-756c-4d6b-9d4f-833d53a206a2/HUBBARD%20-%20USA%2B4DMAs%20-%20P21%2B%20WHO%20PLAN%20TO%20BET%20ON%20.zip?ver=1769538177807</t>
  </si>
  <si>
    <t>USA - P21+ who drank Ménage à Trois Wines in the past 3 months</t>
  </si>
  <si>
    <t>Chicago - P21+ who drank Ménage à Trois Wines in the past 3 months</t>
  </si>
  <si>
    <t>Washington, DC - P21+ who drank Ménage à Trois Wines in the past 3 months</t>
  </si>
  <si>
    <t>Seattle - P21+ who drank Ménage à Trois Wines in the past 3 months</t>
  </si>
  <si>
    <t>Phoenix - P21+ who drank Ménage à Trois Wines in the past 3 months</t>
  </si>
  <si>
    <t>Minneapolis - P21+ who drank Ménage à Trois Wines in the past 3 months</t>
  </si>
  <si>
    <t>St. Louis - P21+ who drank Ménage à Trois Wines in the past 3 months</t>
  </si>
  <si>
    <t>Cincinnati - P21+ who drank Ménage à Trois Wines in the past 3 months</t>
  </si>
  <si>
    <t>West Palm Beach - P21+ who drank Ménage à Trois Wines in the past 3 months</t>
  </si>
  <si>
    <t>https://img1.wsimg.com/blobby/go/fa91e93a-72dd-4def-b76d-173477e02dd0/downloads/13e6efa3-9b2e-4979-a058-3ff05b1e28de/HUBBARD%20-%20USA%2B4MoreDMAs%20-%20P21%2B%20WHO%20DRANK%20MENAG.zip?ver=1769637976526</t>
  </si>
  <si>
    <t>https://img1.wsimg.com/blobby/go/fa91e93a-72dd-4def-b76d-173477e02dd0/downloads/b2dd7485-9000-475b-bfbf-29e52d7eb515/HUBBARD%20-%20USA%2B4DMAs%20-%20P21%2B%20WHO%20DRANK%20MENAGE%20A%20.zip?ver=1769638047803</t>
  </si>
  <si>
    <t>USA - P18+ who Used a WIRE TRANSFER SERVICE One or More Times in the past 12 months</t>
  </si>
  <si>
    <t>Chicago - P18+ who Used a WIRE TRANSFER SERVICE One or More Times in the past 12 months</t>
  </si>
  <si>
    <t>Washington, DC - P18+ who Used a WIRE TRANSFER SERVICE One or More Times in the past 12 months</t>
  </si>
  <si>
    <t>Seattle - P18+ who Used a WIRE TRANSFER SERVICE One or More Times in the past 12 months</t>
  </si>
  <si>
    <t>Phoenix - P18+ who Used a WIRE TRANSFER SERVICE One or More Times in the past 12 months</t>
  </si>
  <si>
    <t>Minneapolis - P18+ who Used a WIRE TRANSFER SERVICE One or More Times in the past 12 months</t>
  </si>
  <si>
    <t>St. Louis - P18+ who Used a WIRE TRANSFER SERVICE One or More Times in the past 12 months</t>
  </si>
  <si>
    <t>Cincinnati - P18+ who Used a WIRE TRANSFER SERVICE One or More Times in the past 12 months</t>
  </si>
  <si>
    <t>West Palm Beach - P18+ who Used a WIRE TRANSFER SERVICE One or More Times in the past 12 months</t>
  </si>
  <si>
    <t>https://img1.wsimg.com/blobby/go/fa91e93a-72dd-4def-b76d-173477e02dd0/downloads/e4293c7a-d0cd-4047-bf18-4ebb85732ffe/HUBBARD%20-%20USA%2B4MoreDMAs%20-%20P18%2B%20WHO%20USED%20A%20WIRE.zip?ver=1769789659275</t>
  </si>
  <si>
    <t>https://img1.wsimg.com/blobby/go/fa91e93a-72dd-4def-b76d-173477e02dd0/downloads/5b75687b-356f-476e-aabf-1ee561a48e1a/HUBBARD%20-%20USA%2B4DMAs%20-%20P18%2B%20WHO%20USED%20A%20WIRE%20TRA.zip?ver=1769789706543</t>
  </si>
  <si>
    <t>USA - P35+ who Have Dependents but Do NOT Have LIFE INSURANCE</t>
  </si>
  <si>
    <t>Chicago - P35+ who Have Dependents but Do NOT Have LIFE INSURANCE</t>
  </si>
  <si>
    <t>Washington, DC - P35+ who Have Dependents but Do NOT Have LIFE INSURANCE</t>
  </si>
  <si>
    <t>Seattle - P35+ who Have Dependents but Do NOT Have LIFE INSURANCE</t>
  </si>
  <si>
    <t>Phoenix - P35+ who Have Dependents but Do NOT Have LIFE INSURANCE</t>
  </si>
  <si>
    <t>Minneapolis - P35+ who Have Dependents but Do NOT Have LIFE INSURANCE</t>
  </si>
  <si>
    <t>St. Louis - P35+ who Have Dependents but Do NOT Have LIFE INSURANCE</t>
  </si>
  <si>
    <t>Cincinnati - P35+ who Have Dependents but Do NOT Have LIFE INSURANCE</t>
  </si>
  <si>
    <t>West Palm Beach - P35+ who Have Dependents but Do NOT Have LIFE INSURANCE</t>
  </si>
  <si>
    <t>https://img1.wsimg.com/blobby/go/fa91e93a-72dd-4def-b76d-173477e02dd0/downloads/53e1a124-4405-47a0-a193-d1375c9e3521/HUBBARD%20-%20USA%2B4MoreDMAs%20-%20P35%2B%20WHO%20HAVE%20DEPEND.zip?ver=1770125494088</t>
  </si>
  <si>
    <t>https://img1.wsimg.com/blobby/go/fa91e93a-72dd-4def-b76d-173477e02dd0/downloads/bdf54ee1-526c-4d4a-b1d0-5ba8a983d073/HUBBARD%20-%20USA%2B4DMAs%20-%20P35%2B%20WHO%20HAVE%20DEPENDENTS.zip?ver=1770125575384</t>
  </si>
  <si>
    <t>USA - P18+ who Watch/Stream/Attend/Follow LPGA TOUR (Women’s Golf)</t>
  </si>
  <si>
    <t>Chicago - P18+ who Watch/Stream/Attend/Follow LPGA TOUR (Women’s Golf)</t>
  </si>
  <si>
    <t>Washington, DC - P18+ who Watch/Stream/Attend/Follow LPGA TOUR (Women’s Golf)</t>
  </si>
  <si>
    <t>Seattle - P18+ who Watch/Stream/Attend/Follow LPGA TOUR (Women’s Golf)</t>
  </si>
  <si>
    <t>Phoenix - P18+ who Watch/Stream/Attend/Follow LPGA TOUR (Women’s Golf)</t>
  </si>
  <si>
    <t>Minneapolis - P18+ who Watch/Stream/Attend/Follow LPGA TOUR (Women’s Golf)</t>
  </si>
  <si>
    <t>St. Louis - P18+ who Watch/Stream/Attend/Follow LPGA TOUR (Women’s Golf)</t>
  </si>
  <si>
    <t>Cincinnati - P18+ who Watch/Stream/Attend/Follow LPGA TOUR (Women’s Golf)</t>
  </si>
  <si>
    <t>West Palm Beach - P18+ who Watch/Stream/Attend/Follow LPGA TOUR (Women’s Golf)</t>
  </si>
  <si>
    <t>https://img1.wsimg.com/blobby/go/fa91e93a-72dd-4def-b76d-173477e02dd0/downloads/40b2944c-0102-4571-93ca-0f1ce26b36d9/HUBBARD%20-%20USA%2B4MoreDMAs%20-%20P18%2B%20WHO%20WATCH-STREA.zip?ver=1770229296565</t>
  </si>
  <si>
    <t>https://img1.wsimg.com/blobby/go/fa91e93a-72dd-4def-b76d-173477e02dd0/downloads/3f843b43-cbbc-480b-b405-b62b607dce49/HUBBARD%20-%20USA%2B4DMAs%20-%20P18%2B%20WHO%20WATCH-STREAM-AT.zip?ver=1770229343006</t>
  </si>
  <si>
    <t>USA - P25-64 who Work Full-Time and Pay for BLUECROSS-BLUESHIELD Family Healthcare Insurance</t>
  </si>
  <si>
    <t>Chicago - P25-64 who Work Full-Time and Pay for BLUECROSS-BLUESHIELD Family Healthcare Insurance</t>
  </si>
  <si>
    <t>Washington, DC - P25-64 who Work Full-Time and Pay for BLUECROSS-BLUESHIELD Family Healthcare Insurance</t>
  </si>
  <si>
    <t>Seattle - P25-64 who Work Full-Time and Pay for BLUECROSS-BLUESHIELD Family Healthcare Insurance</t>
  </si>
  <si>
    <t>Phoenix - P25-64 who Work Full-Time and Pay for BLUECROSS-BLUESHIELD Family Healthcare Insurance</t>
  </si>
  <si>
    <t>Minneapolis - P25-64 who Work Full-Time and Pay for BLUECROSS-BLUESHIELD Family Healthcare Insurance</t>
  </si>
  <si>
    <t>St. Louis - P25-64 who Work Full-Time and Pay for BLUECROSS-BLUESHIELD Family Healthcare Insurance</t>
  </si>
  <si>
    <t>Cincinnati - P25-64 who Work Full-Time and Pay for BLUECROSS-BLUESHIELD Family Healthcare Insurance</t>
  </si>
  <si>
    <t>West Palm Beach - P25-64 who Work Full-Time and Pay for BLUECROSS-BLUESHIELD Family Healthcare Insurance</t>
  </si>
  <si>
    <t>https://img1.wsimg.com/blobby/go/fa91e93a-72dd-4def-b76d-173477e02dd0/downloads/36937070-12b5-4adc-9581-fa834362f72d/HUBBARD%20-%20USA%2B4MoreDMAs%20-%20P25-64%20FT%20WORKERS%20PA.zip?ver=1770322134087</t>
  </si>
  <si>
    <t>https://img1.wsimg.com/blobby/go/fa91e93a-72dd-4def-b76d-173477e02dd0/downloads/f5019c30-f7fe-417d-976d-43f44b158b6d/HUBBARD%20-%20USA%2B4DMAs%20-%20P25-64%20FT%20WORKERS%20PAYING.zip?ver=1770322210683</t>
  </si>
  <si>
    <t>USA - P18+ who Plan to Buy a New LAPTOP or DESKTOP Computer in the next 12 months</t>
  </si>
  <si>
    <t>Chicago - P18+ who Plan to Buy a New LAPTOP or DESKTOP Computer in the next 12 months</t>
  </si>
  <si>
    <t>Washington, DC - P18+ who Plan to Buy a New LAPTOP or DESKTOP Computer in the next 12 months</t>
  </si>
  <si>
    <t>Seattle - P18+ who Plan to Buy a New LAPTOP or DESKTOP Computer in the next 12 months</t>
  </si>
  <si>
    <t>Phoenix - P18+ who Plan to Buy a New LAPTOP or DESKTOP Computer in the next 12 months</t>
  </si>
  <si>
    <t>Minneapolis - P18+ who Plan to Buy a New LAPTOP or DESKTOP Computer in the next 12 months</t>
  </si>
  <si>
    <t>St. Louis - P18+ who Plan to Buy a New LAPTOP or DESKTOP Computer in the next 12 months</t>
  </si>
  <si>
    <t>Cincinnati - P18+ who Plan to Buy a New LAPTOP or DESKTOP Computer in the next 12 months</t>
  </si>
  <si>
    <t>West Palm Beach - P18+ who Plan to Buy a New LAPTOP or DESKTOP Computer in the next 12 months</t>
  </si>
  <si>
    <t>https://img1.wsimg.com/blobby/go/fa91e93a-72dd-4def-b76d-173477e02dd0/downloads/2c88bcc6-49ef-4e8a-9a1d-24cf55a82c06/HUBBARD%20-%20USA%2B4MoreDMAs%20-%20P18%2B%20WHO%20PLAN%20TO%20BUY.zip?ver=1770657003838</t>
  </si>
  <si>
    <t>https://img1.wsimg.com/blobby/go/fa91e93a-72dd-4def-b76d-173477e02dd0/downloads/0af5084c-5680-434a-8366-2ec8ea08c5f6/HUBBARD%20-%20USA%2B4DMAs%20-%20P18%2B%20WHO%20PLAN%20TO%20BUY%20A%20N.zip?ver=1770657091214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</si>
</sst>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h:mm;@"/>
    <numFmt numFmtId="166" formatCode="0.0%"/>
    <numFmt numFmtId="167" formatCode="h:mm:ss;@"/>
    <numFmt numFmtId="168" formatCode="[h]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0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20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6" fontId="7" fillId="0" borderId="0" xfId="0" applyNumberFormat="1" applyFont="1" applyAlignment="1">
      <alignment horizontal="center"/>
    </xf>
    <xf numFmtId="0" fontId="0" fillId="2" borderId="0" xfId="0" applyFill="1" applyAlignment="1">
      <alignment horizontal="center" wrapText="1"/>
    </xf>
    <xf numFmtId="166" fontId="5" fillId="2" borderId="0" xfId="0" applyNumberFormat="1" applyFont="1" applyFill="1" applyAlignment="1">
      <alignment horizontal="center"/>
    </xf>
    <xf numFmtId="20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6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7" fillId="0" borderId="0" xfId="0" applyFont="1" applyAlignment="1">
      <alignment horizontal="right"/>
    </xf>
    <xf numFmtId="20" fontId="0" fillId="0" borderId="0" xfId="0" applyNumberForma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Total!$C$3167</c:f>
              <c:strCache>
                <c:ptCount val="1"/>
                <c:pt idx="0">
                  <c:v>Avg. H:M:S/day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5E-4C36-B28B-C8EBD2BC256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75E-4C36-B28B-C8EBD2BC2563}"/>
              </c:ext>
            </c:extLst>
          </c:dPt>
          <c:dLbls>
            <c:dLbl>
              <c:idx val="0"/>
              <c:layout>
                <c:manualLayout>
                  <c:x val="-0.59716890614416385"/>
                  <c:y val="1.5665338217113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5E-4C36-B28B-C8EBD2BC25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5E-4C36-B28B-C8EBD2BC2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Total!$B$3168:$B$3169</c:f>
              <c:numCache>
                <c:formatCode>General</c:formatCode>
                <c:ptCount val="2"/>
              </c:numCache>
            </c:numRef>
          </c:cat>
          <c:val>
            <c:numRef>
              <c:f>Total!$C$3168:$C$3169</c:f>
              <c:numCache>
                <c:formatCode>[h]:mm:ss;@</c:formatCode>
                <c:ptCount val="2"/>
                <c:pt idx="0" formatCode="h:mm:ss;@">
                  <c:v>0.44415601350873535</c:v>
                </c:pt>
                <c:pt idx="1">
                  <c:v>0.55584398649126465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E-4C36-B28B-C8EBD2BC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067112"/>
        <c:axId val="413067768"/>
      </c:barChart>
      <c:catAx>
        <c:axId val="413067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067768"/>
        <c:crosses val="autoZero"/>
        <c:auto val="1"/>
        <c:lblAlgn val="ctr"/>
        <c:lblOffset val="100"/>
        <c:noMultiLvlLbl val="0"/>
      </c:catAx>
      <c:valAx>
        <c:axId val="413067768"/>
        <c:scaling>
          <c:orientation val="minMax"/>
        </c:scaling>
        <c:delete val="1"/>
        <c:axPos val="b"/>
        <c:numFmt formatCode="h:mm:ss;@" sourceLinked="1"/>
        <c:majorTickMark val="none"/>
        <c:minorTickMark val="none"/>
        <c:tickLblPos val="nextTo"/>
        <c:crossAx val="41306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485079278191588"/>
          <c:y val="0.22781927312085729"/>
          <c:w val="0.40543567802360725"/>
          <c:h val="0.6812271487958641"/>
        </c:manualLayout>
      </c:layout>
      <c:doughnutChart>
        <c:varyColors val="1"/>
        <c:ser>
          <c:idx val="0"/>
          <c:order val="0"/>
          <c:tx>
            <c:strRef>
              <c:f>Total!$C$3163</c:f>
              <c:strCache>
                <c:ptCount val="1"/>
                <c:pt idx="0">
                  <c:v>P18+ Avg. H:M:S/day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09-4C70-AAE7-4CBA678769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D09-4C70-AAE7-4CBA67876929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D09-4C70-AAE7-4CBA67876929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D09-4C70-AAE7-4CBA678769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Total!$B$3164:$B$3165</c:f>
              <c:strCache>
                <c:ptCount val="2"/>
                <c:pt idx="0">
                  <c:v>Ad-Free Media</c:v>
                </c:pt>
                <c:pt idx="1">
                  <c:v>Ad-Supported Media</c:v>
                </c:pt>
              </c:strCache>
            </c:strRef>
          </c:cat>
          <c:val>
            <c:numRef>
              <c:f>Total!$C$3164:$C$3165</c:f>
              <c:numCache>
                <c:formatCode>h:mm:ss;@</c:formatCode>
                <c:ptCount val="2"/>
                <c:pt idx="0">
                  <c:v>0.11909545406323002</c:v>
                </c:pt>
                <c:pt idx="1">
                  <c:v>0.32506055944550533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9-4C70-AAE7-4CBA6787692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Total!$B$3174</c:f>
              <c:strCache>
                <c:ptCount val="1"/>
                <c:pt idx="0">
                  <c:v>P18+ Local AM/FM Ad-Supported Radio Weekly Reach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Total!$B$3175</c:f>
              <c:numCache>
                <c:formatCode>0.0%</c:formatCode>
                <c:ptCount val="1"/>
                <c:pt idx="0">
                  <c:v>0.81693784213876419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7-4E8A-943D-CB53851D6435}"/>
            </c:ext>
          </c:extLst>
        </c:ser>
        <c:ser>
          <c:idx val="1"/>
          <c:order val="1"/>
          <c:tx>
            <c:strRef>
              <c:f>Total!$C$3174</c:f>
              <c:strCache>
                <c:ptCount val="1"/>
                <c:pt idx="0">
                  <c:v>P18+ Non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Total!$C$3175</c:f>
              <c:numCache>
                <c:formatCode>0.0%</c:formatCode>
                <c:ptCount val="1"/>
                <c:pt idx="0">
                  <c:v>0.18306215786123581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7-4E8A-943D-CB53851D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425624"/>
        <c:axId val="418425952"/>
      </c:barChart>
      <c:catAx>
        <c:axId val="418425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8425952"/>
        <c:crosses val="autoZero"/>
        <c:auto val="1"/>
        <c:lblAlgn val="ctr"/>
        <c:lblOffset val="100"/>
        <c:noMultiLvlLbl val="0"/>
      </c:catAx>
      <c:valAx>
        <c:axId val="4184259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1842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6700099549651"/>
          <c:y val="1.4594245500490688E-2"/>
          <c:w val="0.86919617429740914"/>
          <c:h val="0.12256006049142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/>
              <a:t>P18+ AVG. H:M:S/DAY Local AM/FM Radio Ad-Supported Media Time-Spent-Listening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Total!$B$3178</c:f>
              <c:strCache>
                <c:ptCount val="1"/>
                <c:pt idx="0">
                  <c:v>P18+ AVG. H:M:S/DAY Local AM/FM Radio Ad-Supported Media Time-Spent-Listening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41074519431840112"/>
                </c:manualLayout>
              </c:layout>
              <c:tx>
                <c:rich>
                  <a:bodyPr/>
                  <a:lstStyle/>
                  <a:p>
                    <a:fld id="{9E782000-1DD7-46B6-AD91-E477EB12F0F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4702396071461"/>
                      <c:h val="0.285138971591177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111-4CE1-AA5C-92EDF59B1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Total!$C$3177</c:f>
              <c:strCache>
                <c:ptCount val="1"/>
                <c:pt idx="0">
                  <c:v>P18+ Avg. H:M:S/day</c:v>
                </c:pt>
              </c:strCache>
            </c:strRef>
          </c:cat>
          <c:val>
            <c:numRef>
              <c:f>Total!$C$3178</c:f>
              <c:numCache>
                <c:formatCode>h:mm:ss;@</c:formatCode>
                <c:ptCount val="1"/>
                <c:pt idx="0">
                  <c:v>4.4692738758769966E-2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1-4CE1-AA5C-92EDF59B1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27"/>
        <c:axId val="412356760"/>
        <c:axId val="412356432"/>
      </c:barChart>
      <c:catAx>
        <c:axId val="412356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2356432"/>
        <c:crosses val="autoZero"/>
        <c:auto val="1"/>
        <c:lblAlgn val="ctr"/>
        <c:lblOffset val="100"/>
        <c:noMultiLvlLbl val="0"/>
      </c:catAx>
      <c:valAx>
        <c:axId val="412356432"/>
        <c:scaling>
          <c:orientation val="minMax"/>
        </c:scaling>
        <c:delete val="1"/>
        <c:axPos val="l"/>
        <c:numFmt formatCode="h:mm:ss;@" sourceLinked="1"/>
        <c:majorTickMark val="none"/>
        <c:minorTickMark val="none"/>
        <c:tickLblPos val="nextTo"/>
        <c:crossAx val="41235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Total!$C$3181</c:f>
              <c:strCache>
                <c:ptCount val="1"/>
                <c:pt idx="0">
                  <c:v>Avg. %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2039333953885131"/>
                  <c:y val="7.8703703703703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505793898035455"/>
                      <c:h val="0.2399537037037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6C4-43F3-AEC6-DD25A49F0C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Total!$B$3182</c:f>
              <c:strCache>
                <c:ptCount val="1"/>
                <c:pt idx="0">
                  <c:v>P18+ Local AM/FM Radio % of AVG. DAY Time Spent with Ad-Supported Media:</c:v>
                </c:pt>
              </c:strCache>
            </c:strRef>
          </c:cat>
          <c:val>
            <c:numRef>
              <c:f>Total!$C$3182</c:f>
              <c:numCache>
                <c:formatCode>0.0%</c:formatCode>
                <c:ptCount val="1"/>
                <c:pt idx="0">
                  <c:v>0.11396438574156659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4-43F3-AEC6-DD25A49F0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458640"/>
        <c:axId val="425460280"/>
      </c:barChart>
      <c:catAx>
        <c:axId val="42545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60280"/>
        <c:crosses val="autoZero"/>
        <c:auto val="1"/>
        <c:lblAlgn val="ctr"/>
        <c:lblOffset val="100"/>
        <c:noMultiLvlLbl val="0"/>
      </c:catAx>
      <c:valAx>
        <c:axId val="42546028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42545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1076661</xdr:colOff>
      <xdr:row>3154</xdr:row>
      <xdr:rowOff>118062</xdr:rowOff>
    </xdr:from>
    <xdr:to>
      <xdr:col>9</xdr:col>
      <xdr:colOff>9465279</xdr:colOff>
      <xdr:row>3188</xdr:row>
      <xdr:rowOff>63164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86BBCBC4-002C-8125-0279-E56FE787B602}"/>
            </a:ext>
          </a:extLst>
        </xdr:cNvPr>
        <xdr:cNvGrpSpPr/>
      </xdr:nvGrpSpPr>
      <xdr:grpSpPr>
        <a:xfrm>
          <a:off x="10931861" y="533175162"/>
          <a:ext cx="11258818" cy="6472902"/>
          <a:chOff x="9800932" y="100676027"/>
          <a:chExt cx="11355332" cy="6058241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9800932" y="100676027"/>
            <a:ext cx="11355332" cy="6058241"/>
            <a:chOff x="9386277" y="59774407"/>
            <a:chExt cx="11326837" cy="6206196"/>
          </a:xfrm>
        </xdr:grpSpPr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9386277" y="59774407"/>
              <a:ext cx="11326837" cy="6206196"/>
              <a:chOff x="9366739" y="61229632"/>
              <a:chExt cx="11324491" cy="6365629"/>
            </a:xfrm>
          </xdr:grpSpPr>
          <xdr:grpSp>
            <xdr:nvGrpSpPr>
              <xdr:cNvPr id="21" name="Group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GrpSpPr/>
            </xdr:nvGrpSpPr>
            <xdr:grpSpPr>
              <a:xfrm>
                <a:off x="9366739" y="61229632"/>
                <a:ext cx="11324491" cy="6365629"/>
                <a:chOff x="9366739" y="61229632"/>
                <a:chExt cx="11324491" cy="6365629"/>
              </a:xfrm>
            </xdr:grpSpPr>
            <xdr:grpSp>
              <xdr:nvGrpSpPr>
                <xdr:cNvPr id="19" name="Group 18">
                  <a:extLst>
                    <a:ext uri="{FF2B5EF4-FFF2-40B4-BE49-F238E27FC236}">
                      <a16:creationId xmlns:a16="http://schemas.microsoft.com/office/drawing/2014/main" id="{00000000-0008-0000-0000-000013000000}"/>
                    </a:ext>
                  </a:extLst>
                </xdr:cNvPr>
                <xdr:cNvGrpSpPr/>
              </xdr:nvGrpSpPr>
              <xdr:grpSpPr>
                <a:xfrm>
                  <a:off x="9366739" y="61229632"/>
                  <a:ext cx="11324491" cy="5908431"/>
                  <a:chOff x="9366739" y="61229632"/>
                  <a:chExt cx="11324491" cy="5908431"/>
                </a:xfrm>
              </xdr:grpSpPr>
              <xdr:grpSp>
                <xdr:nvGrpSpPr>
                  <xdr:cNvPr id="14" name="Group 13">
                    <a:extLst>
                      <a:ext uri="{FF2B5EF4-FFF2-40B4-BE49-F238E27FC236}">
                        <a16:creationId xmlns:a16="http://schemas.microsoft.com/office/drawing/2014/main" id="{00000000-0008-0000-0000-00000E000000}"/>
                      </a:ext>
                    </a:extLst>
                  </xdr:cNvPr>
                  <xdr:cNvGrpSpPr/>
                </xdr:nvGrpSpPr>
                <xdr:grpSpPr>
                  <a:xfrm>
                    <a:off x="9366739" y="61229632"/>
                    <a:ext cx="11046418" cy="5873262"/>
                    <a:chOff x="9366739" y="61229632"/>
                    <a:chExt cx="11046418" cy="5873262"/>
                  </a:xfrm>
                </xdr:grpSpPr>
                <xdr:grpSp>
                  <xdr:nvGrpSpPr>
                    <xdr:cNvPr id="8" name="Group 7">
                      <a:extLst>
                        <a:ext uri="{FF2B5EF4-FFF2-40B4-BE49-F238E27FC236}">
                          <a16:creationId xmlns:a16="http://schemas.microsoft.com/office/drawing/2014/main" id="{00000000-0008-0000-0000-000008000000}"/>
                        </a:ext>
                      </a:extLst>
                    </xdr:cNvPr>
                    <xdr:cNvGrpSpPr/>
                  </xdr:nvGrpSpPr>
                  <xdr:grpSpPr>
                    <a:xfrm>
                      <a:off x="9366739" y="61229632"/>
                      <a:ext cx="9355015" cy="5873262"/>
                      <a:chOff x="14724185" y="61206185"/>
                      <a:chExt cx="9355015" cy="5873262"/>
                    </a:xfrm>
                  </xdr:grpSpPr>
                  <xdr:graphicFrame macro="">
                    <xdr:nvGraphicFramePr>
                      <xdr:cNvPr id="5" name="Chart 4">
                        <a:extLst>
                          <a:ext uri="{FF2B5EF4-FFF2-40B4-BE49-F238E27FC236}">
                            <a16:creationId xmlns:a16="http://schemas.microsoft.com/office/drawing/2014/main" id="{00000000-0008-0000-0000-000005000000}"/>
                          </a:ext>
                        </a:extLst>
                      </xdr:cNvPr>
                      <xdr:cNvGraphicFramePr/>
                    </xdr:nvGraphicFramePr>
                    <xdr:xfrm>
                      <a:off x="17740461" y="62146323"/>
                      <a:ext cx="6334329" cy="3437636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1"/>
                      </a:graphicData>
                    </a:graphic>
                  </xdr:graphicFrame>
                  <xdr:graphicFrame macro="">
                    <xdr:nvGraphicFramePr>
                      <xdr:cNvPr id="3" name="Chart 2">
                        <a:extLst>
                          <a:ext uri="{FF2B5EF4-FFF2-40B4-BE49-F238E27FC236}">
                            <a16:creationId xmlns:a16="http://schemas.microsoft.com/office/drawing/2014/main" id="{00000000-0008-0000-0000-000003000000}"/>
                          </a:ext>
                        </a:extLst>
                      </xdr:cNvPr>
                      <xdr:cNvGraphicFramePr/>
                    </xdr:nvGraphicFramePr>
                    <xdr:xfrm>
                      <a:off x="14724185" y="61206185"/>
                      <a:ext cx="9355015" cy="5873262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2"/>
                      </a:graphicData>
                    </a:graphic>
                  </xdr:graphicFrame>
                  <xdr:sp macro="" textlink="">
                    <xdr:nvSpPr>
                      <xdr:cNvPr id="7" name="TextBox 6">
                        <a:extLst>
                          <a:ext uri="{FF2B5EF4-FFF2-40B4-BE49-F238E27FC236}">
                            <a16:creationId xmlns:a16="http://schemas.microsoft.com/office/drawing/2014/main" id="{00000000-0008-0000-0000-000007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313251" y="64028999"/>
                        <a:ext cx="1943609" cy="374141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en-US" sz="1800" i="1"/>
                          <a:t>All Forms of Media</a:t>
                        </a:r>
                      </a:p>
                    </xdr:txBody>
                  </xdr:sp>
                </xdr:grpSp>
                <xdr:graphicFrame macro="">
                  <xdr:nvGraphicFramePr>
                    <xdr:cNvPr id="9" name="Chart 8">
                      <a:extLst>
                        <a:ext uri="{FF2B5EF4-FFF2-40B4-BE49-F238E27FC236}">
                          <a16:creationId xmlns:a16="http://schemas.microsoft.com/office/drawing/2014/main" id="{00000000-0008-0000-0000-000009000000}"/>
                        </a:ext>
                      </a:extLst>
                    </xdr:cNvPr>
                    <xdr:cNvGraphicFramePr/>
                  </xdr:nvGraphicFramePr>
                  <xdr:xfrm>
                    <a:off x="16529538" y="61663384"/>
                    <a:ext cx="3598985" cy="5134707"/>
                  </xdr:xfrm>
                  <a:graphic>
                    <a:graphicData uri="http://schemas.openxmlformats.org/drawingml/2006/chart">
                      <c:chart xmlns:c="http://schemas.openxmlformats.org/drawingml/2006/chart" xmlns:r="http://schemas.openxmlformats.org/officeDocument/2006/relationships" r:id="rId3"/>
                    </a:graphicData>
                  </a:graphic>
                </xdr:graphicFrame>
                <xdr:sp macro="" textlink="">
                  <xdr:nvSpPr>
                    <xdr:cNvPr id="11" name="TextBox 10">
                      <a:extLst>
                        <a:ext uri="{FF2B5EF4-FFF2-40B4-BE49-F238E27FC236}">
                          <a16:creationId xmlns:a16="http://schemas.microsoft.com/office/drawing/2014/main" id="{00000000-0008-0000-0000-00000B000000}"/>
                        </a:ext>
                      </a:extLst>
                    </xdr:cNvPr>
                    <xdr:cNvSpPr txBox="1"/>
                  </xdr:nvSpPr>
                  <xdr:spPr>
                    <a:xfrm>
                      <a:off x="16400584" y="61264800"/>
                      <a:ext cx="4012573" cy="468013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n-US" sz="2400" b="1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rPr>
                        <a:t>LOCAL AD-SUPPORTED RADIO</a:t>
                      </a:r>
                    </a:p>
                  </xdr:txBody>
                </xdr:sp>
              </xdr:grpSp>
              <xdr:graphicFrame macro="">
                <xdr:nvGraphicFramePr>
                  <xdr:cNvPr id="18" name="Chart 17">
                    <a:extLst>
                      <a:ext uri="{FF2B5EF4-FFF2-40B4-BE49-F238E27FC236}">
                        <a16:creationId xmlns:a16="http://schemas.microsoft.com/office/drawing/2014/main" id="{00000000-0008-0000-0000-000012000000}"/>
                      </a:ext>
                    </a:extLst>
                  </xdr:cNvPr>
                  <xdr:cNvGraphicFramePr/>
                </xdr:nvGraphicFramePr>
                <xdr:xfrm>
                  <a:off x="15966830" y="62308155"/>
                  <a:ext cx="4724400" cy="482990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4"/>
                  </a:graphicData>
                </a:graphic>
              </xdr:graphicFrame>
            </xdr:grpSp>
            <xdr:graphicFrame macro="">
              <xdr:nvGraphicFramePr>
                <xdr:cNvPr id="20" name="Chart 19">
                  <a:extLst>
                    <a:ext uri="{FF2B5EF4-FFF2-40B4-BE49-F238E27FC236}">
                      <a16:creationId xmlns:a16="http://schemas.microsoft.com/office/drawing/2014/main" id="{00000000-0008-0000-0000-000014000000}"/>
                    </a:ext>
                  </a:extLst>
                </xdr:cNvPr>
                <xdr:cNvGraphicFramePr/>
              </xdr:nvGraphicFramePr>
              <xdr:xfrm>
                <a:off x="15908215" y="64852061"/>
                <a:ext cx="3470030" cy="274320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5"/>
                </a:graphicData>
              </a:graphic>
            </xdr:graphicFrame>
          </xdr:grpSp>
          <xdr:cxnSp macro="">
            <xdr:nvCxnSpPr>
              <xdr:cNvPr id="23" name="Straight Arrow Connector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CxnSpPr/>
            </xdr:nvCxnSpPr>
            <xdr:spPr>
              <a:xfrm>
                <a:off x="17572892" y="66454218"/>
                <a:ext cx="316523" cy="0"/>
              </a:xfrm>
              <a:prstGeom prst="straightConnector1">
                <a:avLst/>
              </a:prstGeom>
              <a:ln w="22225">
                <a:solidFill>
                  <a:schemeClr val="tx1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12131040" y="65176400"/>
              <a:ext cx="7423200" cy="2085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800" i="1">
                  <a:solidFill>
                    <a:schemeClr val="bg2">
                      <a:lumMod val="50000"/>
                    </a:schemeClr>
                  </a:solidFill>
                </a:rPr>
                <a:t>Source:  2026 Hubbard Radio, LLC </a:t>
              </a:r>
              <a:r>
                <a:rPr lang="en-US" sz="800" i="1" baseline="0">
                  <a:solidFill>
                    <a:schemeClr val="bg2">
                      <a:lumMod val="50000"/>
                    </a:schemeClr>
                  </a:solidFill>
                </a:rPr>
                <a:t> - 3,142 Apr23-Feb26 Unbiased "Share of Everything for Anything" Total Media Usage National/Regional/Local/Hyper-Local Data Analyses.</a:t>
              </a:r>
              <a:endParaRPr lang="en-US" sz="800" i="1">
                <a:solidFill>
                  <a:schemeClr val="bg2">
                    <a:lumMod val="50000"/>
                  </a:schemeClr>
                </a:solidFill>
              </a:endParaRPr>
            </a:p>
          </xdr:txBody>
        </xdr:sp>
      </xdr:grp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B28DE81A-6EA6-42AD-BEC7-21509E412FBD}"/>
              </a:ext>
            </a:extLst>
          </xdr:cNvPr>
          <xdr:cNvGrpSpPr/>
        </xdr:nvGrpSpPr>
        <xdr:grpSpPr>
          <a:xfrm>
            <a:off x="16417632" y="102879223"/>
            <a:ext cx="1940560" cy="1531192"/>
            <a:chOff x="16406495" y="102859694"/>
            <a:chExt cx="1953895" cy="1542038"/>
          </a:xfrm>
        </xdr:grpSpPr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859B457C-684C-C7A5-E21D-E31137817B7B}"/>
                </a:ext>
              </a:extLst>
            </xdr:cNvPr>
            <xdr:cNvSpPr txBox="1"/>
          </xdr:nvSpPr>
          <xdr:spPr>
            <a:xfrm>
              <a:off x="16578187" y="102859694"/>
              <a:ext cx="1350010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1" i="1"/>
                <a:t>P18+ Ad-Supported Local AM/FM Weekly Reach %</a:t>
              </a:r>
            </a:p>
          </xdr:txBody>
        </xdr:sp>
        <xdr:cxnSp macro="">
          <xdr:nvCxnSpPr>
            <xdr:cNvPr id="30" name="Straight Arrow Connector 29">
              <a:extLst>
                <a:ext uri="{FF2B5EF4-FFF2-40B4-BE49-F238E27FC236}">
                  <a16:creationId xmlns:a16="http://schemas.microsoft.com/office/drawing/2014/main" id="{B8FF61A3-74CB-B35A-80D4-B02B753E2A18}"/>
                </a:ext>
              </a:extLst>
            </xdr:cNvPr>
            <xdr:cNvCxnSpPr/>
          </xdr:nvCxnSpPr>
          <xdr:spPr>
            <a:xfrm>
              <a:off x="17712690" y="103301303"/>
              <a:ext cx="64770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11379C3B-A087-65D6-8FAA-683060E311D0}"/>
                </a:ext>
              </a:extLst>
            </xdr:cNvPr>
            <xdr:cNvSpPr txBox="1"/>
          </xdr:nvSpPr>
          <xdr:spPr>
            <a:xfrm>
              <a:off x="16406495" y="103792719"/>
              <a:ext cx="1716624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 i="1"/>
                <a:t>P18+ Average H:M:S:/day</a:t>
              </a:r>
            </a:p>
            <a:p>
              <a:r>
                <a:rPr lang="en-US" sz="1100" b="1" i="1"/>
                <a:t>Listening</a:t>
              </a:r>
              <a:r>
                <a:rPr lang="en-US" sz="1100" b="1" i="1" baseline="0"/>
                <a:t> to Ad-Supported</a:t>
              </a:r>
            </a:p>
            <a:p>
              <a:r>
                <a:rPr lang="en-US" sz="1100" b="1" i="1" baseline="0"/>
                <a:t>Local AM/FM Radio:</a:t>
              </a:r>
              <a:endParaRPr lang="en-US" sz="1100" b="1" i="1"/>
            </a:p>
          </xdr:txBody>
        </xdr:sp>
        <xdr:cxnSp macro="">
          <xdr:nvCxnSpPr>
            <xdr:cNvPr id="32" name="Straight Arrow Connector 31">
              <a:extLst>
                <a:ext uri="{FF2B5EF4-FFF2-40B4-BE49-F238E27FC236}">
                  <a16:creationId xmlns:a16="http://schemas.microsoft.com/office/drawing/2014/main" id="{876FF4CF-B0C8-D7AE-A686-43218F6FEC3C}"/>
                </a:ext>
              </a:extLst>
            </xdr:cNvPr>
            <xdr:cNvCxnSpPr/>
          </xdr:nvCxnSpPr>
          <xdr:spPr>
            <a:xfrm>
              <a:off x="17783810" y="104257539"/>
              <a:ext cx="47879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995680</xdr:colOff>
      <xdr:row>3148</xdr:row>
      <xdr:rowOff>71115</xdr:rowOff>
    </xdr:from>
    <xdr:to>
      <xdr:col>9</xdr:col>
      <xdr:colOff>9106584</xdr:colOff>
      <xdr:row>3154</xdr:row>
      <xdr:rowOff>105940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2260580" y="531972515"/>
          <a:ext cx="9571404" cy="1190525"/>
          <a:chOff x="11667777" y="54267239"/>
          <a:chExt cx="9615249" cy="1218781"/>
        </a:xfrm>
      </xdr:grpSpPr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 flipV="1">
            <a:off x="11708421" y="54267239"/>
            <a:ext cx="3484687" cy="573315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stCxn id="13" idx="1"/>
          </xdr:cNvCxnSpPr>
        </xdr:nvCxnSpPr>
        <xdr:spPr>
          <a:xfrm flipH="1">
            <a:off x="11667777" y="55303964"/>
            <a:ext cx="3537054" cy="166726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5228277" y="54652985"/>
            <a:ext cx="6054749" cy="3629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should be</a:t>
            </a:r>
            <a:r>
              <a:rPr lang="en-US" sz="1600" b="1" i="1" u="none"/>
              <a:t> </a:t>
            </a:r>
            <a:r>
              <a:rPr lang="en-US" sz="1600" b="1" i="1"/>
              <a:t>getting.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5204831" y="55121907"/>
            <a:ext cx="5369214" cy="3641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is</a:t>
            </a:r>
            <a:r>
              <a:rPr lang="en-US" sz="1600" b="1" i="1"/>
              <a:t> getting.</a:t>
            </a:r>
          </a:p>
        </xdr:txBody>
      </xdr:sp>
    </xdr:grpSp>
    <xdr:clientData/>
  </xdr:twoCellAnchor>
  <xdr:twoCellAnchor>
    <xdr:from>
      <xdr:col>1</xdr:col>
      <xdr:colOff>16511</xdr:colOff>
      <xdr:row>0</xdr:row>
      <xdr:rowOff>55544</xdr:rowOff>
    </xdr:from>
    <xdr:to>
      <xdr:col>1</xdr:col>
      <xdr:colOff>5067300</xdr:colOff>
      <xdr:row>4</xdr:row>
      <xdr:rowOff>36823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0" b="23683"/>
        <a:stretch/>
      </xdr:blipFill>
      <xdr:spPr>
        <a:xfrm>
          <a:off x="321311" y="55544"/>
          <a:ext cx="5050789" cy="6924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3190</xdr:row>
      <xdr:rowOff>0</xdr:rowOff>
    </xdr:from>
    <xdr:to>
      <xdr:col>5</xdr:col>
      <xdr:colOff>438395</xdr:colOff>
      <xdr:row>3214</xdr:row>
      <xdr:rowOff>115642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4800" y="66365120"/>
          <a:ext cx="8200000" cy="45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3193</xdr:row>
      <xdr:rowOff>0</xdr:rowOff>
    </xdr:from>
    <xdr:to>
      <xdr:col>9</xdr:col>
      <xdr:colOff>6193281</xdr:colOff>
      <xdr:row>3217</xdr:row>
      <xdr:rowOff>172785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45600" y="67279520"/>
          <a:ext cx="9152381" cy="45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148759</xdr:rowOff>
    </xdr:from>
    <xdr:to>
      <xdr:col>1</xdr:col>
      <xdr:colOff>2485351</xdr:colOff>
      <xdr:row>2</xdr:row>
      <xdr:rowOff>158010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0" b="23683"/>
        <a:stretch/>
      </xdr:blipFill>
      <xdr:spPr>
        <a:xfrm>
          <a:off x="317235" y="148759"/>
          <a:ext cx="2475191" cy="37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g1.wsimg.com/blobby/go/fa91e93a-72dd-4def-b76d-173477e02dd0/downloads/HUBBARD%20-%20PHOENIX%20-%20PAST%207%20DAYS%20WALMART%20CUSTOM.pdf?ver=1687534287068" TargetMode="External"/><Relationship Id="rId21" Type="http://schemas.openxmlformats.org/officeDocument/2006/relationships/hyperlink" Target="https://img1.wsimg.com/blobby/go/fa91e93a-72dd-4def-b76d-173477e02dd0/downloads/HUBBARD%20-%20PHOENIX%20-%20PAST%207%20DAYS%20ALBERTSONS%20CUS.pdf?ver=1687534491653" TargetMode="External"/><Relationship Id="rId42" Type="http://schemas.openxmlformats.org/officeDocument/2006/relationships/hyperlink" Target="https://img1.wsimg.com/blobby/go/fa91e93a-72dd-4def-b76d-173477e02dd0/downloads/HUBBARD%20-%20PHOENIX%20-%20IMAGINE%20SCHOOLS%20%20-%20R1%202023.pdf?ver=1687533160290" TargetMode="External"/><Relationship Id="rId47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3" Type="http://schemas.openxmlformats.org/officeDocument/2006/relationships/hyperlink" Target="https://img1.wsimg.com/blobby/go/fa91e93a-72dd-4def-b76d-173477e02dd0/downloads/WTOP%20NEWS%20-%20Washington%20DC%20Metro%20-%20R1%202023A%20-%20B.pdf?ver=1687533546334" TargetMode="External"/><Relationship Id="rId68" Type="http://schemas.openxmlformats.org/officeDocument/2006/relationships/hyperlink" Target="https://img1.wsimg.com/blobby/go/fa91e93a-72dd-4def-b76d-173477e02dd0/downloads/HUBBARD%20-%208-METROS%20-%20PLAN%20TO%20BUY%20OR%20LEASE%20A%20NE.pdf?ver=1707946429439" TargetMode="External"/><Relationship Id="rId84" Type="http://schemas.openxmlformats.org/officeDocument/2006/relationships/hyperlink" Target="https://img1.wsimg.com/blobby/go/fa91e93a-72dd-4def-b76d-173477e02dd0/downloads/63464777-b684-4ec5-9032-29bbf264c5e9/HUBBARD%20-%20USA%20-%20MINNEAPOLIS-ST.%20PAUL%20DMA%20-%205%20G.zip?ver=1746476228127" TargetMode="External"/><Relationship Id="rId89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2" Type="http://schemas.openxmlformats.org/officeDocument/2006/relationships/drawing" Target="../drawings/drawing1.xml"/><Relationship Id="rId16" Type="http://schemas.openxmlformats.org/officeDocument/2006/relationships/hyperlink" Target="https://img1.wsimg.com/blobby/go/fa91e93a-72dd-4def-b76d-173477e02dd0/downloads/HUBBARD%20-%20PHOENIX%20-%20PAST%207%20DAYS%20SAFEWAY%20CUSTOM.pdf?ver=1687534515915" TargetMode="External"/><Relationship Id="rId107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1" Type="http://schemas.openxmlformats.org/officeDocument/2006/relationships/hyperlink" Target="https://img1.wsimg.com/blobby/go/fa91e93a-72dd-4def-b76d-173477e02dd0/downloads/HUBBARD%20-%20Minneapolis-St.%20Paul%20-%20PAST%2030%20DAYS%20.pdf?ver=1687533075650" TargetMode="External"/><Relationship Id="rId32" Type="http://schemas.openxmlformats.org/officeDocument/2006/relationships/hyperlink" Target="https://img1.wsimg.com/blobby/go/fa91e93a-72dd-4def-b76d-173477e02dd0/downloads/WTOP%20NEWS%20-%20Washington%20DC%20Metro%20-%20R1%202023A%20-%20%24.pdf?ver=1687534054004" TargetMode="External"/><Relationship Id="rId37" Type="http://schemas.openxmlformats.org/officeDocument/2006/relationships/hyperlink" Target="https://img1.wsimg.com/blobby/go/fa91e93a-72dd-4def-b76d-173477e02dd0/downloads/HUBBARD%20-%20Seattle%20%20-%20MOD%20PIZZA%20-%20R1%202023.pdf?ver=1687531986801" TargetMode="External"/><Relationship Id="rId5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58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74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79" Type="http://schemas.openxmlformats.org/officeDocument/2006/relationships/hyperlink" Target="https://img1.wsimg.com/blobby/go/fa91e93a-72dd-4def-b76d-173477e02dd0/downloads/HUBBARD%20-%20USA%20-%20P18%2B%20PAST%2030%20DAYS%20SCRATCH-OFF%20.pdf?ver=1723583990996" TargetMode="External"/><Relationship Id="rId102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5" Type="http://schemas.openxmlformats.org/officeDocument/2006/relationships/hyperlink" Target="https://img1.wsimg.com/blobby/go/fa91e93a-72dd-4def-b76d-173477e02dd0/downloads/HUBBARD%20-%20St.%20Louis%20-%20KANSAS%20CITY%20CHIEFS%20FANS%20.pdf?ver=1687533650949" TargetMode="External"/><Relationship Id="rId90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5" Type="http://schemas.openxmlformats.org/officeDocument/2006/relationships/hyperlink" Target="https://img1.wsimg.com/blobby/go/fa91e93a-72dd-4def-b76d-173477e02dd0/downloads/cfa4844e-0832-4629-b69e-c2f4ff861c79/HUBBARD%20-%20USA%2B4MoreDMAs%20-%20P18%2B%20WHO%20HAD%20THEIR%20T.zip?ver=1751899997719" TargetMode="External"/><Relationship Id="rId22" Type="http://schemas.openxmlformats.org/officeDocument/2006/relationships/hyperlink" Target="https://img1.wsimg.com/blobby/go/fa91e93a-72dd-4def-b76d-173477e02dd0/downloads/HUBBARD%20INTERACTIVE%20CINCINNATI%20-%20KROGER%20WEEKLY.pdf?ver=1687532549905" TargetMode="External"/><Relationship Id="rId27" Type="http://schemas.openxmlformats.org/officeDocument/2006/relationships/hyperlink" Target="https://img1.wsimg.com/blobby/go/fa91e93a-72dd-4def-b76d-173477e02dd0/downloads/HUBBARD%20-%20Minneapolis-St.%20Paul%20-%20PANDA%20EXPRESS.pdf?ver=1687534628248" TargetMode="External"/><Relationship Id="rId43" Type="http://schemas.openxmlformats.org/officeDocument/2006/relationships/hyperlink" Target="https://img1.wsimg.com/blobby/go/fa91e93a-72dd-4def-b76d-173477e02dd0/downloads/HUBBARD%20-%20St.%20Louis%20-%20GOODFELLAS%20MOVING%20-%20R1%202.pdf?ver=1687534661334" TargetMode="External"/><Relationship Id="rId48" Type="http://schemas.openxmlformats.org/officeDocument/2006/relationships/hyperlink" Target="https://img1.wsimg.com/blobby/go/fa91e93a-72dd-4def-b76d-173477e02dd0/downloads/HUBBARD%20-%20PHOENIX%20-%20SUPERBOOK%20SPORTSBOOK%20-%20R1%20.pdf?ver=1687532178367" TargetMode="External"/><Relationship Id="rId64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69" Type="http://schemas.openxmlformats.org/officeDocument/2006/relationships/hyperlink" Target="https://img1.wsimg.com/blobby/go/fa91e93a-72dd-4def-b76d-173477e02dd0/downloads/HUBBARD%20-%20USA%20-%20WATCH%20OR%20STREAM%20THE%20DAYTONA%2050.pdf?ver=1708437792714" TargetMode="External"/><Relationship Id="rId80" Type="http://schemas.openxmlformats.org/officeDocument/2006/relationships/hyperlink" Target="https://img1.wsimg.com/blobby/go/fa91e93a-72dd-4def-b76d-173477e02dd0/downloads/HUBBARD%20-%20USA%20-%20P18%2B%20PAST%207%20DAYS%20LISTENERS%20TO%20.pdf?ver=1725547249836" TargetMode="External"/><Relationship Id="rId85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2" Type="http://schemas.openxmlformats.org/officeDocument/2006/relationships/hyperlink" Target="https://img1.wsimg.com/blobby/go/fa91e93a-72dd-4def-b76d-173477e02dd0/downloads/HUBBARD%20-%20PHOENIX%20-%20PAST%207%20DAYS%20BASHAS_%20CUSTOM.pdf?ver=1687533995022" TargetMode="External"/><Relationship Id="rId17" Type="http://schemas.openxmlformats.org/officeDocument/2006/relationships/hyperlink" Target="https://img1.wsimg.com/blobby/go/fa91e93a-72dd-4def-b76d-173477e02dd0/downloads/DOBBS%20TIRE%20%26%20AUTO%20SERVICE%20-%20R1%202023A%20-%20P18%2B%20%26%20.pdf?ver=1687532081825" TargetMode="External"/><Relationship Id="rId33" Type="http://schemas.openxmlformats.org/officeDocument/2006/relationships/hyperlink" Target="https://img1.wsimg.com/blobby/go/fa91e93a-72dd-4def-b76d-173477e02dd0/downloads/HUBBARD%20INTERACTIVE%20CINCINNATI%20-%202022%20SEASON%20C.pdf?ver=1687533023935" TargetMode="External"/><Relationship Id="rId38" Type="http://schemas.openxmlformats.org/officeDocument/2006/relationships/hyperlink" Target="https://img1.wsimg.com/blobby/go/fa91e93a-72dd-4def-b76d-173477e02dd0/downloads/HUBBARD%20-%20Minneapolis-St.%20Paul%20-%20PAST%2030%20DAYS%20.pdf?ver=1687533865204" TargetMode="External"/><Relationship Id="rId59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03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8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54" Type="http://schemas.openxmlformats.org/officeDocument/2006/relationships/hyperlink" Target="https://img1.wsimg.com/blobby/go/fa91e93a-72dd-4def-b76d-173477e02dd0/downloads/HUBBARD%20-%20St.%20Louis%20-%20PLANNED%20NEW%20PICKUP%20TRUCK.pdf?ver=1687532907053" TargetMode="External"/><Relationship Id="rId70" Type="http://schemas.openxmlformats.org/officeDocument/2006/relationships/hyperlink" Target="https://img1.wsimg.com/blobby/go/fa91e93a-72dd-4def-b76d-173477e02dd0/downloads/HUBBARD%20-%20USA%20-%20W25-64%20ONLINE%20SPA%20GIFT%20CARD%20RE.pdf?ver=1708438465892" TargetMode="External"/><Relationship Id="rId75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91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6" Type="http://schemas.openxmlformats.org/officeDocument/2006/relationships/hyperlink" Target="https://img1.wsimg.com/blobby/go/fa91e93a-72dd-4def-b76d-173477e02dd0/downloads/cfa4844e-0832-4629-b69e-c2f4ff861c79/HUBBARD%20-%20USA%2B4MoreDMAs%20-%20P18%2B%20WHO%20HAD%20THEIR%20T.zip?ver=1751899997719" TargetMode="External"/><Relationship Id="rId1" Type="http://schemas.openxmlformats.org/officeDocument/2006/relationships/hyperlink" Target="https://img1.wsimg.com/blobby/go/fa91e93a-72dd-4def-b76d-173477e02dd0/downloads/HUBBARD%20-%20West%20Palm%20Beach%20-%20MILLENNIUM%20CREMATI.pdf?ver=1687532944997" TargetMode="External"/><Relationship Id="rId6" Type="http://schemas.openxmlformats.org/officeDocument/2006/relationships/hyperlink" Target="https://img1.wsimg.com/blobby/go/fa91e93a-72dd-4def-b76d-173477e02dd0/downloads/HUBBARD%20-%20St.%20Louis%20-%20R.P.%20LUMBER.pdf?ver=1687533735440" TargetMode="External"/><Relationship Id="rId15" Type="http://schemas.openxmlformats.org/officeDocument/2006/relationships/hyperlink" Target="https://img1.wsimg.com/blobby/go/fa91e93a-72dd-4def-b76d-173477e02dd0/downloads/HUBBARD%20-%20Minneapolis-St.%20Paul%20-%20PAST%203%20MONTHS.pdf?ver=1687533318525" TargetMode="External"/><Relationship Id="rId23" Type="http://schemas.openxmlformats.org/officeDocument/2006/relationships/hyperlink" Target="https://img1.wsimg.com/blobby/go/fa91e93a-72dd-4def-b76d-173477e02dd0/downloads/HUBBARD%20-%20Minneapolis-St.%20Paul%20-%20WINGS%20FINANCI.pdf?ver=1687532480079" TargetMode="External"/><Relationship Id="rId28" Type="http://schemas.openxmlformats.org/officeDocument/2006/relationships/hyperlink" Target="https://img1.wsimg.com/blobby/go/fa91e93a-72dd-4def-b76d-173477e02dd0/downloads/HUBBARD%20-%20CHICAGO%20-%20ABT%20-%20R1%202023.pdf?ver=1687532309240" TargetMode="External"/><Relationship Id="rId36" Type="http://schemas.openxmlformats.org/officeDocument/2006/relationships/hyperlink" Target="https://img1.wsimg.com/blobby/go/fa91e93a-72dd-4def-b76d-173477e02dd0/downloads/WTOP%20NEWS%20-%20Washington%20DC%20Metro%20-%20R1%202023A%20-%20T.pdf?ver=1687532804915" TargetMode="External"/><Relationship Id="rId49" Type="http://schemas.openxmlformats.org/officeDocument/2006/relationships/hyperlink" Target="https://img1.wsimg.com/blobby/go/fa91e93a-72dd-4def-b76d-173477e02dd0/downloads/HUBBARD%20-%20Minneapolis-St.%20Paul%20-%202022%20SEASON%20M.pdf?ver=1687532440257" TargetMode="External"/><Relationship Id="rId57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106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0" Type="http://schemas.openxmlformats.org/officeDocument/2006/relationships/hyperlink" Target="https://img1.wsimg.com/blobby/go/fa91e93a-72dd-4def-b76d-173477e02dd0/downloads/HUBBARD%20INTERACTIVE%20CINCINNATI%20-%20THE%20CHRIST%20HO.pdf?ver=1687532581540" TargetMode="External"/><Relationship Id="rId31" Type="http://schemas.openxmlformats.org/officeDocument/2006/relationships/hyperlink" Target="https://img1.wsimg.com/blobby/go/fa91e93a-72dd-4def-b76d-173477e02dd0/downloads/HUBBARD%20-%20PHOENIX%20-%20PAST%207%20DAYS%20COSTCO%20CUSTOME.pdf?ver=1687534233996" TargetMode="External"/><Relationship Id="rId44" Type="http://schemas.openxmlformats.org/officeDocument/2006/relationships/hyperlink" Target="https://img1.wsimg.com/blobby/go/fa91e93a-72dd-4def-b76d-173477e02dd0/downloads/HUBBARD%20-%20CHICAGO%20-%20WAVELAND%20BOWL%20-%20R1%202023.pdf?ver=1687532998541" TargetMode="External"/><Relationship Id="rId52" Type="http://schemas.openxmlformats.org/officeDocument/2006/relationships/hyperlink" Target="https://img1.wsimg.com/blobby/go/fa91e93a-72dd-4def-b76d-173477e02dd0/downloads/WTOP%20NEWS%20-%20Washington%20DC%20Metro%20-%20R1%202023A%20-%20P.pdf?ver=1687532779150" TargetMode="External"/><Relationship Id="rId60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65" Type="http://schemas.openxmlformats.org/officeDocument/2006/relationships/hyperlink" Target="https://img1.wsimg.com/blobby/go/fa91e93a-72dd-4def-b76d-173477e02dd0/downloads/WEST%20PALM%20BEACH%20-%20P18%2B%20PAST%207%20DAYS%20DORIS%20ITALI.pdf?ver=1697662740756" TargetMode="External"/><Relationship Id="rId73" Type="http://schemas.openxmlformats.org/officeDocument/2006/relationships/hyperlink" Target="https://img1.wsimg.com/blobby/go/fa91e93a-72dd-4def-b76d-173477e02dd0/downloads/Hubbard%20-%208%20Metros%20-%20P18-34%20WHO%20ARE%20NOT%20EMPLOY.pdf?ver=1694204784926" TargetMode="External"/><Relationship Id="rId78" Type="http://schemas.openxmlformats.org/officeDocument/2006/relationships/hyperlink" Target="https://img1.wsimg.com/blobby/go/fa91e93a-72dd-4def-b76d-173477e02dd0/downloads/HUBBARD%20-%20USA%20-%20P25-54%20PAST%2030%20DAYS%20USERS%20OF%205.pdf?ver=1723483996548" TargetMode="External"/><Relationship Id="rId81" Type="http://schemas.openxmlformats.org/officeDocument/2006/relationships/hyperlink" Target="https://img1.wsimg.com/blobby/go/fa91e93a-72dd-4def-b76d-173477e02dd0/downloads/HUBBARD%20-%20USA%20-%20P18%2B%20PAST%206MOS%20READERS%20OF%205%20CI.pdf?ver=1725567691671" TargetMode="External"/><Relationship Id="rId86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94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9" Type="http://schemas.openxmlformats.org/officeDocument/2006/relationships/hyperlink" Target="https://img1.wsimg.com/blobby/go/fa91e93a-72dd-4def-b76d-173477e02dd0/downloads/af3f0479-7da4-4dc6-bd18-6bfd05f6c65c/HUBBARD%20-%20Seattle%20-%20DMA%20-%20BELLEVUE%20COLLECTION%20.pdf?ver=1760730906638" TargetMode="External"/><Relationship Id="rId101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4" Type="http://schemas.openxmlformats.org/officeDocument/2006/relationships/hyperlink" Target="https://img1.wsimg.com/blobby/go/fa91e93a-72dd-4def-b76d-173477e02dd0/downloads/HUBBARD%20-%20CHICAGO%20-%20LOYOLA%20SCHOOL%20OF%20EDUCATION.pdf?ver=1687533411382" TargetMode="External"/><Relationship Id="rId9" Type="http://schemas.openxmlformats.org/officeDocument/2006/relationships/hyperlink" Target="https://img1.wsimg.com/blobby/go/fa91e93a-72dd-4def-b76d-173477e02dd0/downloads/HUBBARD%20INTERACTIVE%20CINCINNATI%20-%20SKYLINE%20CHILI.pdf?ver=1687533905550" TargetMode="External"/><Relationship Id="rId13" Type="http://schemas.openxmlformats.org/officeDocument/2006/relationships/hyperlink" Target="https://img1.wsimg.com/blobby/go/fa91e93a-72dd-4def-b76d-173477e02dd0/downloads/HUBBARD%20-%20St.%20Louis%20-%20BURGER%20KING%20-%20%20R1%202023a.pdf?ver=1687532862665" TargetMode="External"/><Relationship Id="rId18" Type="http://schemas.openxmlformats.org/officeDocument/2006/relationships/hyperlink" Target="https://img1.wsimg.com/blobby/go/fa91e93a-72dd-4def-b76d-173477e02dd0/downloads/HUBBARD%20-%20PHOENIX%20-%20PAST%207%20DAYS%20SPROUTS%20CUSTOM.pdf?ver=1687534597851" TargetMode="External"/><Relationship Id="rId39" Type="http://schemas.openxmlformats.org/officeDocument/2006/relationships/hyperlink" Target="https://img1.wsimg.com/blobby/go/fa91e93a-72dd-4def-b76d-173477e02dd0/downloads/HUBBARD%20-%20CHICAGO%20-%20HOMEOWNERS%20PLANNING%20TO%20SEL.pdf?ver=1687533365605" TargetMode="External"/><Relationship Id="rId109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34" Type="http://schemas.openxmlformats.org/officeDocument/2006/relationships/hyperlink" Target="https://img1.wsimg.com/blobby/go/fa91e93a-72dd-4def-b76d-173477e02dd0/downloads/HUBBARD%20RADIO%208-METROS%20-%20soefa.ai%20-%20R1%202023Ab-.pdf?ver=1687532722508" TargetMode="External"/><Relationship Id="rId50" Type="http://schemas.openxmlformats.org/officeDocument/2006/relationships/hyperlink" Target="https://img1.wsimg.com/blobby/go/fa91e93a-72dd-4def-b76d-173477e02dd0/downloads/HUBBARD%20-%20CHICAGO%20-%20PAST%2030%20DAYS%20GIORDANO_S%20PI.pdf?ver=1687533963547" TargetMode="External"/><Relationship Id="rId55" Type="http://schemas.openxmlformats.org/officeDocument/2006/relationships/hyperlink" Target="https://img1.wsimg.com/blobby/go/fa91e93a-72dd-4def-b76d-173477e02dd0/downloads/WTOP%20NEWS%20-%20Washington%20DC%20Metro%20-%20R1%202023A%20-%20G.pdf?ver=1687532747605" TargetMode="External"/><Relationship Id="rId76" Type="http://schemas.openxmlformats.org/officeDocument/2006/relationships/hyperlink" Target="https://img1.wsimg.com/blobby/go/fa91e93a-72dd-4def-b76d-173477e02dd0/downloads/HUBBARD%20-%20USA%20-%20P18%2B%20MEXICAN%20FOOD%20CONSUMERS%20%2B%20.pdf?ver=1715085527987" TargetMode="External"/><Relationship Id="rId97" Type="http://schemas.openxmlformats.org/officeDocument/2006/relationships/hyperlink" Target="https://img1.wsimg.com/blobby/go/fa91e93a-72dd-4def-b76d-173477e02dd0/downloads/9bdde48a-05be-420b-bca4-579ac0154611/HUBBARD%20-%20USA%2B4MoreDMAs%20-%20P18%2B%20WHO%20PURCHASED%20C.zip?ver=1755289263940" TargetMode="External"/><Relationship Id="rId104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7" Type="http://schemas.openxmlformats.org/officeDocument/2006/relationships/hyperlink" Target="https://img1.wsimg.com/blobby/go/fa91e93a-72dd-4def-b76d-173477e02dd0/downloads/HUBBARD%20INTERACTIVE%20CINCINNATI%20-%20MIAMI%20VALLEY%20.pdf?ver=1687533286742" TargetMode="External"/><Relationship Id="rId71" Type="http://schemas.openxmlformats.org/officeDocument/2006/relationships/hyperlink" Target="https://img1.wsimg.com/blobby/go/fa91e93a-72dd-4def-b76d-173477e02dd0/downloads/HUBBARD%20-%20ST.%20LOUIS%20-%20W36-64%20%26%20W35%2B%20WOODHOUSE%20.pdf?ver=1708438430537" TargetMode="External"/><Relationship Id="rId92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2" Type="http://schemas.openxmlformats.org/officeDocument/2006/relationships/hyperlink" Target="https://img1.wsimg.com/blobby/go/fa91e93a-72dd-4def-b76d-173477e02dd0/downloads/HUBBARD%20INTERACTIVE%20CINCINNATI%20-%20GOLD%20STAR%20CHI.pdf?ver=1687533941751" TargetMode="External"/><Relationship Id="rId29" Type="http://schemas.openxmlformats.org/officeDocument/2006/relationships/hyperlink" Target="https://img1.wsimg.com/blobby/go/fa91e93a-72dd-4def-b76d-173477e02dd0/downloads/HUBBARD%20RADIO%208-METROS%20-%20soefa.ai%20-%20R1%202023Ab%20.pdf?ver=1687533246964" TargetMode="External"/><Relationship Id="rId24" Type="http://schemas.openxmlformats.org/officeDocument/2006/relationships/hyperlink" Target="https://img1.wsimg.com/blobby/go/fa91e93a-72dd-4def-b76d-173477e02dd0/downloads/HUBBARD%20-%20CHICAGO%20-%20LOYOLA%20SCHOOL%20OF%20EDUCATION.pdf?ver=1687533439870" TargetMode="External"/><Relationship Id="rId40" Type="http://schemas.openxmlformats.org/officeDocument/2006/relationships/hyperlink" Target="https://img1.wsimg.com/blobby/go/fa91e93a-72dd-4def-b76d-173477e02dd0/downloads/HUBBARD%20-%20Minneapolis-St.%20Paul%20-%20PAST%203%20YEARS%20.pdf?ver=1687534027707" TargetMode="External"/><Relationship Id="rId45" Type="http://schemas.openxmlformats.org/officeDocument/2006/relationships/hyperlink" Target="https://img1.wsimg.com/blobby/go/fa91e93a-72dd-4def-b76d-173477e02dd0/downloads/HUBBARD%20-%20Minneapolis-St.%20Paul%20-%20PARENTS%20OF%20TE.pdf?ver=1687534181870" TargetMode="External"/><Relationship Id="rId66" Type="http://schemas.openxmlformats.org/officeDocument/2006/relationships/hyperlink" Target="https://img1.wsimg.com/blobby/go/fa91e93a-72dd-4def-b76d-173477e02dd0/downloads/HUBBARD%20-%20CHICAGO%20-%20PORTILLOS%20-%20soefa.ai%20-%20R2%20.pdf?ver=1704294449311" TargetMode="External"/><Relationship Id="rId87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0" Type="http://schemas.openxmlformats.org/officeDocument/2006/relationships/hyperlink" Target="https://img1.wsimg.com/blobby/go/fa91e93a-72dd-4def-b76d-173477e02dd0/downloads/fb551de7-856e-43a0-8696-f07f12ece3c9/HUBBARD%20-%20USA%2B4DMAs%20-%20P25-54%20PARENTS%20KIDS%20PLAN.zip?ver=1761758065314" TargetMode="External"/><Relationship Id="rId61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82" Type="http://schemas.openxmlformats.org/officeDocument/2006/relationships/hyperlink" Target="https://img1.wsimg.com/blobby/go/fa91e93a-72dd-4def-b76d-173477e02dd0/downloads/0071f0e4-cc72-47b2-8136-be4fd7637d7f/HUBBARD%20-%20USA%20-%20P21%2B%20PAST%2012%20MOS%20USERS%20OF%205%20OF.pdf?ver=1726781504096" TargetMode="External"/><Relationship Id="rId19" Type="http://schemas.openxmlformats.org/officeDocument/2006/relationships/hyperlink" Target="https://img1.wsimg.com/blobby/go/fa91e93a-72dd-4def-b76d-173477e02dd0/downloads/HUBBARD%20-%20West%20Palm%20Beach%20-%20FLORIDA%20CONGRESSIO.pdf?ver=1687532275049" TargetMode="External"/><Relationship Id="rId14" Type="http://schemas.openxmlformats.org/officeDocument/2006/relationships/hyperlink" Target="https://img1.wsimg.com/blobby/go/fa91e93a-72dd-4def-b76d-173477e02dd0/downloads/HUBBARD%20-%20St.%20Louis%20-%20KUTIS%20FUNERAL%20HOMES%20-%20%20R.pdf?ver=1687533764459" TargetMode="External"/><Relationship Id="rId30" Type="http://schemas.openxmlformats.org/officeDocument/2006/relationships/hyperlink" Target="https://img1.wsimg.com/blobby/go/fa91e93a-72dd-4def-b76d-173477e02dd0/downloads/HUBBARD%20-%20PHOENIX%20-%20HOMEOWNERS%20REQUIRING%20AN%20EL.pdf?ver=1687533494333" TargetMode="External"/><Relationship Id="rId35" Type="http://schemas.openxmlformats.org/officeDocument/2006/relationships/hyperlink" Target="https://img1.wsimg.com/blobby/go/fa91e93a-72dd-4def-b76d-173477e02dd0/downloads/HUBBARD%20-%20WEST%20PALM%20BEACH-BOCA%20RATON%20DMA%20-%20PER.pdf?ver=1687534724853" TargetMode="External"/><Relationship Id="rId56" Type="http://schemas.openxmlformats.org/officeDocument/2006/relationships/hyperlink" Target="https://img1.wsimg.com/blobby/go/fa91e93a-72dd-4def-b76d-173477e02dd0/downloads/HUBBARD%20-%20PHOENIX%20-%20PAST%2030%20DAYS%20CHEWY.COM%20CUS.pdf?ver=1687532839530" TargetMode="External"/><Relationship Id="rId77" Type="http://schemas.openxmlformats.org/officeDocument/2006/relationships/hyperlink" Target="https://img1.wsimg.com/blobby/go/fa91e93a-72dd-4def-b76d-173477e02dd0/downloads/HUBBARD%20-%20CHICAGO%20-%20LOYOLA%20ADVANCEMENT%20-%20FUNDR.pdf?ver=1719408016160" TargetMode="External"/><Relationship Id="rId100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5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8" Type="http://schemas.openxmlformats.org/officeDocument/2006/relationships/hyperlink" Target="https://img1.wsimg.com/blobby/go/fa91e93a-72dd-4def-b76d-173477e02dd0/downloads/HUBBARD%20-%20St.%20Louis%20-%20KLOSS%20FURNITURE%2025-54%20-%20.pdf?ver=1687532242200" TargetMode="External"/><Relationship Id="rId51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72" Type="http://schemas.openxmlformats.org/officeDocument/2006/relationships/hyperlink" Target="https://img1.wsimg.com/blobby/go/fa91e93a-72dd-4def-b76d-173477e02dd0/downloads/HUBBARD%20-%208-METROS%20-%20PURCHASED%20OR%20LEASED%20A%20NEW.pdf?ver=1707493080566" TargetMode="External"/><Relationship Id="rId93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8" Type="http://schemas.openxmlformats.org/officeDocument/2006/relationships/hyperlink" Target="https://img1.wsimg.com/blobby/go/fa91e93a-72dd-4def-b76d-173477e02dd0/downloads/7aa6ec04-3f7f-40a3-9e3e-03b931af9661/HUBBARD%20-%20USA%2B4DMAs%20-%20P18%2B%20WHO%20USED%20REDDIT%20IN%20.zip?ver=1758141683605" TargetMode="External"/><Relationship Id="rId3" Type="http://schemas.openxmlformats.org/officeDocument/2006/relationships/hyperlink" Target="https://img1.wsimg.com/blobby/go/fa91e93a-72dd-4def-b76d-173477e02dd0/downloads/HUBBARD%20-%20PHOENIX%20-%20PAST%207%20DAYS%20TRADER%20JOE_S%20C.pdf?ver=1687534086912" TargetMode="External"/><Relationship Id="rId25" Type="http://schemas.openxmlformats.org/officeDocument/2006/relationships/hyperlink" Target="https://img1.wsimg.com/blobby/go/fa91e93a-72dd-4def-b76d-173477e02dd0/downloads/HUBBARD%20-%20PHOENIX%20-%20PAST%207%20DAYS%20FRY_S%20CUSTOMER.pdf?ver=1687534208347" TargetMode="External"/><Relationship Id="rId46" Type="http://schemas.openxmlformats.org/officeDocument/2006/relationships/hyperlink" Target="https://img1.wsimg.com/blobby/go/fa91e93a-72dd-4def-b76d-173477e02dd0/downloads/HUBBARD%20-%20CHICAGO%20-%20HOMEOWNERS%20PLANNING%20TO%20SWI.pdf?ver=1687532349465" TargetMode="External"/><Relationship Id="rId67" Type="http://schemas.openxmlformats.org/officeDocument/2006/relationships/hyperlink" Target="https://img1.wsimg.com/blobby/go/fa91e93a-72dd-4def-b76d-173477e02dd0/downloads/HUBBARD%20-%20SEATTLE-TACOMA%20-%20PAST%2012MOS%20MUSEUM%20O.pdf?ver=1707946400300" TargetMode="External"/><Relationship Id="rId20" Type="http://schemas.openxmlformats.org/officeDocument/2006/relationships/hyperlink" Target="https://img1.wsimg.com/blobby/go/fa91e93a-72dd-4def-b76d-173477e02dd0/downloads/HUBBARD%20-%20PHOENIX%20-%20HOMEOWNERS%20SPENDING%20%245%2C000.pdf?ver=1687532118063" TargetMode="External"/><Relationship Id="rId41" Type="http://schemas.openxmlformats.org/officeDocument/2006/relationships/hyperlink" Target="https://img1.wsimg.com/blobby/go/fa91e93a-72dd-4def-b76d-173477e02dd0/downloads/HUBBARD%20-%20West%20Palm%20Beach%20DMA%20-%20PAST%2012%20MONTHS.pdf?ver=1687532963870" TargetMode="External"/><Relationship Id="rId62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Relationship Id="rId83" Type="http://schemas.openxmlformats.org/officeDocument/2006/relationships/hyperlink" Target="https://img1.wsimg.com/blobby/go/fa91e93a-72dd-4def-b76d-173477e02dd0/downloads/97daf6e1-8638-451d-96f2-580fc587f2e0/HUBBARD-Seattle-P35%2B%26W35%2BSLOTS%26OTHER%20GAMBLERS1.pdf?ver=1727542572158" TargetMode="External"/><Relationship Id="rId88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7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1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10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4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9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182"/>
  <sheetViews>
    <sheetView tabSelected="1" zoomScale="75" zoomScaleNormal="75" workbookViewId="0">
      <pane ySplit="5" topLeftCell="A3138" activePane="bottomLeft" state="frozen"/>
      <selection pane="bottomLeft" activeCell="A3151" sqref="A3151"/>
    </sheetView>
  </sheetViews>
  <sheetFormatPr defaultRowHeight="15" x14ac:dyDescent="0.25"/>
  <cols>
    <col min="1" max="1" width="5.7109375" bestFit="1" customWidth="1"/>
    <col min="2" max="2" width="80" customWidth="1"/>
    <col min="3" max="3" width="11.140625" style="1" customWidth="1"/>
    <col min="4" max="4" width="9.85546875" style="1" customWidth="1"/>
    <col min="5" max="5" width="12.140625" style="1" customWidth="1"/>
    <col min="6" max="6" width="13.85546875" style="1" customWidth="1"/>
    <col min="7" max="7" width="14.85546875" style="1" customWidth="1"/>
    <col min="8" max="8" width="21.140625" style="1" customWidth="1"/>
    <col min="9" max="9" width="21.85546875" style="1" customWidth="1"/>
    <col min="10" max="10" width="191.42578125" bestFit="1" customWidth="1"/>
  </cols>
  <sheetData>
    <row r="4" spans="1:10" x14ac:dyDescent="0.25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15" customHeight="1" x14ac:dyDescent="0.25">
      <c r="A5" t="s">
        <v>1842</v>
      </c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4" t="s">
        <v>27</v>
      </c>
      <c r="H5" s="14" t="s">
        <v>221</v>
      </c>
      <c r="I5" s="14" t="s">
        <v>222</v>
      </c>
      <c r="J5" s="10" t="s">
        <v>82</v>
      </c>
    </row>
    <row r="6" spans="1:10" x14ac:dyDescent="0.25">
      <c r="A6">
        <f>1</f>
        <v>1</v>
      </c>
      <c r="B6" t="s">
        <v>1129</v>
      </c>
      <c r="C6" s="2">
        <v>0.55972222222222223</v>
      </c>
      <c r="D6" s="4">
        <f t="shared" ref="D6:D37" si="0">C6-E6</f>
        <v>8.333333333333337E-2</v>
      </c>
      <c r="E6" s="6">
        <v>0.47638888888888886</v>
      </c>
      <c r="F6" s="5">
        <f t="shared" ref="F6:F37" si="1">E6/C6</f>
        <v>0.85111662531017362</v>
      </c>
      <c r="G6" s="5">
        <v>0.79700000000000004</v>
      </c>
      <c r="H6" s="4">
        <f>72.3/1440</f>
        <v>5.0208333333333334E-2</v>
      </c>
      <c r="I6" s="5">
        <v>8.4000000000000005E-2</v>
      </c>
      <c r="J6" s="11" t="s">
        <v>1124</v>
      </c>
    </row>
    <row r="7" spans="1:10" x14ac:dyDescent="0.25">
      <c r="A7">
        <f>A6+1</f>
        <v>2</v>
      </c>
      <c r="B7" t="s">
        <v>452</v>
      </c>
      <c r="C7" s="2">
        <v>0.64374999999999993</v>
      </c>
      <c r="D7" s="4">
        <f t="shared" si="0"/>
        <v>0.1687499999999999</v>
      </c>
      <c r="E7" s="6">
        <v>0.47500000000000003</v>
      </c>
      <c r="F7" s="5">
        <f t="shared" si="1"/>
        <v>0.73786407766990303</v>
      </c>
      <c r="G7" s="5">
        <v>0.82699999999999996</v>
      </c>
      <c r="H7" s="4">
        <f>86.8/1440</f>
        <v>6.0277777777777777E-2</v>
      </c>
      <c r="I7" s="5">
        <v>0.105</v>
      </c>
      <c r="J7" s="11" t="s">
        <v>453</v>
      </c>
    </row>
    <row r="8" spans="1:10" x14ac:dyDescent="0.25">
      <c r="A8">
        <f t="shared" ref="A8:A80" si="2">A7+1</f>
        <v>3</v>
      </c>
      <c r="B8" t="s">
        <v>1011</v>
      </c>
      <c r="C8" s="2">
        <v>0.59583333333333333</v>
      </c>
      <c r="D8" s="4">
        <f t="shared" si="0"/>
        <v>0.12222222222222223</v>
      </c>
      <c r="E8" s="6">
        <v>0.47361111111111109</v>
      </c>
      <c r="F8" s="5">
        <f t="shared" si="1"/>
        <v>0.79487179487179482</v>
      </c>
      <c r="G8" s="5">
        <v>0.752</v>
      </c>
      <c r="H8" s="4">
        <f>61.2/1440</f>
        <v>4.2500000000000003E-2</v>
      </c>
      <c r="I8" s="5">
        <v>6.7000000000000004E-2</v>
      </c>
      <c r="J8" s="11" t="s">
        <v>1010</v>
      </c>
    </row>
    <row r="9" spans="1:10" x14ac:dyDescent="0.25">
      <c r="A9">
        <f t="shared" si="2"/>
        <v>4</v>
      </c>
      <c r="B9" t="s">
        <v>1009</v>
      </c>
      <c r="C9" s="2">
        <v>0.63055555555555554</v>
      </c>
      <c r="D9" s="4">
        <f t="shared" si="0"/>
        <v>0.15972222222222221</v>
      </c>
      <c r="E9" s="6">
        <v>0.47083333333333333</v>
      </c>
      <c r="F9" s="5">
        <f t="shared" si="1"/>
        <v>0.74669603524229078</v>
      </c>
      <c r="G9" s="5">
        <v>0.84799999999999998</v>
      </c>
      <c r="H9" s="4">
        <f>68.7/1440</f>
        <v>4.7708333333333339E-2</v>
      </c>
      <c r="I9" s="5">
        <v>8.5999999999999993E-2</v>
      </c>
      <c r="J9" s="11" t="s">
        <v>1010</v>
      </c>
    </row>
    <row r="10" spans="1:10" x14ac:dyDescent="0.25">
      <c r="A10">
        <f t="shared" si="2"/>
        <v>5</v>
      </c>
      <c r="B10" t="s">
        <v>418</v>
      </c>
      <c r="C10" s="2">
        <v>0.54236111111111118</v>
      </c>
      <c r="D10" s="4">
        <f t="shared" si="0"/>
        <v>7.6388888888888951E-2</v>
      </c>
      <c r="E10" s="6">
        <v>0.46597222222222223</v>
      </c>
      <c r="F10" s="5">
        <f t="shared" si="1"/>
        <v>0.85915492957746464</v>
      </c>
      <c r="G10" s="5">
        <v>0.878</v>
      </c>
      <c r="H10" s="4">
        <f>111.5/1440</f>
        <v>7.7430555555555558E-2</v>
      </c>
      <c r="I10" s="5">
        <v>0.14599999999999999</v>
      </c>
      <c r="J10" s="11" t="s">
        <v>419</v>
      </c>
    </row>
    <row r="11" spans="1:10" x14ac:dyDescent="0.25">
      <c r="A11">
        <f t="shared" si="2"/>
        <v>6</v>
      </c>
      <c r="B11" t="s">
        <v>1012</v>
      </c>
      <c r="C11" s="2">
        <v>0.60486111111111107</v>
      </c>
      <c r="D11" s="4">
        <f t="shared" si="0"/>
        <v>0.13958333333333328</v>
      </c>
      <c r="E11" s="6">
        <v>0.46527777777777779</v>
      </c>
      <c r="F11" s="5">
        <f t="shared" si="1"/>
        <v>0.76923076923076927</v>
      </c>
      <c r="G11" s="5">
        <v>0.877</v>
      </c>
      <c r="H11" s="4">
        <f>63.7/1440</f>
        <v>4.4236111111111115E-2</v>
      </c>
      <c r="I11" s="5">
        <v>8.3000000000000004E-2</v>
      </c>
      <c r="J11" s="11" t="s">
        <v>1010</v>
      </c>
    </row>
    <row r="12" spans="1:10" x14ac:dyDescent="0.25">
      <c r="A12">
        <f t="shared" si="2"/>
        <v>7</v>
      </c>
      <c r="B12" t="s">
        <v>12</v>
      </c>
      <c r="C12" s="2">
        <v>0.53125</v>
      </c>
      <c r="D12" s="4">
        <f t="shared" si="0"/>
        <v>7.0138888888888917E-2</v>
      </c>
      <c r="E12" s="6">
        <v>0.46111111111111108</v>
      </c>
      <c r="F12" s="5">
        <f t="shared" si="1"/>
        <v>0.86797385620915024</v>
      </c>
      <c r="G12" s="5">
        <v>0.72899999999999998</v>
      </c>
      <c r="H12" s="4">
        <f>90.6/1440</f>
        <v>6.2916666666666662E-2</v>
      </c>
      <c r="I12" s="5">
        <v>9.9000000000000005E-2</v>
      </c>
      <c r="J12" s="11" t="s">
        <v>92</v>
      </c>
    </row>
    <row r="13" spans="1:10" x14ac:dyDescent="0.25">
      <c r="A13">
        <f t="shared" si="2"/>
        <v>8</v>
      </c>
      <c r="B13" t="s">
        <v>373</v>
      </c>
      <c r="C13" s="2">
        <v>0.625</v>
      </c>
      <c r="D13" s="4">
        <f t="shared" si="0"/>
        <v>0.1645833333333333</v>
      </c>
      <c r="E13" s="6">
        <v>0.4604166666666667</v>
      </c>
      <c r="F13" s="5">
        <f t="shared" si="1"/>
        <v>0.73666666666666669</v>
      </c>
      <c r="G13" s="5">
        <v>0.86599999999999999</v>
      </c>
      <c r="H13" s="4">
        <f>103.4/1440</f>
        <v>7.1805555555555553E-2</v>
      </c>
      <c r="I13" s="5">
        <v>0.13500000000000001</v>
      </c>
      <c r="J13" s="11" t="s">
        <v>374</v>
      </c>
    </row>
    <row r="14" spans="1:10" x14ac:dyDescent="0.25">
      <c r="A14">
        <f t="shared" si="2"/>
        <v>9</v>
      </c>
      <c r="B14" t="s">
        <v>243</v>
      </c>
      <c r="C14" s="2">
        <v>0.58611111111111114</v>
      </c>
      <c r="D14" s="4">
        <f t="shared" si="0"/>
        <v>0.13125000000000003</v>
      </c>
      <c r="E14" s="6">
        <v>0.4548611111111111</v>
      </c>
      <c r="F14" s="5">
        <f t="shared" si="1"/>
        <v>0.77606635071090047</v>
      </c>
      <c r="G14" s="5">
        <v>0.80400000000000005</v>
      </c>
      <c r="H14" s="4">
        <f>60.5/1440</f>
        <v>4.2013888888888892E-2</v>
      </c>
      <c r="I14" s="5">
        <v>7.3999999999999996E-2</v>
      </c>
      <c r="J14" s="11" t="s">
        <v>245</v>
      </c>
    </row>
    <row r="15" spans="1:10" x14ac:dyDescent="0.25">
      <c r="A15">
        <f t="shared" si="2"/>
        <v>10</v>
      </c>
      <c r="B15" t="s">
        <v>1794</v>
      </c>
      <c r="C15" s="2">
        <v>0.54236111111111107</v>
      </c>
      <c r="D15" s="4">
        <f t="shared" si="0"/>
        <v>9.1666666666666619E-2</v>
      </c>
      <c r="E15" s="6">
        <v>0.45069444444444445</v>
      </c>
      <c r="F15" s="5">
        <f t="shared" si="1"/>
        <v>0.83098591549295786</v>
      </c>
      <c r="G15" s="5">
        <v>1</v>
      </c>
      <c r="H15" s="4">
        <f>93.1/1440</f>
        <v>6.4652777777777767E-2</v>
      </c>
      <c r="I15" s="5">
        <v>0.14299999999999999</v>
      </c>
      <c r="J15" s="11" t="s">
        <v>1777</v>
      </c>
    </row>
    <row r="16" spans="1:10" x14ac:dyDescent="0.25">
      <c r="A16">
        <f t="shared" si="2"/>
        <v>11</v>
      </c>
      <c r="B16" t="s">
        <v>1579</v>
      </c>
      <c r="C16" s="2">
        <v>0.57638888888888884</v>
      </c>
      <c r="D16" s="4">
        <f t="shared" si="0"/>
        <v>0.12777777777777771</v>
      </c>
      <c r="E16" s="6">
        <v>0.44861111111111113</v>
      </c>
      <c r="F16" s="5">
        <f t="shared" si="1"/>
        <v>0.77831325301204823</v>
      </c>
      <c r="G16" s="5">
        <v>0.86099999999999999</v>
      </c>
      <c r="H16" s="4">
        <f>65.4/1440</f>
        <v>4.5416666666666668E-2</v>
      </c>
      <c r="I16" s="5">
        <v>8.6999999999999994E-2</v>
      </c>
      <c r="J16" s="11" t="s">
        <v>1585</v>
      </c>
    </row>
    <row r="17" spans="1:10" x14ac:dyDescent="0.25">
      <c r="A17">
        <f t="shared" si="2"/>
        <v>12</v>
      </c>
      <c r="B17" t="s">
        <v>1611</v>
      </c>
      <c r="C17" s="2">
        <v>0.55972222222222223</v>
      </c>
      <c r="D17" s="4">
        <f t="shared" si="0"/>
        <v>0.11319444444444443</v>
      </c>
      <c r="E17" s="6">
        <v>0.4465277777777778</v>
      </c>
      <c r="F17" s="5">
        <f t="shared" si="1"/>
        <v>0.79776674937965264</v>
      </c>
      <c r="G17" s="5">
        <v>0.66</v>
      </c>
      <c r="H17" s="4">
        <f>58.6/1440</f>
        <v>4.0694444444444443E-2</v>
      </c>
      <c r="I17" s="5">
        <v>0.06</v>
      </c>
      <c r="J17" s="11" t="s">
        <v>1612</v>
      </c>
    </row>
    <row r="18" spans="1:10" x14ac:dyDescent="0.25">
      <c r="A18">
        <f t="shared" si="2"/>
        <v>13</v>
      </c>
      <c r="B18" t="s">
        <v>882</v>
      </c>
      <c r="C18" s="2">
        <v>0.57361111111111107</v>
      </c>
      <c r="D18" s="4">
        <f t="shared" si="0"/>
        <v>0.12916666666666665</v>
      </c>
      <c r="E18" s="6">
        <v>0.44444444444444442</v>
      </c>
      <c r="F18" s="5">
        <f t="shared" si="1"/>
        <v>0.77481840193704599</v>
      </c>
      <c r="G18" s="5">
        <v>0.84399999999999997</v>
      </c>
      <c r="H18" s="4">
        <f>73/1440</f>
        <v>5.0694444444444445E-2</v>
      </c>
      <c r="I18" s="5">
        <v>9.6000000000000002E-2</v>
      </c>
      <c r="J18" s="11" t="s">
        <v>889</v>
      </c>
    </row>
    <row r="19" spans="1:10" x14ac:dyDescent="0.25">
      <c r="A19">
        <f t="shared" si="2"/>
        <v>14</v>
      </c>
      <c r="B19" t="s">
        <v>1768</v>
      </c>
      <c r="C19" s="2">
        <v>0.52430555555555558</v>
      </c>
      <c r="D19" s="4">
        <f t="shared" si="0"/>
        <v>8.2638888888888928E-2</v>
      </c>
      <c r="E19" s="6">
        <v>0.44166666666666665</v>
      </c>
      <c r="F19" s="5">
        <f t="shared" si="1"/>
        <v>0.84238410596026481</v>
      </c>
      <c r="G19" s="5">
        <v>0.83799999999999997</v>
      </c>
      <c r="H19" s="4">
        <f>66/1440</f>
        <v>4.583333333333333E-2</v>
      </c>
      <c r="I19" s="5">
        <v>8.6999999999999994E-2</v>
      </c>
      <c r="J19" s="11" t="s">
        <v>1762</v>
      </c>
    </row>
    <row r="20" spans="1:10" x14ac:dyDescent="0.25">
      <c r="A20">
        <f t="shared" si="2"/>
        <v>15</v>
      </c>
      <c r="B20" t="s">
        <v>1046</v>
      </c>
      <c r="C20" s="2">
        <v>0.59861111111111109</v>
      </c>
      <c r="D20" s="4">
        <f t="shared" si="0"/>
        <v>0.16041666666666665</v>
      </c>
      <c r="E20" s="6">
        <v>0.43819444444444444</v>
      </c>
      <c r="F20" s="5">
        <f t="shared" si="1"/>
        <v>0.73201856148491884</v>
      </c>
      <c r="G20" s="5">
        <v>0.81799999999999995</v>
      </c>
      <c r="H20" s="4">
        <f>50.1/1440</f>
        <v>3.4791666666666665E-2</v>
      </c>
      <c r="I20" s="5">
        <v>6.5000000000000002E-2</v>
      </c>
      <c r="J20" s="11" t="s">
        <v>1036</v>
      </c>
    </row>
    <row r="21" spans="1:10" x14ac:dyDescent="0.25">
      <c r="A21">
        <f t="shared" si="2"/>
        <v>16</v>
      </c>
      <c r="B21" t="s">
        <v>477</v>
      </c>
      <c r="C21" s="2">
        <v>0.57430555555555551</v>
      </c>
      <c r="D21" s="4">
        <f t="shared" si="0"/>
        <v>0.1381944444444444</v>
      </c>
      <c r="E21" s="6">
        <v>0.43611111111111112</v>
      </c>
      <c r="F21" s="5">
        <f t="shared" si="1"/>
        <v>0.75937122128174128</v>
      </c>
      <c r="G21" s="5">
        <v>0.996</v>
      </c>
      <c r="H21" s="4">
        <f>144.5/1440</f>
        <v>0.10034722222222223</v>
      </c>
      <c r="I21" s="5">
        <v>0.22900000000000001</v>
      </c>
      <c r="J21" s="11" t="s">
        <v>480</v>
      </c>
    </row>
    <row r="22" spans="1:10" x14ac:dyDescent="0.25">
      <c r="A22">
        <f t="shared" si="2"/>
        <v>17</v>
      </c>
      <c r="B22" t="s">
        <v>1773</v>
      </c>
      <c r="C22" s="2">
        <v>0.53402777777777777</v>
      </c>
      <c r="D22" s="4">
        <f t="shared" si="0"/>
        <v>9.7916666666666652E-2</v>
      </c>
      <c r="E22" s="6">
        <v>0.43611111111111112</v>
      </c>
      <c r="F22" s="5">
        <f t="shared" si="1"/>
        <v>0.81664499349804942</v>
      </c>
      <c r="G22" s="5">
        <v>0.84699999999999998</v>
      </c>
      <c r="H22" s="4">
        <f>65.4/1440</f>
        <v>4.5416666666666668E-2</v>
      </c>
      <c r="I22" s="5">
        <v>8.7999999999999995E-2</v>
      </c>
      <c r="J22" s="11" t="s">
        <v>1763</v>
      </c>
    </row>
    <row r="23" spans="1:10" x14ac:dyDescent="0.25">
      <c r="A23">
        <f t="shared" si="2"/>
        <v>18</v>
      </c>
      <c r="B23" t="s">
        <v>1623</v>
      </c>
      <c r="C23" s="2">
        <v>0.5444444444444444</v>
      </c>
      <c r="D23" s="4">
        <f t="shared" si="0"/>
        <v>0.11111111111111105</v>
      </c>
      <c r="E23" s="6">
        <v>0.43333333333333335</v>
      </c>
      <c r="F23" s="5">
        <f t="shared" si="1"/>
        <v>0.79591836734693888</v>
      </c>
      <c r="G23" s="5">
        <v>0.873</v>
      </c>
      <c r="H23" s="4">
        <f>75.7/1440</f>
        <v>5.2569444444444446E-2</v>
      </c>
      <c r="I23" s="5">
        <v>0.106</v>
      </c>
      <c r="J23" s="11" t="s">
        <v>1614</v>
      </c>
    </row>
    <row r="24" spans="1:10" x14ac:dyDescent="0.25">
      <c r="A24">
        <f t="shared" si="2"/>
        <v>19</v>
      </c>
      <c r="B24" t="s">
        <v>1582</v>
      </c>
      <c r="C24" s="2">
        <v>0.58819444444444446</v>
      </c>
      <c r="D24" s="4">
        <f t="shared" si="0"/>
        <v>0.15694444444444444</v>
      </c>
      <c r="E24" s="6">
        <v>0.43125000000000002</v>
      </c>
      <c r="F24" s="5">
        <f t="shared" si="1"/>
        <v>0.73317591499409684</v>
      </c>
      <c r="G24" s="5">
        <v>0.86599999999999999</v>
      </c>
      <c r="H24" s="4">
        <f>77.6/1440</f>
        <v>5.3888888888888882E-2</v>
      </c>
      <c r="I24" s="5">
        <v>0.108</v>
      </c>
      <c r="J24" s="11" t="s">
        <v>1586</v>
      </c>
    </row>
    <row r="25" spans="1:10" x14ac:dyDescent="0.25">
      <c r="A25">
        <f t="shared" si="2"/>
        <v>20</v>
      </c>
      <c r="B25" t="s">
        <v>428</v>
      </c>
      <c r="C25" s="2">
        <v>0.59444444444444444</v>
      </c>
      <c r="D25" s="4">
        <f t="shared" si="0"/>
        <v>0.16319444444444448</v>
      </c>
      <c r="E25" s="6">
        <v>0.43124999999999997</v>
      </c>
      <c r="F25" s="5">
        <f t="shared" si="1"/>
        <v>0.72546728971962615</v>
      </c>
      <c r="G25" s="5">
        <v>0.88700000000000001</v>
      </c>
      <c r="H25" s="4">
        <f>90.5/1440</f>
        <v>6.2847222222222221E-2</v>
      </c>
      <c r="I25" s="5">
        <v>0.129</v>
      </c>
      <c r="J25" s="11" t="s">
        <v>429</v>
      </c>
    </row>
    <row r="26" spans="1:10" x14ac:dyDescent="0.25">
      <c r="A26">
        <f t="shared" si="2"/>
        <v>21</v>
      </c>
      <c r="B26" t="s">
        <v>161</v>
      </c>
      <c r="C26" s="2">
        <v>0.58888888888888891</v>
      </c>
      <c r="D26" s="4">
        <f t="shared" si="0"/>
        <v>0.15833333333333333</v>
      </c>
      <c r="E26" s="6">
        <v>0.43055555555555558</v>
      </c>
      <c r="F26" s="5">
        <f t="shared" si="1"/>
        <v>0.73113207547169812</v>
      </c>
      <c r="G26" s="5">
        <v>0.78900000000000003</v>
      </c>
      <c r="H26" s="4">
        <f>98.4/1440</f>
        <v>6.8333333333333343E-2</v>
      </c>
      <c r="I26" s="5">
        <v>0.125</v>
      </c>
      <c r="J26" s="11" t="s">
        <v>162</v>
      </c>
    </row>
    <row r="27" spans="1:10" x14ac:dyDescent="0.25">
      <c r="A27">
        <f t="shared" si="2"/>
        <v>22</v>
      </c>
      <c r="B27" t="s">
        <v>1523</v>
      </c>
      <c r="C27" s="2">
        <v>0.51666666666666672</v>
      </c>
      <c r="D27" s="4">
        <f t="shared" si="0"/>
        <v>8.8888888888888962E-2</v>
      </c>
      <c r="E27" s="6">
        <v>0.42777777777777776</v>
      </c>
      <c r="F27" s="5">
        <f t="shared" si="1"/>
        <v>0.82795698924731176</v>
      </c>
      <c r="G27" s="5">
        <v>0.85299999999999998</v>
      </c>
      <c r="H27" s="4">
        <f>66.3/1440</f>
        <v>4.6041666666666661E-2</v>
      </c>
      <c r="I27" s="5">
        <v>9.1999999999999998E-2</v>
      </c>
      <c r="J27" s="11" t="s">
        <v>1521</v>
      </c>
    </row>
    <row r="28" spans="1:10" x14ac:dyDescent="0.25">
      <c r="A28">
        <f t="shared" si="2"/>
        <v>23</v>
      </c>
      <c r="B28" t="s">
        <v>412</v>
      </c>
      <c r="C28" s="2">
        <v>0.61388888888888882</v>
      </c>
      <c r="D28" s="4">
        <f t="shared" si="0"/>
        <v>0.1868055555555555</v>
      </c>
      <c r="E28" s="6">
        <v>0.42708333333333331</v>
      </c>
      <c r="F28" s="5">
        <f t="shared" si="1"/>
        <v>0.69570135746606343</v>
      </c>
      <c r="G28" s="5">
        <v>0.84699999999999998</v>
      </c>
      <c r="H28" s="4">
        <f>63.3/1440</f>
        <v>4.3958333333333328E-2</v>
      </c>
      <c r="I28" s="5">
        <v>8.6999999999999994E-2</v>
      </c>
      <c r="J28" s="11" t="s">
        <v>413</v>
      </c>
    </row>
    <row r="29" spans="1:10" x14ac:dyDescent="0.25">
      <c r="A29">
        <f t="shared" si="2"/>
        <v>24</v>
      </c>
      <c r="B29" t="s">
        <v>1329</v>
      </c>
      <c r="C29" s="2">
        <v>0.54166666666666663</v>
      </c>
      <c r="D29" s="4">
        <f t="shared" si="0"/>
        <v>0.11458333333333331</v>
      </c>
      <c r="E29" s="6">
        <v>0.42708333333333331</v>
      </c>
      <c r="F29" s="5">
        <f t="shared" si="1"/>
        <v>0.78846153846153844</v>
      </c>
      <c r="G29" s="5">
        <v>0.77600000000000002</v>
      </c>
      <c r="H29" s="4">
        <f>64.4/1440</f>
        <v>4.4722222222222226E-2</v>
      </c>
      <c r="I29" s="5">
        <v>8.1000000000000003E-2</v>
      </c>
      <c r="J29" s="11" t="s">
        <v>1328</v>
      </c>
    </row>
    <row r="30" spans="1:10" x14ac:dyDescent="0.25">
      <c r="A30">
        <f t="shared" si="2"/>
        <v>25</v>
      </c>
      <c r="B30" t="s">
        <v>1397</v>
      </c>
      <c r="C30" s="2">
        <v>0.56111111111111112</v>
      </c>
      <c r="D30" s="4">
        <f t="shared" si="0"/>
        <v>0.1340277777777778</v>
      </c>
      <c r="E30" s="6">
        <v>0.42708333333333331</v>
      </c>
      <c r="F30" s="5">
        <f t="shared" si="1"/>
        <v>0.76113861386138615</v>
      </c>
      <c r="G30" s="5">
        <v>0.81599999999999995</v>
      </c>
      <c r="H30" s="4">
        <f>86.9/1440</f>
        <v>6.0347222222222226E-2</v>
      </c>
      <c r="I30" s="5">
        <v>0.115</v>
      </c>
      <c r="J30" s="11" t="s">
        <v>1389</v>
      </c>
    </row>
    <row r="31" spans="1:10" x14ac:dyDescent="0.25">
      <c r="A31">
        <f t="shared" si="2"/>
        <v>26</v>
      </c>
      <c r="B31" t="s">
        <v>1584</v>
      </c>
      <c r="C31" s="2">
        <v>0.53125</v>
      </c>
      <c r="D31" s="4">
        <f t="shared" si="0"/>
        <v>0.10555555555555557</v>
      </c>
      <c r="E31" s="6">
        <v>0.42569444444444443</v>
      </c>
      <c r="F31" s="5">
        <f t="shared" si="1"/>
        <v>0.80130718954248359</v>
      </c>
      <c r="G31" s="5">
        <v>0.85499999999999998</v>
      </c>
      <c r="H31" s="4">
        <f>80.8/1440</f>
        <v>5.6111111111111112E-2</v>
      </c>
      <c r="I31" s="5">
        <v>0.113</v>
      </c>
      <c r="J31" s="11" t="s">
        <v>1586</v>
      </c>
    </row>
    <row r="32" spans="1:10" x14ac:dyDescent="0.25">
      <c r="A32">
        <f t="shared" si="2"/>
        <v>27</v>
      </c>
      <c r="B32" t="s">
        <v>1670</v>
      </c>
      <c r="C32" s="2">
        <v>0.54166666666666663</v>
      </c>
      <c r="D32" s="4">
        <f t="shared" si="0"/>
        <v>0.11666666666666664</v>
      </c>
      <c r="E32" s="6">
        <v>0.42499999999999999</v>
      </c>
      <c r="F32" s="5">
        <f t="shared" si="1"/>
        <v>0.7846153846153846</v>
      </c>
      <c r="G32" s="5">
        <v>0.81799999999999995</v>
      </c>
      <c r="H32" s="4">
        <f>65.9/1440</f>
        <v>4.5763888888888896E-2</v>
      </c>
      <c r="I32" s="5">
        <v>8.7999999999999995E-2</v>
      </c>
      <c r="J32" s="11" t="s">
        <v>1662</v>
      </c>
    </row>
    <row r="33" spans="1:10" x14ac:dyDescent="0.25">
      <c r="A33">
        <f t="shared" si="2"/>
        <v>28</v>
      </c>
      <c r="B33" t="s">
        <v>1683</v>
      </c>
      <c r="C33" s="2">
        <v>0.50277777777777777</v>
      </c>
      <c r="D33" s="4">
        <f t="shared" si="0"/>
        <v>7.7777777777777779E-2</v>
      </c>
      <c r="E33" s="6">
        <v>0.42499999999999999</v>
      </c>
      <c r="F33" s="5">
        <f t="shared" si="1"/>
        <v>0.84530386740331487</v>
      </c>
      <c r="G33" s="5">
        <v>1</v>
      </c>
      <c r="H33" s="4">
        <f>150.3/1440</f>
        <v>0.10437500000000001</v>
      </c>
      <c r="I33" s="5">
        <v>0.245</v>
      </c>
      <c r="J33" s="11" t="s">
        <v>1673</v>
      </c>
    </row>
    <row r="34" spans="1:10" x14ac:dyDescent="0.25">
      <c r="A34">
        <f t="shared" si="2"/>
        <v>29</v>
      </c>
      <c r="B34" t="s">
        <v>1178</v>
      </c>
      <c r="C34" s="2">
        <v>0.52222222222222225</v>
      </c>
      <c r="D34" s="4">
        <f t="shared" si="0"/>
        <v>9.7916666666666707E-2</v>
      </c>
      <c r="E34" s="6">
        <v>0.42430555555555555</v>
      </c>
      <c r="F34" s="5">
        <f t="shared" si="1"/>
        <v>0.81249999999999989</v>
      </c>
      <c r="G34" s="5">
        <v>0.86599999999999999</v>
      </c>
      <c r="H34" s="4">
        <f>78.2/1440</f>
        <v>5.4305555555555558E-2</v>
      </c>
      <c r="I34" s="5">
        <v>0.111</v>
      </c>
      <c r="J34" s="11" t="s">
        <v>1152</v>
      </c>
    </row>
    <row r="35" spans="1:10" x14ac:dyDescent="0.25">
      <c r="A35">
        <f t="shared" si="2"/>
        <v>30</v>
      </c>
      <c r="B35" t="s">
        <v>449</v>
      </c>
      <c r="C35" s="2">
        <v>0.56874999999999998</v>
      </c>
      <c r="D35" s="4">
        <f t="shared" si="0"/>
        <v>0.14652777777777776</v>
      </c>
      <c r="E35" s="6">
        <v>0.42222222222222222</v>
      </c>
      <c r="F35" s="5">
        <f t="shared" si="1"/>
        <v>0.7423687423687424</v>
      </c>
      <c r="G35" s="5">
        <v>0.81299999999999994</v>
      </c>
      <c r="H35" s="4">
        <f>72.1/1440</f>
        <v>5.0069444444444437E-2</v>
      </c>
      <c r="I35" s="5">
        <v>9.6000000000000002E-2</v>
      </c>
      <c r="J35" s="11" t="s">
        <v>457</v>
      </c>
    </row>
    <row r="36" spans="1:10" x14ac:dyDescent="0.25">
      <c r="A36">
        <f t="shared" si="2"/>
        <v>31</v>
      </c>
      <c r="B36" t="s">
        <v>1689</v>
      </c>
      <c r="C36" s="2">
        <v>0.54722222222222228</v>
      </c>
      <c r="D36" s="4">
        <f t="shared" si="0"/>
        <v>0.1256944444444445</v>
      </c>
      <c r="E36" s="6">
        <v>0.42152777777777778</v>
      </c>
      <c r="F36" s="5">
        <f t="shared" si="1"/>
        <v>0.77030456852791873</v>
      </c>
      <c r="G36" s="5">
        <v>0.84599999999999997</v>
      </c>
      <c r="H36" s="4">
        <f>67.6/1440</f>
        <v>4.6944444444444441E-2</v>
      </c>
      <c r="I36" s="5">
        <v>9.4E-2</v>
      </c>
      <c r="J36" s="11" t="s">
        <v>1684</v>
      </c>
    </row>
    <row r="37" spans="1:10" x14ac:dyDescent="0.25">
      <c r="A37">
        <f t="shared" si="2"/>
        <v>32</v>
      </c>
      <c r="B37" t="s">
        <v>508</v>
      </c>
      <c r="C37" s="2">
        <v>0.56458333333333333</v>
      </c>
      <c r="D37" s="4">
        <f t="shared" si="0"/>
        <v>0.14444444444444443</v>
      </c>
      <c r="E37" s="6">
        <v>0.4201388888888889</v>
      </c>
      <c r="F37" s="5">
        <f t="shared" si="1"/>
        <v>0.74415744157441577</v>
      </c>
      <c r="G37" s="5">
        <v>0.69</v>
      </c>
      <c r="H37" s="4">
        <f>48.3/1440</f>
        <v>3.3541666666666664E-2</v>
      </c>
      <c r="I37" s="5">
        <v>5.5E-2</v>
      </c>
      <c r="J37" s="11" t="s">
        <v>511</v>
      </c>
    </row>
    <row r="38" spans="1:10" x14ac:dyDescent="0.25">
      <c r="A38">
        <f t="shared" si="2"/>
        <v>33</v>
      </c>
      <c r="B38" t="s">
        <v>53</v>
      </c>
      <c r="C38" s="2">
        <v>0.54375000000000007</v>
      </c>
      <c r="D38" s="4">
        <f t="shared" ref="D38:D55" si="3">C38-E38</f>
        <v>0.12500000000000006</v>
      </c>
      <c r="E38" s="6">
        <v>0.41875000000000001</v>
      </c>
      <c r="F38" s="5">
        <f t="shared" ref="F38:F69" si="4">E38/C38</f>
        <v>0.77011494252873558</v>
      </c>
      <c r="G38" s="5">
        <v>0.79600000000000004</v>
      </c>
      <c r="H38" s="4">
        <f>98.2/1440</f>
        <v>6.8194444444444446E-2</v>
      </c>
      <c r="I38" s="5">
        <v>0.129</v>
      </c>
      <c r="J38" s="11" t="s">
        <v>116</v>
      </c>
    </row>
    <row r="39" spans="1:10" x14ac:dyDescent="0.25">
      <c r="A39">
        <f t="shared" si="2"/>
        <v>34</v>
      </c>
      <c r="B39" t="s">
        <v>1781</v>
      </c>
      <c r="C39" s="2">
        <v>0.53749999999999998</v>
      </c>
      <c r="D39" s="4">
        <f t="shared" si="3"/>
        <v>0.11874999999999997</v>
      </c>
      <c r="E39" s="6">
        <v>0.41875000000000001</v>
      </c>
      <c r="F39" s="5">
        <f t="shared" si="4"/>
        <v>0.77906976744186052</v>
      </c>
      <c r="G39" s="5">
        <v>1</v>
      </c>
      <c r="H39" s="4">
        <f>82.9/1440</f>
        <v>5.7569444444444451E-2</v>
      </c>
      <c r="I39" s="5">
        <v>0.13700000000000001</v>
      </c>
      <c r="J39" s="11" t="s">
        <v>1774</v>
      </c>
    </row>
    <row r="40" spans="1:10" x14ac:dyDescent="0.25">
      <c r="A40">
        <f t="shared" si="2"/>
        <v>35</v>
      </c>
      <c r="B40" t="s">
        <v>1622</v>
      </c>
      <c r="C40" s="2">
        <v>0.54374999999999996</v>
      </c>
      <c r="D40" s="4">
        <f t="shared" si="3"/>
        <v>0.12569444444444439</v>
      </c>
      <c r="E40" s="6">
        <v>0.41805555555555557</v>
      </c>
      <c r="F40" s="5">
        <f t="shared" si="4"/>
        <v>0.76883780332056206</v>
      </c>
      <c r="G40" s="5">
        <v>0.83499999999999996</v>
      </c>
      <c r="H40" s="4">
        <f>65.5/1440</f>
        <v>4.5486111111111109E-2</v>
      </c>
      <c r="I40" s="5">
        <v>9.0999999999999998E-2</v>
      </c>
      <c r="J40" s="11" t="s">
        <v>1614</v>
      </c>
    </row>
    <row r="41" spans="1:10" x14ac:dyDescent="0.25">
      <c r="A41">
        <f t="shared" si="2"/>
        <v>36</v>
      </c>
      <c r="B41" t="s">
        <v>1398</v>
      </c>
      <c r="C41" s="2">
        <v>0.51527777777777772</v>
      </c>
      <c r="D41" s="4">
        <f t="shared" si="3"/>
        <v>9.7916666666666596E-2</v>
      </c>
      <c r="E41" s="6">
        <v>0.41736111111111113</v>
      </c>
      <c r="F41" s="5">
        <f t="shared" si="4"/>
        <v>0.8099730458221025</v>
      </c>
      <c r="G41" s="5">
        <v>0.751</v>
      </c>
      <c r="H41" s="4">
        <f>58.4/1440</f>
        <v>4.0555555555555553E-2</v>
      </c>
      <c r="I41" s="5">
        <v>9.6000000000000002E-2</v>
      </c>
      <c r="J41" s="11" t="s">
        <v>1389</v>
      </c>
    </row>
    <row r="42" spans="1:10" x14ac:dyDescent="0.25">
      <c r="A42">
        <f t="shared" si="2"/>
        <v>37</v>
      </c>
      <c r="B42" t="s">
        <v>888</v>
      </c>
      <c r="C42" s="2">
        <v>0.53125</v>
      </c>
      <c r="D42" s="4">
        <f t="shared" si="3"/>
        <v>0.11527777777777776</v>
      </c>
      <c r="E42" s="6">
        <v>0.41597222222222224</v>
      </c>
      <c r="F42" s="5">
        <f t="shared" si="4"/>
        <v>0.78300653594771241</v>
      </c>
      <c r="G42" s="5">
        <v>0.88</v>
      </c>
      <c r="H42" s="4">
        <f>58.5/1440</f>
        <v>4.0625000000000001E-2</v>
      </c>
      <c r="I42" s="5">
        <v>8.5999999999999993E-2</v>
      </c>
      <c r="J42" s="11" t="s">
        <v>890</v>
      </c>
    </row>
    <row r="43" spans="1:10" x14ac:dyDescent="0.25">
      <c r="A43">
        <f t="shared" si="2"/>
        <v>38</v>
      </c>
      <c r="B43" t="s">
        <v>1583</v>
      </c>
      <c r="C43" s="2">
        <v>0.53680555555555554</v>
      </c>
      <c r="D43" s="4">
        <f t="shared" si="3"/>
        <v>0.12152777777777773</v>
      </c>
      <c r="E43" s="6">
        <v>0.4152777777777778</v>
      </c>
      <c r="F43" s="5">
        <f t="shared" si="4"/>
        <v>0.77360931435963787</v>
      </c>
      <c r="G43" s="5">
        <v>0.85799999999999998</v>
      </c>
      <c r="H43" s="4">
        <f>68.4/1440</f>
        <v>4.7500000000000001E-2</v>
      </c>
      <c r="I43" s="5">
        <v>9.8000000000000004E-2</v>
      </c>
      <c r="J43" s="11" t="s">
        <v>1586</v>
      </c>
    </row>
    <row r="44" spans="1:10" x14ac:dyDescent="0.25">
      <c r="A44">
        <f t="shared" si="2"/>
        <v>39</v>
      </c>
      <c r="B44" t="s">
        <v>1660</v>
      </c>
      <c r="C44" s="2">
        <v>0.49305555555555558</v>
      </c>
      <c r="D44" s="4">
        <f t="shared" si="3"/>
        <v>7.7777777777777779E-2</v>
      </c>
      <c r="E44" s="6">
        <v>0.4152777777777778</v>
      </c>
      <c r="F44" s="5">
        <f t="shared" si="4"/>
        <v>0.84225352112676055</v>
      </c>
      <c r="G44" s="5">
        <v>0.84899999999999998</v>
      </c>
      <c r="H44" s="4">
        <f>75.5/1440</f>
        <v>5.2430555555555557E-2</v>
      </c>
      <c r="I44" s="5">
        <v>0.107</v>
      </c>
      <c r="J44" s="11" t="s">
        <v>1650</v>
      </c>
    </row>
    <row r="45" spans="1:10" x14ac:dyDescent="0.25">
      <c r="A45">
        <f t="shared" si="2"/>
        <v>40</v>
      </c>
      <c r="B45" t="s">
        <v>216</v>
      </c>
      <c r="C45" s="2">
        <v>0.46458333333333335</v>
      </c>
      <c r="D45" s="4">
        <f t="shared" si="3"/>
        <v>5.0694444444444431E-2</v>
      </c>
      <c r="E45" s="6">
        <v>0.41388888888888892</v>
      </c>
      <c r="F45" s="5">
        <f t="shared" si="4"/>
        <v>0.89088191330343802</v>
      </c>
      <c r="G45" s="5">
        <v>0.79400000000000004</v>
      </c>
      <c r="H45" s="4">
        <f>78.6/1440</f>
        <v>5.4583333333333331E-2</v>
      </c>
      <c r="I45" s="5">
        <v>0.105</v>
      </c>
      <c r="J45" s="11" t="s">
        <v>217</v>
      </c>
    </row>
    <row r="46" spans="1:10" x14ac:dyDescent="0.25">
      <c r="A46">
        <f t="shared" si="2"/>
        <v>41</v>
      </c>
      <c r="B46" t="s">
        <v>1327</v>
      </c>
      <c r="C46" s="2">
        <v>0.52013888888888893</v>
      </c>
      <c r="D46" s="4">
        <f t="shared" si="3"/>
        <v>0.10694444444444451</v>
      </c>
      <c r="E46" s="6">
        <v>0.41319444444444442</v>
      </c>
      <c r="F46" s="5">
        <f t="shared" si="4"/>
        <v>0.79439252336448585</v>
      </c>
      <c r="G46" s="5">
        <v>0.77</v>
      </c>
      <c r="H46" s="4">
        <f>64.7/1440</f>
        <v>4.4930555555555557E-2</v>
      </c>
      <c r="I46" s="5">
        <v>8.4000000000000005E-2</v>
      </c>
      <c r="J46" s="11" t="s">
        <v>1328</v>
      </c>
    </row>
    <row r="47" spans="1:10" x14ac:dyDescent="0.25">
      <c r="A47">
        <f t="shared" si="2"/>
        <v>42</v>
      </c>
      <c r="B47" t="s">
        <v>1524</v>
      </c>
      <c r="C47" s="2">
        <v>0.48541666666666666</v>
      </c>
      <c r="D47" s="4">
        <f t="shared" si="3"/>
        <v>7.2222222222222243E-2</v>
      </c>
      <c r="E47" s="6">
        <v>0.41319444444444442</v>
      </c>
      <c r="F47" s="5">
        <f t="shared" si="4"/>
        <v>0.85121602288984255</v>
      </c>
      <c r="G47" s="5">
        <v>0.86799999999999999</v>
      </c>
      <c r="H47" s="4">
        <f>76/1440</f>
        <v>5.2777777777777778E-2</v>
      </c>
      <c r="I47" s="5">
        <v>0.111</v>
      </c>
      <c r="J47" s="11" t="s">
        <v>1521</v>
      </c>
    </row>
    <row r="48" spans="1:10" x14ac:dyDescent="0.25">
      <c r="A48">
        <f t="shared" si="2"/>
        <v>43</v>
      </c>
      <c r="B48" t="s">
        <v>1784</v>
      </c>
      <c r="C48" s="2">
        <v>0.53472222222222221</v>
      </c>
      <c r="D48" s="4">
        <f t="shared" si="3"/>
        <v>0.12152777777777779</v>
      </c>
      <c r="E48" s="6">
        <v>0.41319444444444442</v>
      </c>
      <c r="F48" s="5">
        <f t="shared" si="4"/>
        <v>0.77272727272727271</v>
      </c>
      <c r="G48" s="5">
        <v>1</v>
      </c>
      <c r="H48" s="4">
        <f>80.7/1440</f>
        <v>5.604166666666667E-2</v>
      </c>
      <c r="I48" s="5">
        <v>0.13600000000000001</v>
      </c>
      <c r="J48" s="11" t="s">
        <v>1775</v>
      </c>
    </row>
    <row r="49" spans="1:10" x14ac:dyDescent="0.25">
      <c r="A49">
        <f t="shared" si="2"/>
        <v>44</v>
      </c>
      <c r="B49" t="s">
        <v>1382</v>
      </c>
      <c r="C49" s="2">
        <v>0.49513888888888891</v>
      </c>
      <c r="D49" s="4">
        <f t="shared" si="3"/>
        <v>8.4027777777777812E-2</v>
      </c>
      <c r="E49" s="6">
        <v>0.41111111111111109</v>
      </c>
      <c r="F49" s="5">
        <f t="shared" si="4"/>
        <v>0.83029453015427768</v>
      </c>
      <c r="G49" s="5">
        <v>0.77700000000000002</v>
      </c>
      <c r="H49" s="4">
        <f>70.8/1440</f>
        <v>4.9166666666666664E-2</v>
      </c>
      <c r="I49" s="5">
        <v>9.2999999999999999E-2</v>
      </c>
      <c r="J49" s="11" t="s">
        <v>1367</v>
      </c>
    </row>
    <row r="50" spans="1:10" x14ac:dyDescent="0.25">
      <c r="A50">
        <f t="shared" si="2"/>
        <v>45</v>
      </c>
      <c r="B50" t="s">
        <v>1653</v>
      </c>
      <c r="C50" s="2">
        <v>0.51388888888888884</v>
      </c>
      <c r="D50" s="4">
        <f t="shared" si="3"/>
        <v>0.10347222222222219</v>
      </c>
      <c r="E50" s="6">
        <v>0.41041666666666665</v>
      </c>
      <c r="F50" s="5">
        <f t="shared" si="4"/>
        <v>0.79864864864864871</v>
      </c>
      <c r="G50" s="5">
        <v>0.85899999999999999</v>
      </c>
      <c r="H50" s="4">
        <f>77.7/1440</f>
        <v>5.3958333333333337E-2</v>
      </c>
      <c r="I50" s="5">
        <v>0.113</v>
      </c>
      <c r="J50" s="11" t="s">
        <v>1649</v>
      </c>
    </row>
    <row r="51" spans="1:10" x14ac:dyDescent="0.25">
      <c r="A51">
        <f t="shared" si="2"/>
        <v>46</v>
      </c>
      <c r="B51" t="s">
        <v>879</v>
      </c>
      <c r="C51" s="2">
        <v>0.53611111111111109</v>
      </c>
      <c r="D51" s="4">
        <f t="shared" si="3"/>
        <v>0.12638888888888888</v>
      </c>
      <c r="E51" s="6">
        <v>0.40972222222222221</v>
      </c>
      <c r="F51" s="5">
        <f t="shared" si="4"/>
        <v>0.76424870466321249</v>
      </c>
      <c r="G51" s="5">
        <v>0.83299999999999996</v>
      </c>
      <c r="H51" s="4">
        <f>65/1440</f>
        <v>4.5138888888888888E-2</v>
      </c>
      <c r="I51" s="5">
        <v>9.1999999999999998E-2</v>
      </c>
      <c r="J51" s="11" t="s">
        <v>889</v>
      </c>
    </row>
    <row r="52" spans="1:10" x14ac:dyDescent="0.25">
      <c r="A52">
        <f t="shared" si="2"/>
        <v>47</v>
      </c>
      <c r="B52" t="s">
        <v>881</v>
      </c>
      <c r="C52" s="2">
        <v>0.5229166666666667</v>
      </c>
      <c r="D52" s="4">
        <f t="shared" si="3"/>
        <v>0.11319444444444449</v>
      </c>
      <c r="E52" s="6">
        <v>0.40972222222222221</v>
      </c>
      <c r="F52" s="5">
        <f t="shared" si="4"/>
        <v>0.7835325365205843</v>
      </c>
      <c r="G52" s="5">
        <v>0.8</v>
      </c>
      <c r="H52" s="4">
        <f>65.2/1440</f>
        <v>4.5277777777777778E-2</v>
      </c>
      <c r="I52" s="5">
        <v>8.7999999999999995E-2</v>
      </c>
      <c r="J52" s="11" t="s">
        <v>889</v>
      </c>
    </row>
    <row r="53" spans="1:10" x14ac:dyDescent="0.25">
      <c r="A53">
        <f t="shared" si="2"/>
        <v>48</v>
      </c>
      <c r="B53" t="s">
        <v>1040</v>
      </c>
      <c r="C53" s="2">
        <v>0.52986111111111112</v>
      </c>
      <c r="D53" s="4">
        <f t="shared" si="3"/>
        <v>0.12083333333333335</v>
      </c>
      <c r="E53" s="6">
        <v>0.40902777777777777</v>
      </c>
      <c r="F53" s="5">
        <f t="shared" si="4"/>
        <v>0.77195281782437741</v>
      </c>
      <c r="G53" s="5">
        <v>0.78500000000000003</v>
      </c>
      <c r="H53" s="4">
        <f>59.4/1440</f>
        <v>4.1250000000000002E-2</v>
      </c>
      <c r="I53" s="5">
        <v>7.9000000000000001E-2</v>
      </c>
      <c r="J53" s="11" t="s">
        <v>1035</v>
      </c>
    </row>
    <row r="54" spans="1:10" x14ac:dyDescent="0.25">
      <c r="A54">
        <f t="shared" si="2"/>
        <v>49</v>
      </c>
      <c r="B54" t="s">
        <v>1045</v>
      </c>
      <c r="C54" s="2">
        <v>0.52152777777777781</v>
      </c>
      <c r="D54" s="4">
        <f t="shared" si="3"/>
        <v>0.11250000000000004</v>
      </c>
      <c r="E54" s="6">
        <v>0.40902777777777777</v>
      </c>
      <c r="F54" s="5">
        <f t="shared" si="4"/>
        <v>0.78428761651131818</v>
      </c>
      <c r="G54" s="5">
        <v>0.84</v>
      </c>
      <c r="H54" s="4">
        <f>57/1440</f>
        <v>3.9583333333333331E-2</v>
      </c>
      <c r="I54" s="5">
        <v>8.1000000000000003E-2</v>
      </c>
      <c r="J54" s="11" t="s">
        <v>1036</v>
      </c>
    </row>
    <row r="55" spans="1:10" x14ac:dyDescent="0.25">
      <c r="A55">
        <f t="shared" si="2"/>
        <v>50</v>
      </c>
      <c r="B55" t="s">
        <v>491</v>
      </c>
      <c r="C55" s="2">
        <v>0.57708333333333328</v>
      </c>
      <c r="D55" s="4">
        <f t="shared" si="3"/>
        <v>0.1694444444444444</v>
      </c>
      <c r="E55" s="6">
        <v>0.40763888888888888</v>
      </c>
      <c r="F55" s="5">
        <f t="shared" si="4"/>
        <v>0.70637785800240682</v>
      </c>
      <c r="G55" s="5">
        <v>0.81200000000000006</v>
      </c>
      <c r="H55" s="4">
        <f>78.7/1440</f>
        <v>5.4652777777777779E-2</v>
      </c>
      <c r="I55" s="5">
        <v>0.109</v>
      </c>
      <c r="J55" s="11" t="s">
        <v>492</v>
      </c>
    </row>
    <row r="56" spans="1:10" x14ac:dyDescent="0.25">
      <c r="A56">
        <f t="shared" si="2"/>
        <v>51</v>
      </c>
      <c r="B56" t="s">
        <v>1434</v>
      </c>
      <c r="C56" s="2">
        <v>0.51527777777777772</v>
      </c>
      <c r="D56" s="4">
        <v>0.10347222222222222</v>
      </c>
      <c r="E56" s="6">
        <v>0.40763888888888888</v>
      </c>
      <c r="F56" s="5">
        <f t="shared" si="4"/>
        <v>0.79110512129380062</v>
      </c>
      <c r="G56" s="5">
        <v>0.81</v>
      </c>
      <c r="H56" s="4">
        <f>66.2/1440</f>
        <v>4.5972222222222227E-2</v>
      </c>
      <c r="I56" s="5">
        <v>9.0999999999999998E-2</v>
      </c>
      <c r="J56" s="11" t="s">
        <v>1433</v>
      </c>
    </row>
    <row r="57" spans="1:10" x14ac:dyDescent="0.25">
      <c r="A57">
        <f t="shared" si="2"/>
        <v>52</v>
      </c>
      <c r="B57" t="s">
        <v>1174</v>
      </c>
      <c r="C57" s="2">
        <v>0.52430555555555558</v>
      </c>
      <c r="D57" s="4">
        <f>C57-E57</f>
        <v>0.11736111111111114</v>
      </c>
      <c r="E57" s="6">
        <v>0.40694444444444444</v>
      </c>
      <c r="F57" s="5">
        <f t="shared" si="4"/>
        <v>0.776158940397351</v>
      </c>
      <c r="G57" s="5">
        <v>0.79500000000000004</v>
      </c>
      <c r="H57" s="4">
        <f>65.87/1440</f>
        <v>4.5743055555555558E-2</v>
      </c>
      <c r="I57" s="5">
        <v>8.8999999999999996E-2</v>
      </c>
      <c r="J57" s="11" t="s">
        <v>1151</v>
      </c>
    </row>
    <row r="58" spans="1:10" x14ac:dyDescent="0.25">
      <c r="A58">
        <f t="shared" si="2"/>
        <v>53</v>
      </c>
      <c r="B58" t="s">
        <v>1332</v>
      </c>
      <c r="C58" s="2">
        <v>0.51388888888888884</v>
      </c>
      <c r="D58" s="4">
        <f>C58-E58</f>
        <v>0.1069444444444444</v>
      </c>
      <c r="E58" s="6">
        <v>0.40694444444444444</v>
      </c>
      <c r="F58" s="5">
        <f t="shared" si="4"/>
        <v>0.79189189189189191</v>
      </c>
      <c r="G58" s="5">
        <v>0.76700000000000002</v>
      </c>
      <c r="H58" s="4">
        <f>65.4/1440</f>
        <v>4.5416666666666668E-2</v>
      </c>
      <c r="I58" s="5">
        <v>8.5999999999999993E-2</v>
      </c>
      <c r="J58" s="11" t="s">
        <v>1328</v>
      </c>
    </row>
    <row r="59" spans="1:10" x14ac:dyDescent="0.25">
      <c r="A59">
        <f t="shared" si="2"/>
        <v>54</v>
      </c>
      <c r="B59" t="s">
        <v>1618</v>
      </c>
      <c r="C59" s="2">
        <v>0.5229166666666667</v>
      </c>
      <c r="D59" s="4">
        <f>C59-E59</f>
        <v>0.11597222222222225</v>
      </c>
      <c r="E59" s="6">
        <v>0.40694444444444444</v>
      </c>
      <c r="F59" s="5">
        <f t="shared" si="4"/>
        <v>0.77822045152722441</v>
      </c>
      <c r="G59" s="5">
        <v>0.79800000000000004</v>
      </c>
      <c r="H59" s="4">
        <f>60.2/1440</f>
        <v>4.1805555555555554E-2</v>
      </c>
      <c r="I59" s="5">
        <v>8.2000000000000003E-2</v>
      </c>
      <c r="J59" s="11" t="s">
        <v>1613</v>
      </c>
    </row>
    <row r="60" spans="1:10" x14ac:dyDescent="0.25">
      <c r="A60">
        <f t="shared" si="2"/>
        <v>55</v>
      </c>
      <c r="B60" t="s">
        <v>1435</v>
      </c>
      <c r="C60" s="2">
        <v>0.51944444444444449</v>
      </c>
      <c r="D60" s="4">
        <v>0.10347222222222222</v>
      </c>
      <c r="E60" s="6">
        <v>0.40555555555555556</v>
      </c>
      <c r="F60" s="5">
        <f t="shared" si="4"/>
        <v>0.78074866310160418</v>
      </c>
      <c r="G60" s="5">
        <v>0.82299999999999995</v>
      </c>
      <c r="H60" s="4">
        <f>65/1440</f>
        <v>4.5138888888888888E-2</v>
      </c>
      <c r="I60" s="5">
        <v>9.1999999999999998E-2</v>
      </c>
      <c r="J60" s="11" t="s">
        <v>1433</v>
      </c>
    </row>
    <row r="61" spans="1:10" x14ac:dyDescent="0.25">
      <c r="A61">
        <f t="shared" si="2"/>
        <v>56</v>
      </c>
      <c r="B61" t="s">
        <v>987</v>
      </c>
      <c r="C61" s="2">
        <v>0.57152777777777775</v>
      </c>
      <c r="D61" s="4">
        <f t="shared" ref="D61:D73" si="5">C61-E61</f>
        <v>0.16736111111111107</v>
      </c>
      <c r="E61" s="6">
        <v>0.40416666666666667</v>
      </c>
      <c r="F61" s="5">
        <f t="shared" si="4"/>
        <v>0.70716889428918595</v>
      </c>
      <c r="G61" s="5">
        <v>0.86099999999999999</v>
      </c>
      <c r="H61" s="4">
        <f>52.3/1440</f>
        <v>3.6319444444444446E-2</v>
      </c>
      <c r="I61" s="5">
        <v>7.6999999999999999E-2</v>
      </c>
      <c r="J61" s="11" t="s">
        <v>985</v>
      </c>
    </row>
    <row r="62" spans="1:10" x14ac:dyDescent="0.25">
      <c r="A62">
        <f t="shared" si="2"/>
        <v>57</v>
      </c>
      <c r="B62" t="s">
        <v>1786</v>
      </c>
      <c r="C62" s="2">
        <v>0.5131944444444444</v>
      </c>
      <c r="D62" s="4">
        <f t="shared" si="5"/>
        <v>0.10902777777777772</v>
      </c>
      <c r="E62" s="6">
        <v>0.40416666666666667</v>
      </c>
      <c r="F62" s="5">
        <f t="shared" si="4"/>
        <v>0.78755074424898519</v>
      </c>
      <c r="G62" s="5">
        <v>1</v>
      </c>
      <c r="H62" s="4">
        <f>75.8/1440</f>
        <v>5.2638888888888888E-2</v>
      </c>
      <c r="I62" s="5">
        <v>0.13</v>
      </c>
      <c r="J62" s="11" t="s">
        <v>1775</v>
      </c>
    </row>
    <row r="63" spans="1:10" x14ac:dyDescent="0.25">
      <c r="A63">
        <f t="shared" si="2"/>
        <v>58</v>
      </c>
      <c r="B63" t="s">
        <v>203</v>
      </c>
      <c r="C63" s="2">
        <v>0.54861111111111105</v>
      </c>
      <c r="D63" s="4">
        <f t="shared" si="5"/>
        <v>0.14444444444444443</v>
      </c>
      <c r="E63" s="6">
        <v>0.40416666666666662</v>
      </c>
      <c r="F63" s="5">
        <f t="shared" si="4"/>
        <v>0.73670886075949371</v>
      </c>
      <c r="G63" s="5">
        <v>0.82899999999999996</v>
      </c>
      <c r="H63" s="4">
        <f>81.2/1440</f>
        <v>5.6388888888888891E-2</v>
      </c>
      <c r="I63" s="5">
        <v>0.115</v>
      </c>
      <c r="J63" s="11" t="s">
        <v>205</v>
      </c>
    </row>
    <row r="64" spans="1:10" x14ac:dyDescent="0.25">
      <c r="A64">
        <f t="shared" si="2"/>
        <v>59</v>
      </c>
      <c r="B64" t="s">
        <v>377</v>
      </c>
      <c r="C64" s="2">
        <v>0.54999999999999993</v>
      </c>
      <c r="D64" s="4">
        <f t="shared" si="5"/>
        <v>0.1465277777777777</v>
      </c>
      <c r="E64" s="6">
        <v>0.40347222222222223</v>
      </c>
      <c r="F64" s="5">
        <f t="shared" si="4"/>
        <v>0.73358585858585867</v>
      </c>
      <c r="G64" s="5">
        <v>0.73899999999999999</v>
      </c>
      <c r="H64" s="4">
        <f>66.4/1440</f>
        <v>4.6111111111111117E-2</v>
      </c>
      <c r="I64" s="5">
        <v>8.4000000000000005E-2</v>
      </c>
      <c r="J64" s="11" t="s">
        <v>380</v>
      </c>
    </row>
    <row r="65" spans="1:10" x14ac:dyDescent="0.25">
      <c r="A65">
        <f t="shared" si="2"/>
        <v>60</v>
      </c>
      <c r="B65" t="s">
        <v>1621</v>
      </c>
      <c r="C65" s="2">
        <v>0.55347222222222225</v>
      </c>
      <c r="D65" s="4">
        <f t="shared" si="5"/>
        <v>0.15069444444444446</v>
      </c>
      <c r="E65" s="6">
        <v>0.40277777777777779</v>
      </c>
      <c r="F65" s="5">
        <f t="shared" si="4"/>
        <v>0.7277289836888331</v>
      </c>
      <c r="G65" s="5">
        <v>0.84199999999999997</v>
      </c>
      <c r="H65" s="4">
        <f>74/1440</f>
        <v>5.1388888888888887E-2</v>
      </c>
      <c r="I65" s="5">
        <v>0.107</v>
      </c>
      <c r="J65" s="11" t="s">
        <v>1614</v>
      </c>
    </row>
    <row r="66" spans="1:10" x14ac:dyDescent="0.25">
      <c r="A66">
        <f t="shared" si="2"/>
        <v>61</v>
      </c>
      <c r="B66" t="s">
        <v>1690</v>
      </c>
      <c r="C66" s="2">
        <v>0.50902777777777775</v>
      </c>
      <c r="D66" s="4">
        <f t="shared" si="5"/>
        <v>0.10624999999999996</v>
      </c>
      <c r="E66" s="6">
        <v>0.40277777777777779</v>
      </c>
      <c r="F66" s="5">
        <f t="shared" si="4"/>
        <v>0.79126875852660306</v>
      </c>
      <c r="G66" s="5">
        <v>0.83399999999999996</v>
      </c>
      <c r="H66" s="4">
        <f>61.1/1440</f>
        <v>4.2430555555555555E-2</v>
      </c>
      <c r="I66" s="5">
        <v>8.7999999999999995E-2</v>
      </c>
      <c r="J66" s="11" t="s">
        <v>1684</v>
      </c>
    </row>
    <row r="67" spans="1:10" x14ac:dyDescent="0.25">
      <c r="A67">
        <f t="shared" si="2"/>
        <v>62</v>
      </c>
      <c r="B67" t="s">
        <v>1495</v>
      </c>
      <c r="C67" s="2">
        <v>0.52222222222222225</v>
      </c>
      <c r="D67" s="4">
        <f t="shared" si="5"/>
        <v>0.12013888888888891</v>
      </c>
      <c r="E67" s="6">
        <v>0.40208333333333335</v>
      </c>
      <c r="F67" s="5">
        <f t="shared" si="4"/>
        <v>0.76994680851063824</v>
      </c>
      <c r="G67" s="5">
        <v>0.82699999999999996</v>
      </c>
      <c r="H67" s="4">
        <f>66.4/1440</f>
        <v>4.6111111111111117E-2</v>
      </c>
      <c r="I67" s="5">
        <v>9.5000000000000001E-2</v>
      </c>
      <c r="J67" s="11" t="s">
        <v>1492</v>
      </c>
    </row>
    <row r="68" spans="1:10" x14ac:dyDescent="0.25">
      <c r="A68">
        <f t="shared" si="2"/>
        <v>63</v>
      </c>
      <c r="B68" t="s">
        <v>1497</v>
      </c>
      <c r="C68" s="2">
        <v>0.52569444444444446</v>
      </c>
      <c r="D68" s="4">
        <f t="shared" si="5"/>
        <v>0.12361111111111112</v>
      </c>
      <c r="E68" s="6">
        <v>0.40208333333333335</v>
      </c>
      <c r="F68" s="5">
        <f t="shared" si="4"/>
        <v>0.76486129458388374</v>
      </c>
      <c r="G68" s="5">
        <v>0.84299999999999997</v>
      </c>
      <c r="H68" s="4">
        <f>72.4/1440</f>
        <v>5.0277777777777782E-2</v>
      </c>
      <c r="I68" s="5">
        <v>0.105</v>
      </c>
      <c r="J68" s="11" t="s">
        <v>1492</v>
      </c>
    </row>
    <row r="69" spans="1:10" x14ac:dyDescent="0.25">
      <c r="A69">
        <f t="shared" si="2"/>
        <v>64</v>
      </c>
      <c r="B69" t="s">
        <v>838</v>
      </c>
      <c r="C69" s="2">
        <v>0.5395833333333333</v>
      </c>
      <c r="D69" s="4">
        <f t="shared" si="5"/>
        <v>0.1381944444444444</v>
      </c>
      <c r="E69" s="6">
        <v>0.40138888888888891</v>
      </c>
      <c r="F69" s="5">
        <f t="shared" si="4"/>
        <v>0.74388674388674392</v>
      </c>
      <c r="G69" s="5">
        <v>0.90700000000000003</v>
      </c>
      <c r="H69" s="4">
        <f>83.5/1440</f>
        <v>5.7986111111111113E-2</v>
      </c>
      <c r="I69" s="5">
        <v>0.13100000000000001</v>
      </c>
      <c r="J69" s="11" t="s">
        <v>840</v>
      </c>
    </row>
    <row r="70" spans="1:10" x14ac:dyDescent="0.25">
      <c r="A70">
        <f t="shared" si="2"/>
        <v>65</v>
      </c>
      <c r="B70" t="s">
        <v>202</v>
      </c>
      <c r="C70" s="2">
        <v>0.53680555555555554</v>
      </c>
      <c r="D70" s="4">
        <f t="shared" si="5"/>
        <v>0.13541666666666669</v>
      </c>
      <c r="E70" s="6">
        <v>0.40138888888888885</v>
      </c>
      <c r="F70" s="5">
        <f t="shared" ref="F70:F73" si="6">E70/C70</f>
        <v>0.74773609314359635</v>
      </c>
      <c r="G70" s="5">
        <v>0.84299999999999997</v>
      </c>
      <c r="H70" s="4">
        <f>77.8/1440</f>
        <v>5.4027777777777779E-2</v>
      </c>
      <c r="I70" s="5">
        <v>0.113</v>
      </c>
      <c r="J70" s="11" t="s">
        <v>204</v>
      </c>
    </row>
    <row r="71" spans="1:10" x14ac:dyDescent="0.25">
      <c r="A71">
        <f t="shared" si="2"/>
        <v>66</v>
      </c>
      <c r="B71" t="s">
        <v>1117</v>
      </c>
      <c r="C71" s="2">
        <v>0.51388888888888884</v>
      </c>
      <c r="D71" s="4">
        <f t="shared" si="5"/>
        <v>0.11319444444444438</v>
      </c>
      <c r="E71" s="6">
        <v>0.40069444444444446</v>
      </c>
      <c r="F71" s="5">
        <f t="shared" si="6"/>
        <v>0.77972972972972987</v>
      </c>
      <c r="G71" s="5">
        <v>0.81200000000000006</v>
      </c>
      <c r="H71" s="4">
        <f>68.6/1440</f>
        <v>4.7638888888888883E-2</v>
      </c>
      <c r="I71" s="5">
        <v>9.7000000000000003E-2</v>
      </c>
      <c r="J71" s="11" t="s">
        <v>1101</v>
      </c>
    </row>
    <row r="72" spans="1:10" x14ac:dyDescent="0.25">
      <c r="A72">
        <f t="shared" si="2"/>
        <v>67</v>
      </c>
      <c r="B72" t="s">
        <v>1041</v>
      </c>
      <c r="C72" s="2">
        <v>0.5083333333333333</v>
      </c>
      <c r="D72" s="4">
        <f t="shared" si="5"/>
        <v>0.10833333333333328</v>
      </c>
      <c r="E72" s="6">
        <v>0.4</v>
      </c>
      <c r="F72" s="5">
        <f t="shared" si="6"/>
        <v>0.78688524590163944</v>
      </c>
      <c r="G72" s="5">
        <v>0.86099999999999999</v>
      </c>
      <c r="H72" s="4">
        <f>58.8/1440</f>
        <v>4.0833333333333333E-2</v>
      </c>
      <c r="I72" s="5">
        <v>8.7999999999999995E-2</v>
      </c>
      <c r="J72" s="11" t="s">
        <v>1035</v>
      </c>
    </row>
    <row r="73" spans="1:10" x14ac:dyDescent="0.25">
      <c r="A73">
        <f t="shared" si="2"/>
        <v>68</v>
      </c>
      <c r="B73" t="s">
        <v>58</v>
      </c>
      <c r="C73" s="2">
        <v>0.55833333333333335</v>
      </c>
      <c r="D73" s="4">
        <f t="shared" si="5"/>
        <v>0.15833333333333338</v>
      </c>
      <c r="E73" s="6">
        <v>0.39999999999999997</v>
      </c>
      <c r="F73" s="5">
        <f t="shared" si="6"/>
        <v>0.71641791044776115</v>
      </c>
      <c r="G73" s="5">
        <v>0.77</v>
      </c>
      <c r="H73" s="4">
        <f>65.9/1440</f>
        <v>4.5763888888888896E-2</v>
      </c>
      <c r="I73" s="5">
        <v>8.7999999999999995E-2</v>
      </c>
      <c r="J73" s="11" t="s">
        <v>121</v>
      </c>
    </row>
    <row r="74" spans="1:10" x14ac:dyDescent="0.25">
      <c r="A74">
        <f t="shared" si="2"/>
        <v>69</v>
      </c>
      <c r="B74" t="s">
        <v>489</v>
      </c>
      <c r="C74" s="2">
        <v>0.52361111111111114</v>
      </c>
      <c r="D74" s="4">
        <v>0.11805555555555555</v>
      </c>
      <c r="E74" s="6">
        <v>0.39999999999999997</v>
      </c>
      <c r="F74" s="5">
        <v>0.66666666666666674</v>
      </c>
      <c r="G74" s="5">
        <v>0.873</v>
      </c>
      <c r="H74" s="4">
        <f>83.5/1440</f>
        <v>5.7986111111111113E-2</v>
      </c>
      <c r="I74" s="5">
        <v>0.127</v>
      </c>
      <c r="J74" s="11" t="s">
        <v>490</v>
      </c>
    </row>
    <row r="75" spans="1:10" x14ac:dyDescent="0.25">
      <c r="A75">
        <f t="shared" si="2"/>
        <v>70</v>
      </c>
      <c r="B75" t="s">
        <v>424</v>
      </c>
      <c r="C75" s="2">
        <v>0.54375000000000007</v>
      </c>
      <c r="D75" s="4">
        <f t="shared" ref="D75:D85" si="7">C75-E75</f>
        <v>0.14444444444444449</v>
      </c>
      <c r="E75" s="6">
        <v>0.39930555555555558</v>
      </c>
      <c r="F75" s="5">
        <f t="shared" ref="F75:F106" si="8">E75/C75</f>
        <v>0.73435504469987223</v>
      </c>
      <c r="G75" s="5">
        <v>0.89600000000000002</v>
      </c>
      <c r="H75" s="4">
        <f>61.6/1440</f>
        <v>4.2777777777777776E-2</v>
      </c>
      <c r="I75" s="5">
        <v>9.6000000000000002E-2</v>
      </c>
      <c r="J75" s="11" t="s">
        <v>425</v>
      </c>
    </row>
    <row r="76" spans="1:10" x14ac:dyDescent="0.25">
      <c r="A76">
        <f t="shared" si="2"/>
        <v>71</v>
      </c>
      <c r="B76" t="s">
        <v>1330</v>
      </c>
      <c r="C76" s="2">
        <v>0.5</v>
      </c>
      <c r="D76" s="4">
        <f t="shared" si="7"/>
        <v>0.10069444444444442</v>
      </c>
      <c r="E76" s="6">
        <v>0.39930555555555558</v>
      </c>
      <c r="F76" s="5">
        <f t="shared" si="8"/>
        <v>0.79861111111111116</v>
      </c>
      <c r="G76" s="5">
        <v>0.76500000000000001</v>
      </c>
      <c r="H76" s="4">
        <f>70.5/1440</f>
        <v>4.8958333333333333E-2</v>
      </c>
      <c r="I76" s="5">
        <v>9.4E-2</v>
      </c>
      <c r="J76" s="11" t="s">
        <v>1328</v>
      </c>
    </row>
    <row r="77" spans="1:10" x14ac:dyDescent="0.25">
      <c r="A77">
        <f t="shared" si="2"/>
        <v>72</v>
      </c>
      <c r="B77" t="s">
        <v>1361</v>
      </c>
      <c r="C77" s="2">
        <v>0.4909722222222222</v>
      </c>
      <c r="D77" s="4">
        <f t="shared" si="7"/>
        <v>9.1666666666666619E-2</v>
      </c>
      <c r="E77" s="6">
        <v>0.39930555555555558</v>
      </c>
      <c r="F77" s="5">
        <f t="shared" si="8"/>
        <v>0.8132956152758134</v>
      </c>
      <c r="G77" s="5">
        <v>0.88</v>
      </c>
      <c r="H77" s="4">
        <f>69.4/1440</f>
        <v>4.8194444444444449E-2</v>
      </c>
      <c r="I77" s="5">
        <v>0.106</v>
      </c>
      <c r="J77" s="11" t="s">
        <v>1360</v>
      </c>
    </row>
    <row r="78" spans="1:10" x14ac:dyDescent="0.25">
      <c r="A78">
        <f t="shared" si="2"/>
        <v>73</v>
      </c>
      <c r="B78" t="s">
        <v>1396</v>
      </c>
      <c r="C78" s="2">
        <v>0.54236111111111107</v>
      </c>
      <c r="D78" s="4">
        <f t="shared" si="7"/>
        <v>0.14305555555555549</v>
      </c>
      <c r="E78" s="6">
        <v>0.39930555555555558</v>
      </c>
      <c r="F78" s="5">
        <f t="shared" si="8"/>
        <v>0.73623559539052508</v>
      </c>
      <c r="G78" s="5">
        <v>0.85799999999999998</v>
      </c>
      <c r="H78" s="4">
        <f>72.3/1440</f>
        <v>5.0208333333333334E-2</v>
      </c>
      <c r="I78" s="5">
        <v>0.108</v>
      </c>
      <c r="J78" s="11" t="s">
        <v>1389</v>
      </c>
    </row>
    <row r="79" spans="1:10" x14ac:dyDescent="0.25">
      <c r="A79">
        <f t="shared" si="2"/>
        <v>74</v>
      </c>
      <c r="B79" t="s">
        <v>1692</v>
      </c>
      <c r="C79" s="2">
        <v>0.53541666666666665</v>
      </c>
      <c r="D79" s="4">
        <f t="shared" si="7"/>
        <v>0.13680555555555551</v>
      </c>
      <c r="E79" s="6">
        <v>0.39861111111111114</v>
      </c>
      <c r="F79" s="5">
        <f t="shared" si="8"/>
        <v>0.74448767833981844</v>
      </c>
      <c r="G79" s="5">
        <v>0.77200000000000002</v>
      </c>
      <c r="H79" s="4">
        <f>83/1440</f>
        <v>5.7638888888888892E-2</v>
      </c>
      <c r="I79" s="5">
        <v>0.112</v>
      </c>
      <c r="J79" s="11" t="s">
        <v>1685</v>
      </c>
    </row>
    <row r="80" spans="1:10" x14ac:dyDescent="0.25">
      <c r="A80">
        <f t="shared" si="2"/>
        <v>75</v>
      </c>
      <c r="B80" t="s">
        <v>1783</v>
      </c>
      <c r="C80" s="2">
        <v>0.50972222222222219</v>
      </c>
      <c r="D80" s="4">
        <f t="shared" si="7"/>
        <v>0.11111111111111105</v>
      </c>
      <c r="E80" s="6">
        <v>0.39861111111111114</v>
      </c>
      <c r="F80" s="5">
        <f t="shared" si="8"/>
        <v>0.78201634877384207</v>
      </c>
      <c r="G80" s="5">
        <v>1</v>
      </c>
      <c r="H80" s="4">
        <f>74.3/1440</f>
        <v>5.1597222222222218E-2</v>
      </c>
      <c r="I80" s="5">
        <v>0.129</v>
      </c>
      <c r="J80" s="11" t="s">
        <v>1775</v>
      </c>
    </row>
    <row r="81" spans="1:10" x14ac:dyDescent="0.25">
      <c r="A81">
        <f t="shared" ref="A81:A167" si="9">A80+1</f>
        <v>76</v>
      </c>
      <c r="B81" t="s">
        <v>545</v>
      </c>
      <c r="C81" s="2">
        <v>0.52430555555555558</v>
      </c>
      <c r="D81" s="4">
        <f t="shared" si="7"/>
        <v>0.1256944444444445</v>
      </c>
      <c r="E81" s="6">
        <v>0.39861111111111108</v>
      </c>
      <c r="F81" s="5">
        <f t="shared" si="8"/>
        <v>0.76026490066225161</v>
      </c>
      <c r="G81" s="5">
        <v>0.88500000000000001</v>
      </c>
      <c r="H81" s="4">
        <f>81/1440</f>
        <v>5.6250000000000001E-2</v>
      </c>
      <c r="I81" s="5">
        <v>0.125</v>
      </c>
      <c r="J81" s="11" t="s">
        <v>548</v>
      </c>
    </row>
    <row r="82" spans="1:10" x14ac:dyDescent="0.25">
      <c r="A82">
        <f t="shared" si="9"/>
        <v>77</v>
      </c>
      <c r="B82" t="s">
        <v>1395</v>
      </c>
      <c r="C82" s="2">
        <v>0.56319444444444444</v>
      </c>
      <c r="D82" s="4">
        <f t="shared" si="7"/>
        <v>0.1652777777777778</v>
      </c>
      <c r="E82" s="6">
        <v>0.39791666666666664</v>
      </c>
      <c r="F82" s="5">
        <f t="shared" si="8"/>
        <v>0.70653514180024657</v>
      </c>
      <c r="G82" s="5">
        <v>0.746</v>
      </c>
      <c r="H82" s="4">
        <f>81.3/1440</f>
        <v>5.6458333333333333E-2</v>
      </c>
      <c r="I82" s="5">
        <v>0.106</v>
      </c>
      <c r="J82" s="11" t="s">
        <v>1389</v>
      </c>
    </row>
    <row r="83" spans="1:10" x14ac:dyDescent="0.25">
      <c r="A83">
        <f t="shared" si="9"/>
        <v>78</v>
      </c>
      <c r="B83" t="s">
        <v>447</v>
      </c>
      <c r="C83" s="2">
        <v>0.56874999999999998</v>
      </c>
      <c r="D83" s="4">
        <f t="shared" si="7"/>
        <v>0.17152777777777778</v>
      </c>
      <c r="E83" s="6">
        <v>0.3972222222222222</v>
      </c>
      <c r="F83" s="5">
        <f t="shared" si="8"/>
        <v>0.69841269841269837</v>
      </c>
      <c r="G83" s="5">
        <v>0.85099999999999998</v>
      </c>
      <c r="H83" s="4">
        <f>74.5/1440</f>
        <v>5.1736111111111108E-2</v>
      </c>
      <c r="I83" s="5">
        <v>0.111</v>
      </c>
      <c r="J83" s="11" t="s">
        <v>458</v>
      </c>
    </row>
    <row r="84" spans="1:10" x14ac:dyDescent="0.25">
      <c r="A84">
        <f t="shared" si="9"/>
        <v>79</v>
      </c>
      <c r="B84" t="s">
        <v>962</v>
      </c>
      <c r="C84" s="2">
        <v>0.54305555555555551</v>
      </c>
      <c r="D84" s="4">
        <f t="shared" si="7"/>
        <v>0.14583333333333331</v>
      </c>
      <c r="E84" s="6">
        <v>0.3972222222222222</v>
      </c>
      <c r="F84" s="5">
        <f t="shared" si="8"/>
        <v>0.73145780051150899</v>
      </c>
      <c r="G84" s="5">
        <v>0.80900000000000005</v>
      </c>
      <c r="H84" s="4">
        <f>57.7/1440</f>
        <v>4.0069444444444449E-2</v>
      </c>
      <c r="I84" s="5">
        <v>8.2000000000000003E-2</v>
      </c>
      <c r="J84" s="11" t="s">
        <v>961</v>
      </c>
    </row>
    <row r="85" spans="1:10" x14ac:dyDescent="0.25">
      <c r="A85">
        <f t="shared" si="9"/>
        <v>80</v>
      </c>
      <c r="B85" t="s">
        <v>1176</v>
      </c>
      <c r="C85" s="2">
        <v>0.50069444444444444</v>
      </c>
      <c r="D85" s="4">
        <f t="shared" si="7"/>
        <v>0.10347222222222224</v>
      </c>
      <c r="E85" s="6">
        <v>0.3972222222222222</v>
      </c>
      <c r="F85" s="5">
        <f t="shared" si="8"/>
        <v>0.79334257975034672</v>
      </c>
      <c r="G85" s="5">
        <v>0.82</v>
      </c>
      <c r="H85" s="4">
        <f>69.3/1440</f>
        <v>4.8125000000000001E-2</v>
      </c>
      <c r="I85" s="5">
        <v>9.9000000000000005E-2</v>
      </c>
      <c r="J85" s="11" t="s">
        <v>1151</v>
      </c>
    </row>
    <row r="86" spans="1:10" x14ac:dyDescent="0.25">
      <c r="A86">
        <f t="shared" si="9"/>
        <v>81</v>
      </c>
      <c r="B86" t="s">
        <v>1437</v>
      </c>
      <c r="C86" s="2">
        <v>0.52569444444444446</v>
      </c>
      <c r="D86" s="4">
        <v>0.10347222222222222</v>
      </c>
      <c r="E86" s="6">
        <v>0.3972222222222222</v>
      </c>
      <c r="F86" s="5">
        <f t="shared" si="8"/>
        <v>0.75561426684280042</v>
      </c>
      <c r="G86" s="5">
        <v>0.72989999999999999</v>
      </c>
      <c r="H86" s="4">
        <f>53.8/1440</f>
        <v>3.7361111111111109E-2</v>
      </c>
      <c r="I86" s="5">
        <v>6.9000000000000006E-2</v>
      </c>
      <c r="J86" s="11" t="s">
        <v>1433</v>
      </c>
    </row>
    <row r="87" spans="1:10" x14ac:dyDescent="0.25">
      <c r="A87">
        <f t="shared" si="9"/>
        <v>82</v>
      </c>
      <c r="B87" t="s">
        <v>1581</v>
      </c>
      <c r="C87" s="2">
        <v>0.50486111111111109</v>
      </c>
      <c r="D87" s="4">
        <f>C87-E87</f>
        <v>0.1076388888888889</v>
      </c>
      <c r="E87" s="6">
        <v>0.3972222222222222</v>
      </c>
      <c r="F87" s="5">
        <f t="shared" si="8"/>
        <v>0.78679504814305368</v>
      </c>
      <c r="G87" s="5">
        <v>0.872</v>
      </c>
      <c r="H87" s="4">
        <f>67.8/1440</f>
        <v>4.7083333333333331E-2</v>
      </c>
      <c r="I87" s="5">
        <v>0.10299999999999999</v>
      </c>
      <c r="J87" s="11" t="s">
        <v>1586</v>
      </c>
    </row>
    <row r="88" spans="1:10" x14ac:dyDescent="0.25">
      <c r="A88">
        <f t="shared" si="9"/>
        <v>83</v>
      </c>
      <c r="B88" t="s">
        <v>1788</v>
      </c>
      <c r="C88" s="2">
        <v>0.50763888888888886</v>
      </c>
      <c r="D88" s="4">
        <f>C88-E88</f>
        <v>0.11041666666666666</v>
      </c>
      <c r="E88" s="6">
        <v>0.3972222222222222</v>
      </c>
      <c r="F88" s="5">
        <f t="shared" si="8"/>
        <v>0.78248974008207939</v>
      </c>
      <c r="G88" s="5">
        <v>1</v>
      </c>
      <c r="H88" s="4">
        <f>86.1/1440</f>
        <v>5.979166666666666E-2</v>
      </c>
      <c r="I88" s="5">
        <v>0.15</v>
      </c>
      <c r="J88" s="11" t="s">
        <v>1776</v>
      </c>
    </row>
    <row r="89" spans="1:10" x14ac:dyDescent="0.25">
      <c r="A89">
        <f t="shared" si="9"/>
        <v>84</v>
      </c>
      <c r="B89" t="s">
        <v>1331</v>
      </c>
      <c r="C89" s="2">
        <v>0.50763888888888886</v>
      </c>
      <c r="D89" s="4">
        <f>C89-E89</f>
        <v>0.1111111111111111</v>
      </c>
      <c r="E89" s="6">
        <v>0.39652777777777776</v>
      </c>
      <c r="F89" s="5">
        <f t="shared" si="8"/>
        <v>0.7811217510259918</v>
      </c>
      <c r="G89" s="5">
        <v>0.76800000000000002</v>
      </c>
      <c r="H89" s="4">
        <f>62.8/1440</f>
        <v>4.3611111111111107E-2</v>
      </c>
      <c r="I89" s="5">
        <v>8.4000000000000005E-2</v>
      </c>
      <c r="J89" s="11" t="s">
        <v>1328</v>
      </c>
    </row>
    <row r="90" spans="1:10" x14ac:dyDescent="0.25">
      <c r="A90">
        <f t="shared" si="9"/>
        <v>85</v>
      </c>
      <c r="B90" t="s">
        <v>1577</v>
      </c>
      <c r="C90" s="2">
        <v>0.50277777777777777</v>
      </c>
      <c r="D90" s="4">
        <f>C90-E90</f>
        <v>0.10625000000000001</v>
      </c>
      <c r="E90" s="6">
        <v>0.39652777777777776</v>
      </c>
      <c r="F90" s="5">
        <f t="shared" si="8"/>
        <v>0.78867403314917128</v>
      </c>
      <c r="G90" s="5">
        <v>0.85899999999999999</v>
      </c>
      <c r="H90" s="4">
        <f>76/1440</f>
        <v>5.2777777777777778E-2</v>
      </c>
      <c r="I90" s="5">
        <v>0.114</v>
      </c>
      <c r="J90" s="11" t="s">
        <v>1585</v>
      </c>
    </row>
    <row r="91" spans="1:10" x14ac:dyDescent="0.25">
      <c r="A91">
        <f t="shared" si="9"/>
        <v>86</v>
      </c>
      <c r="B91" t="s">
        <v>337</v>
      </c>
      <c r="C91" s="2">
        <v>0.56111111111111112</v>
      </c>
      <c r="D91" s="4">
        <f>C91-E91</f>
        <v>0.1652777777777778</v>
      </c>
      <c r="E91" s="6">
        <v>0.39583333333333331</v>
      </c>
      <c r="F91" s="5">
        <f t="shared" si="8"/>
        <v>0.70544554455445541</v>
      </c>
      <c r="G91" s="5">
        <v>0.90100000000000002</v>
      </c>
      <c r="H91" s="4">
        <f>79.4/1440</f>
        <v>5.513888888888889E-2</v>
      </c>
      <c r="I91" s="5">
        <v>0.125</v>
      </c>
      <c r="J91" s="11" t="s">
        <v>338</v>
      </c>
    </row>
    <row r="92" spans="1:10" x14ac:dyDescent="0.25">
      <c r="A92">
        <f t="shared" si="9"/>
        <v>87</v>
      </c>
      <c r="B92" t="s">
        <v>1436</v>
      </c>
      <c r="C92" s="2">
        <v>0.49861111111111112</v>
      </c>
      <c r="D92" s="4">
        <v>0.10347222222222222</v>
      </c>
      <c r="E92" s="6">
        <v>0.39444444444444443</v>
      </c>
      <c r="F92" s="5">
        <f t="shared" si="8"/>
        <v>0.7910863509749303</v>
      </c>
      <c r="G92" s="5">
        <v>0.80800000000000005</v>
      </c>
      <c r="H92" s="4">
        <f>64/1440</f>
        <v>4.4444444444444446E-2</v>
      </c>
      <c r="I92" s="5">
        <v>9.0999999999999998E-2</v>
      </c>
      <c r="J92" s="11" t="s">
        <v>1433</v>
      </c>
    </row>
    <row r="93" spans="1:10" x14ac:dyDescent="0.25">
      <c r="A93">
        <f t="shared" si="9"/>
        <v>88</v>
      </c>
      <c r="B93" t="s">
        <v>166</v>
      </c>
      <c r="C93" s="2">
        <v>0.54375000000000007</v>
      </c>
      <c r="D93" s="4">
        <f t="shared" ref="D93:D98" si="10">C93-E93</f>
        <v>0.15000000000000008</v>
      </c>
      <c r="E93" s="6">
        <v>0.39374999999999999</v>
      </c>
      <c r="F93" s="5">
        <f t="shared" si="8"/>
        <v>0.72413793103448265</v>
      </c>
      <c r="G93" s="5">
        <v>0.81100000000000005</v>
      </c>
      <c r="H93" s="4">
        <f>71.8/1440</f>
        <v>4.9861111111111106E-2</v>
      </c>
      <c r="I93" s="5">
        <v>0.10299999999999999</v>
      </c>
      <c r="J93" s="11" t="s">
        <v>169</v>
      </c>
    </row>
    <row r="94" spans="1:10" x14ac:dyDescent="0.25">
      <c r="A94">
        <f t="shared" si="9"/>
        <v>89</v>
      </c>
      <c r="B94" t="s">
        <v>37</v>
      </c>
      <c r="C94" s="2">
        <v>0.5493055555555556</v>
      </c>
      <c r="D94" s="4">
        <f t="shared" si="10"/>
        <v>0.15625000000000006</v>
      </c>
      <c r="E94" s="6">
        <v>0.39305555555555555</v>
      </c>
      <c r="F94" s="5">
        <f t="shared" si="8"/>
        <v>0.7155499367888748</v>
      </c>
      <c r="G94" s="5">
        <v>0.79200000000000004</v>
      </c>
      <c r="H94" s="4">
        <f>45.8/1440</f>
        <v>3.1805555555555552E-2</v>
      </c>
      <c r="I94" s="5">
        <v>6.4000000000000001E-2</v>
      </c>
      <c r="J94" s="12" t="s">
        <v>104</v>
      </c>
    </row>
    <row r="95" spans="1:10" x14ac:dyDescent="0.25">
      <c r="A95">
        <f t="shared" si="9"/>
        <v>90</v>
      </c>
      <c r="B95" t="s">
        <v>139</v>
      </c>
      <c r="C95" s="2">
        <v>0.53125</v>
      </c>
      <c r="D95" s="4">
        <f t="shared" si="10"/>
        <v>0.13819444444444445</v>
      </c>
      <c r="E95" s="6">
        <v>0.39305555555555555</v>
      </c>
      <c r="F95" s="5">
        <f t="shared" si="8"/>
        <v>0.73986928104575167</v>
      </c>
      <c r="G95" s="5">
        <v>0.78100000000000003</v>
      </c>
      <c r="H95" s="4">
        <f>103.2/1440</f>
        <v>7.166666666666667E-2</v>
      </c>
      <c r="I95" s="5">
        <v>0.14199999999999999</v>
      </c>
      <c r="J95" s="11" t="s">
        <v>140</v>
      </c>
    </row>
    <row r="96" spans="1:10" x14ac:dyDescent="0.25">
      <c r="A96">
        <f t="shared" si="9"/>
        <v>91</v>
      </c>
      <c r="B96" t="s">
        <v>1173</v>
      </c>
      <c r="C96" s="2">
        <v>0.5083333333333333</v>
      </c>
      <c r="D96" s="4">
        <f t="shared" si="10"/>
        <v>0.11527777777777776</v>
      </c>
      <c r="E96" s="6">
        <v>0.39305555555555555</v>
      </c>
      <c r="F96" s="5">
        <f t="shared" si="8"/>
        <v>0.77322404371584708</v>
      </c>
      <c r="G96" s="5">
        <v>0.81</v>
      </c>
      <c r="H96" s="4">
        <f>63.5/1440</f>
        <v>4.4097222222222225E-2</v>
      </c>
      <c r="I96" s="5">
        <v>9.0999999999999998E-2</v>
      </c>
      <c r="J96" s="11" t="s">
        <v>1151</v>
      </c>
    </row>
    <row r="97" spans="1:10" x14ac:dyDescent="0.25">
      <c r="A97">
        <f t="shared" si="9"/>
        <v>92</v>
      </c>
      <c r="B97" t="s">
        <v>1738</v>
      </c>
      <c r="C97" s="2">
        <v>0.4826388888888889</v>
      </c>
      <c r="D97" s="4">
        <f t="shared" si="10"/>
        <v>8.9583333333333348E-2</v>
      </c>
      <c r="E97" s="6">
        <v>0.39305555555555555</v>
      </c>
      <c r="F97" s="5">
        <f t="shared" si="8"/>
        <v>0.81438848920863305</v>
      </c>
      <c r="G97" s="5">
        <v>0.80200000000000005</v>
      </c>
      <c r="H97" s="4">
        <f>66.3/1440</f>
        <v>4.6041666666666661E-2</v>
      </c>
      <c r="I97" s="5">
        <v>9.4E-2</v>
      </c>
      <c r="J97" s="11" t="s">
        <v>1728</v>
      </c>
    </row>
    <row r="98" spans="1:10" x14ac:dyDescent="0.25">
      <c r="A98">
        <f t="shared" si="9"/>
        <v>93</v>
      </c>
      <c r="B98" t="s">
        <v>886</v>
      </c>
      <c r="C98" s="2">
        <v>0.51041666666666663</v>
      </c>
      <c r="D98" s="4">
        <f t="shared" si="10"/>
        <v>0.11805555555555552</v>
      </c>
      <c r="E98" s="6">
        <v>0.3923611111111111</v>
      </c>
      <c r="F98" s="5">
        <f t="shared" si="8"/>
        <v>0.76870748299319736</v>
      </c>
      <c r="G98" s="5">
        <v>0.78200000000000003</v>
      </c>
      <c r="H98" s="4">
        <f>68.6/1440</f>
        <v>4.7638888888888883E-2</v>
      </c>
      <c r="I98" s="5">
        <v>9.5000000000000001E-2</v>
      </c>
      <c r="J98" s="11" t="s">
        <v>890</v>
      </c>
    </row>
    <row r="99" spans="1:10" x14ac:dyDescent="0.25">
      <c r="A99">
        <f t="shared" si="9"/>
        <v>94</v>
      </c>
      <c r="B99" t="s">
        <v>1438</v>
      </c>
      <c r="C99" s="2">
        <v>0.46875</v>
      </c>
      <c r="D99" s="4">
        <v>0.10347222222222222</v>
      </c>
      <c r="E99" s="6">
        <v>0.3923611111111111</v>
      </c>
      <c r="F99" s="5">
        <f t="shared" si="8"/>
        <v>0.83703703703703702</v>
      </c>
      <c r="G99" s="5">
        <v>0.64600000000000002</v>
      </c>
      <c r="H99" s="4">
        <f>58.4/1440</f>
        <v>4.0555555555555553E-2</v>
      </c>
      <c r="I99" s="5">
        <v>6.7000000000000004E-2</v>
      </c>
      <c r="J99" s="11" t="s">
        <v>1433</v>
      </c>
    </row>
    <row r="100" spans="1:10" x14ac:dyDescent="0.25">
      <c r="A100">
        <f t="shared" si="9"/>
        <v>95</v>
      </c>
      <c r="B100" t="s">
        <v>1778</v>
      </c>
      <c r="C100" s="2">
        <v>0.51249999999999996</v>
      </c>
      <c r="D100" s="4">
        <f t="shared" ref="D100:D131" si="11">C100-E100</f>
        <v>0.12013888888888885</v>
      </c>
      <c r="E100" s="6">
        <v>0.3923611111111111</v>
      </c>
      <c r="F100" s="5">
        <f t="shared" si="8"/>
        <v>0.76558265582655827</v>
      </c>
      <c r="G100" s="5">
        <v>1</v>
      </c>
      <c r="H100" s="4">
        <f>76.3/1440</f>
        <v>5.2986111111111109E-2</v>
      </c>
      <c r="I100" s="5">
        <v>0.13500000000000001</v>
      </c>
      <c r="J100" s="11" t="s">
        <v>1774</v>
      </c>
    </row>
    <row r="101" spans="1:10" x14ac:dyDescent="0.25">
      <c r="A101">
        <f t="shared" si="9"/>
        <v>96</v>
      </c>
      <c r="B101" t="s">
        <v>906</v>
      </c>
      <c r="C101" s="2">
        <v>0.53194444444444444</v>
      </c>
      <c r="D101" s="4">
        <f t="shared" si="11"/>
        <v>0.14027777777777778</v>
      </c>
      <c r="E101" s="6">
        <v>0.39166666666666666</v>
      </c>
      <c r="F101" s="5">
        <f t="shared" si="8"/>
        <v>0.73629242819843344</v>
      </c>
      <c r="G101" s="5">
        <v>0.76900000000000002</v>
      </c>
      <c r="H101" s="4">
        <f>66.8/1440</f>
        <v>4.6388888888888889E-2</v>
      </c>
      <c r="I101" s="5">
        <v>9.0999999999999998E-2</v>
      </c>
      <c r="J101" s="11" t="s">
        <v>904</v>
      </c>
    </row>
    <row r="102" spans="1:10" x14ac:dyDescent="0.25">
      <c r="A102">
        <f t="shared" si="9"/>
        <v>97</v>
      </c>
      <c r="B102" t="s">
        <v>1177</v>
      </c>
      <c r="C102" s="2">
        <v>0.49930555555555556</v>
      </c>
      <c r="D102" s="4">
        <f t="shared" si="11"/>
        <v>0.1076388888888889</v>
      </c>
      <c r="E102" s="6">
        <v>0.39166666666666666</v>
      </c>
      <c r="F102" s="5">
        <f t="shared" si="8"/>
        <v>0.78442280945757992</v>
      </c>
      <c r="G102" s="5">
        <v>0.78700000000000003</v>
      </c>
      <c r="H102" s="4">
        <f>62.1/1440</f>
        <v>4.3125000000000004E-2</v>
      </c>
      <c r="I102" s="5">
        <v>8.6999999999999994E-2</v>
      </c>
      <c r="J102" s="11" t="s">
        <v>1151</v>
      </c>
    </row>
    <row r="103" spans="1:10" x14ac:dyDescent="0.25">
      <c r="A103">
        <f t="shared" si="9"/>
        <v>98</v>
      </c>
      <c r="B103" t="s">
        <v>1610</v>
      </c>
      <c r="C103" s="2">
        <v>0.51388888888888884</v>
      </c>
      <c r="D103" s="4">
        <f t="shared" si="11"/>
        <v>0.12222222222222218</v>
      </c>
      <c r="E103" s="6">
        <v>0.39166666666666666</v>
      </c>
      <c r="F103" s="5">
        <f t="shared" si="8"/>
        <v>0.76216216216216226</v>
      </c>
      <c r="G103" s="5">
        <v>0.82799999999999996</v>
      </c>
      <c r="H103" s="4">
        <f>77.6/1440</f>
        <v>5.3888888888888882E-2</v>
      </c>
      <c r="I103" s="5">
        <v>0.114</v>
      </c>
      <c r="J103" s="11" t="s">
        <v>1601</v>
      </c>
    </row>
    <row r="104" spans="1:10" x14ac:dyDescent="0.25">
      <c r="A104">
        <f t="shared" si="9"/>
        <v>99</v>
      </c>
      <c r="B104" t="s">
        <v>1678</v>
      </c>
      <c r="C104" s="2">
        <v>0.50763888888888886</v>
      </c>
      <c r="D104" s="4">
        <f t="shared" si="11"/>
        <v>0.11666666666666664</v>
      </c>
      <c r="E104" s="6">
        <v>0.39097222222222222</v>
      </c>
      <c r="F104" s="5">
        <f t="shared" si="8"/>
        <v>0.77017783857729138</v>
      </c>
      <c r="G104" s="5">
        <v>1</v>
      </c>
      <c r="H104" s="4">
        <f>87.9/1440</f>
        <v>6.1041666666666668E-2</v>
      </c>
      <c r="I104" s="5">
        <v>0.156</v>
      </c>
      <c r="J104" s="11" t="s">
        <v>1672</v>
      </c>
    </row>
    <row r="105" spans="1:10" ht="14.45" customHeight="1" x14ac:dyDescent="0.25">
      <c r="A105">
        <f t="shared" si="9"/>
        <v>100</v>
      </c>
      <c r="B105" t="s">
        <v>343</v>
      </c>
      <c r="C105" s="2">
        <v>0.54652777777777783</v>
      </c>
      <c r="D105" s="4">
        <f t="shared" si="11"/>
        <v>0.15625000000000006</v>
      </c>
      <c r="E105" s="6">
        <v>0.39027777777777778</v>
      </c>
      <c r="F105" s="5">
        <f t="shared" si="8"/>
        <v>0.7141041931385006</v>
      </c>
      <c r="G105" s="5">
        <v>0.68700000000000006</v>
      </c>
      <c r="H105" s="4">
        <f>75.9/1440</f>
        <v>5.2708333333333336E-2</v>
      </c>
      <c r="I105" s="5">
        <v>9.2999999999999999E-2</v>
      </c>
      <c r="J105" s="11" t="s">
        <v>346</v>
      </c>
    </row>
    <row r="106" spans="1:10" x14ac:dyDescent="0.25">
      <c r="A106">
        <f t="shared" si="9"/>
        <v>101</v>
      </c>
      <c r="B106" t="s">
        <v>1514</v>
      </c>
      <c r="C106" s="2">
        <v>0.50763888888888886</v>
      </c>
      <c r="D106" s="4">
        <f t="shared" si="11"/>
        <v>0.11736111111111108</v>
      </c>
      <c r="E106" s="6">
        <v>0.39027777777777778</v>
      </c>
      <c r="F106" s="5">
        <f t="shared" si="8"/>
        <v>0.7688098495212039</v>
      </c>
      <c r="G106" s="5">
        <v>0.81699999999999995</v>
      </c>
      <c r="H106" s="4">
        <f>64.8/1440</f>
        <v>4.4999999999999998E-2</v>
      </c>
      <c r="I106" s="5">
        <v>9.4E-2</v>
      </c>
      <c r="J106" s="11" t="s">
        <v>1505</v>
      </c>
    </row>
    <row r="107" spans="1:10" x14ac:dyDescent="0.25">
      <c r="A107">
        <f t="shared" si="9"/>
        <v>102</v>
      </c>
      <c r="B107" t="s">
        <v>1576</v>
      </c>
      <c r="C107" s="2">
        <v>0.50208333333333333</v>
      </c>
      <c r="D107" s="4">
        <f t="shared" si="11"/>
        <v>0.11180555555555555</v>
      </c>
      <c r="E107" s="6">
        <v>0.39027777777777778</v>
      </c>
      <c r="F107" s="5">
        <f t="shared" ref="F107:F138" si="12">E107/C107</f>
        <v>0.7773167358229599</v>
      </c>
      <c r="G107" s="5">
        <v>0.84</v>
      </c>
      <c r="H107" s="4">
        <f>71.9/1440</f>
        <v>4.9930555555555561E-2</v>
      </c>
      <c r="I107" s="5">
        <v>0.107</v>
      </c>
      <c r="J107" s="11" t="s">
        <v>1585</v>
      </c>
    </row>
    <row r="108" spans="1:10" x14ac:dyDescent="0.25">
      <c r="A108">
        <f t="shared" si="9"/>
        <v>103</v>
      </c>
      <c r="B108" t="s">
        <v>42</v>
      </c>
      <c r="C108" s="2">
        <v>0.51874999999999993</v>
      </c>
      <c r="D108" s="4">
        <f t="shared" si="11"/>
        <v>0.13055555555555548</v>
      </c>
      <c r="E108" s="6">
        <v>0.38819444444444445</v>
      </c>
      <c r="F108" s="5">
        <f t="shared" si="12"/>
        <v>0.74832663989290504</v>
      </c>
      <c r="G108" s="5">
        <v>0.83299999999999996</v>
      </c>
      <c r="H108" s="4">
        <f>103.1/1440</f>
        <v>7.1597222222222215E-2</v>
      </c>
      <c r="I108" s="5">
        <v>0.153</v>
      </c>
      <c r="J108" s="11" t="s">
        <v>109</v>
      </c>
    </row>
    <row r="109" spans="1:10" x14ac:dyDescent="0.25">
      <c r="A109">
        <f t="shared" si="9"/>
        <v>104</v>
      </c>
      <c r="B109" t="s">
        <v>339</v>
      </c>
      <c r="C109" s="2">
        <v>0.55625000000000002</v>
      </c>
      <c r="D109" s="4">
        <f t="shared" si="11"/>
        <v>0.16805555555555557</v>
      </c>
      <c r="E109" s="6">
        <v>0.38819444444444445</v>
      </c>
      <c r="F109" s="5">
        <f t="shared" si="12"/>
        <v>0.69787765293383275</v>
      </c>
      <c r="G109" s="5">
        <v>0.82799999999999996</v>
      </c>
      <c r="H109" s="4">
        <f>97.3/1440</f>
        <v>6.7569444444444446E-2</v>
      </c>
      <c r="I109" s="5">
        <v>0.14399999999999999</v>
      </c>
      <c r="J109" s="11" t="s">
        <v>340</v>
      </c>
    </row>
    <row r="110" spans="1:10" x14ac:dyDescent="0.25">
      <c r="A110">
        <f t="shared" si="9"/>
        <v>105</v>
      </c>
      <c r="B110" t="s">
        <v>622</v>
      </c>
      <c r="C110" s="2">
        <v>0.52500000000000002</v>
      </c>
      <c r="D110" s="4">
        <f t="shared" si="11"/>
        <v>0.13680555555555557</v>
      </c>
      <c r="E110" s="6">
        <v>0.38819444444444445</v>
      </c>
      <c r="F110" s="5">
        <f t="shared" si="12"/>
        <v>0.73941798941798942</v>
      </c>
      <c r="G110" s="5">
        <v>0.82799999999999996</v>
      </c>
      <c r="H110" s="4">
        <f>68/1440</f>
        <v>4.7222222222222221E-2</v>
      </c>
      <c r="I110" s="5">
        <v>0.10100000000000001</v>
      </c>
      <c r="J110" s="11" t="s">
        <v>624</v>
      </c>
    </row>
    <row r="111" spans="1:10" x14ac:dyDescent="0.25">
      <c r="A111">
        <f t="shared" si="9"/>
        <v>106</v>
      </c>
      <c r="B111" t="s">
        <v>1278</v>
      </c>
      <c r="C111" s="2">
        <v>0.50138888888888888</v>
      </c>
      <c r="D111" s="4">
        <f t="shared" si="11"/>
        <v>0.11319444444444443</v>
      </c>
      <c r="E111" s="6">
        <v>0.38819444444444445</v>
      </c>
      <c r="F111" s="5">
        <f t="shared" si="12"/>
        <v>0.77423822714681445</v>
      </c>
      <c r="G111" s="5">
        <v>0.82699999999999996</v>
      </c>
      <c r="H111" s="4">
        <f>65/1440</f>
        <v>4.5138888888888888E-2</v>
      </c>
      <c r="I111" s="5">
        <v>9.6000000000000002E-2</v>
      </c>
      <c r="J111" s="11" t="s">
        <v>1268</v>
      </c>
    </row>
    <row r="112" spans="1:10" x14ac:dyDescent="0.25">
      <c r="A112">
        <f t="shared" si="9"/>
        <v>107</v>
      </c>
      <c r="B112" t="s">
        <v>258</v>
      </c>
      <c r="C112" s="2">
        <v>0.50624999999999998</v>
      </c>
      <c r="D112" s="4">
        <f t="shared" si="11"/>
        <v>0.11874999999999997</v>
      </c>
      <c r="E112" s="6">
        <v>0.38750000000000001</v>
      </c>
      <c r="F112" s="5">
        <f t="shared" si="12"/>
        <v>0.76543209876543217</v>
      </c>
      <c r="G112" s="5">
        <v>0.86099999999999999</v>
      </c>
      <c r="H112" s="4">
        <f>78.7/1440</f>
        <v>5.4652777777777779E-2</v>
      </c>
      <c r="I112" s="5">
        <v>0.121</v>
      </c>
      <c r="J112" s="11" t="s">
        <v>259</v>
      </c>
    </row>
    <row r="113" spans="1:10" x14ac:dyDescent="0.25">
      <c r="A113">
        <f t="shared" si="9"/>
        <v>108</v>
      </c>
      <c r="B113" t="s">
        <v>324</v>
      </c>
      <c r="C113" s="2">
        <v>0.5131944444444444</v>
      </c>
      <c r="D113" s="4">
        <f t="shared" si="11"/>
        <v>0.12569444444444439</v>
      </c>
      <c r="E113" s="6">
        <v>0.38750000000000001</v>
      </c>
      <c r="F113" s="5">
        <f t="shared" si="12"/>
        <v>0.75507442489851162</v>
      </c>
      <c r="G113" s="5">
        <v>0.83199999999999996</v>
      </c>
      <c r="H113" s="4">
        <f>86.8/1440</f>
        <v>6.0277777777777777E-2</v>
      </c>
      <c r="I113" s="5">
        <v>0.129</v>
      </c>
      <c r="J113" s="11" t="s">
        <v>325</v>
      </c>
    </row>
    <row r="114" spans="1:10" x14ac:dyDescent="0.25">
      <c r="A114">
        <f t="shared" si="9"/>
        <v>109</v>
      </c>
      <c r="B114" t="s">
        <v>408</v>
      </c>
      <c r="C114" s="2">
        <v>0.51458333333333328</v>
      </c>
      <c r="D114" s="4">
        <f t="shared" si="11"/>
        <v>0.12708333333333327</v>
      </c>
      <c r="E114" s="6">
        <v>0.38750000000000001</v>
      </c>
      <c r="F114" s="5">
        <f t="shared" si="12"/>
        <v>0.75303643724696367</v>
      </c>
      <c r="G114" s="5">
        <v>0.89800000000000002</v>
      </c>
      <c r="H114" s="4">
        <f>117/1440</f>
        <v>8.1250000000000003E-2</v>
      </c>
      <c r="I114" s="5">
        <v>0.188</v>
      </c>
      <c r="J114" s="11" t="s">
        <v>411</v>
      </c>
    </row>
    <row r="115" spans="1:10" x14ac:dyDescent="0.25">
      <c r="A115">
        <f t="shared" si="9"/>
        <v>110</v>
      </c>
      <c r="B115" t="s">
        <v>1235</v>
      </c>
      <c r="C115" s="2">
        <v>0.50416666666666665</v>
      </c>
      <c r="D115" s="4">
        <f t="shared" si="11"/>
        <v>0.11666666666666664</v>
      </c>
      <c r="E115" s="6">
        <v>0.38750000000000001</v>
      </c>
      <c r="F115" s="5">
        <f t="shared" si="12"/>
        <v>0.76859504132231404</v>
      </c>
      <c r="G115" s="5">
        <v>0.879</v>
      </c>
      <c r="H115" s="4">
        <f>77.9/1440</f>
        <v>5.4097222222222227E-2</v>
      </c>
      <c r="I115" s="5">
        <v>0.123</v>
      </c>
      <c r="J115" s="11" t="s">
        <v>1231</v>
      </c>
    </row>
    <row r="116" spans="1:10" x14ac:dyDescent="0.25">
      <c r="A116">
        <f t="shared" si="9"/>
        <v>111</v>
      </c>
      <c r="B116" t="s">
        <v>1447</v>
      </c>
      <c r="C116" s="2">
        <v>0.52083333333333337</v>
      </c>
      <c r="D116" s="4">
        <f t="shared" si="11"/>
        <v>0.13333333333333336</v>
      </c>
      <c r="E116" s="6">
        <v>0.38750000000000001</v>
      </c>
      <c r="F116" s="5">
        <f t="shared" si="12"/>
        <v>0.74399999999999999</v>
      </c>
      <c r="G116" s="5">
        <v>0.82799999999999996</v>
      </c>
      <c r="H116" s="4">
        <f>114.5/1440</f>
        <v>7.9513888888888884E-2</v>
      </c>
      <c r="I116" s="5">
        <v>0.11799999999999999</v>
      </c>
      <c r="J116" s="11" t="s">
        <v>1439</v>
      </c>
    </row>
    <row r="117" spans="1:10" x14ac:dyDescent="0.25">
      <c r="A117">
        <f t="shared" si="9"/>
        <v>112</v>
      </c>
      <c r="B117" t="s">
        <v>44</v>
      </c>
      <c r="C117" s="2">
        <v>0.5131944444444444</v>
      </c>
      <c r="D117" s="4">
        <f t="shared" si="11"/>
        <v>0.12638888888888883</v>
      </c>
      <c r="E117" s="6">
        <v>0.38680555555555557</v>
      </c>
      <c r="F117" s="5">
        <f t="shared" si="12"/>
        <v>0.75372124492557524</v>
      </c>
      <c r="G117" s="5">
        <v>0.86199999999999999</v>
      </c>
      <c r="H117" s="4">
        <f>101.9/1440</f>
        <v>7.076388888888889E-2</v>
      </c>
      <c r="I117" s="5">
        <v>0.157</v>
      </c>
      <c r="J117" s="11" t="s">
        <v>111</v>
      </c>
    </row>
    <row r="118" spans="1:10" x14ac:dyDescent="0.25">
      <c r="A118">
        <f t="shared" si="9"/>
        <v>113</v>
      </c>
      <c r="B118" t="s">
        <v>1078</v>
      </c>
      <c r="C118" s="2">
        <v>0.51041666666666663</v>
      </c>
      <c r="D118" s="4">
        <f t="shared" si="11"/>
        <v>0.1243055555555555</v>
      </c>
      <c r="E118" s="6">
        <v>0.38611111111111113</v>
      </c>
      <c r="F118" s="5">
        <f t="shared" si="12"/>
        <v>0.75646258503401365</v>
      </c>
      <c r="G118" s="5">
        <v>0.78700000000000003</v>
      </c>
      <c r="H118" s="4">
        <f>65.2/1440</f>
        <v>4.5277777777777778E-2</v>
      </c>
      <c r="I118" s="5">
        <v>9.1999999999999998E-2</v>
      </c>
      <c r="J118" s="11" t="s">
        <v>1073</v>
      </c>
    </row>
    <row r="119" spans="1:10" x14ac:dyDescent="0.25">
      <c r="A119">
        <f t="shared" si="9"/>
        <v>114</v>
      </c>
      <c r="B119" t="s">
        <v>1669</v>
      </c>
      <c r="C119" s="2">
        <v>0.50902777777777775</v>
      </c>
      <c r="D119" s="4">
        <f t="shared" si="11"/>
        <v>0.12291666666666662</v>
      </c>
      <c r="E119" s="6">
        <v>0.38611111111111113</v>
      </c>
      <c r="F119" s="5">
        <f t="shared" si="12"/>
        <v>0.75852660300136432</v>
      </c>
      <c r="G119" s="5">
        <v>0.84699999999999998</v>
      </c>
      <c r="H119" s="4">
        <f>69.9/1440</f>
        <v>4.854166666666667E-2</v>
      </c>
      <c r="I119" s="5">
        <v>0.106</v>
      </c>
      <c r="J119" s="11" t="s">
        <v>1662</v>
      </c>
    </row>
    <row r="120" spans="1:10" x14ac:dyDescent="0.25">
      <c r="A120">
        <f t="shared" si="9"/>
        <v>115</v>
      </c>
      <c r="B120" t="s">
        <v>1682</v>
      </c>
      <c r="C120" s="2">
        <v>0.47291666666666665</v>
      </c>
      <c r="D120" s="4">
        <f t="shared" si="11"/>
        <v>8.6805555555555525E-2</v>
      </c>
      <c r="E120" s="6">
        <v>0.38611111111111113</v>
      </c>
      <c r="F120" s="5">
        <f t="shared" si="12"/>
        <v>0.81644640234948607</v>
      </c>
      <c r="G120" s="5">
        <v>1</v>
      </c>
      <c r="H120" s="4">
        <f>80.1/1440</f>
        <v>5.5624999999999994E-2</v>
      </c>
      <c r="I120" s="5">
        <v>0.14399999999999999</v>
      </c>
      <c r="J120" s="11" t="s">
        <v>1673</v>
      </c>
    </row>
    <row r="121" spans="1:10" x14ac:dyDescent="0.25">
      <c r="A121">
        <f t="shared" si="9"/>
        <v>116</v>
      </c>
      <c r="B121" t="s">
        <v>1699</v>
      </c>
      <c r="C121" s="2">
        <v>0.50902777777777775</v>
      </c>
      <c r="D121" s="4">
        <f t="shared" si="11"/>
        <v>0.12291666666666662</v>
      </c>
      <c r="E121" s="6">
        <v>0.38611111111111113</v>
      </c>
      <c r="F121" s="5">
        <f t="shared" si="12"/>
        <v>0.75852660300136432</v>
      </c>
      <c r="G121" s="5">
        <v>0.85599999999999998</v>
      </c>
      <c r="H121" s="4">
        <f>53.6/1440</f>
        <v>3.7222222222222226E-2</v>
      </c>
      <c r="I121" s="5">
        <v>8.3000000000000004E-2</v>
      </c>
      <c r="J121" s="11" t="s">
        <v>1695</v>
      </c>
    </row>
    <row r="122" spans="1:10" x14ac:dyDescent="0.25">
      <c r="A122">
        <f t="shared" si="9"/>
        <v>117</v>
      </c>
      <c r="B122" t="s">
        <v>880</v>
      </c>
      <c r="C122" s="2">
        <v>0.47916666666666669</v>
      </c>
      <c r="D122" s="4">
        <f t="shared" si="11"/>
        <v>9.4444444444444442E-2</v>
      </c>
      <c r="E122" s="6">
        <v>0.38472222222222224</v>
      </c>
      <c r="F122" s="5">
        <f t="shared" si="12"/>
        <v>0.80289855072463767</v>
      </c>
      <c r="G122" s="5">
        <v>0.83699999999999997</v>
      </c>
      <c r="H122" s="4">
        <f>73.9/1440</f>
        <v>5.1319444444444445E-2</v>
      </c>
      <c r="I122" s="5">
        <v>0.112</v>
      </c>
      <c r="J122" s="11" t="s">
        <v>889</v>
      </c>
    </row>
    <row r="123" spans="1:10" x14ac:dyDescent="0.25">
      <c r="A123">
        <f t="shared" si="9"/>
        <v>118</v>
      </c>
      <c r="B123" t="s">
        <v>1792</v>
      </c>
      <c r="C123" s="2">
        <v>0.49722222222222223</v>
      </c>
      <c r="D123" s="4">
        <f t="shared" si="11"/>
        <v>0.11249999999999999</v>
      </c>
      <c r="E123" s="6">
        <v>0.38472222222222224</v>
      </c>
      <c r="F123" s="5">
        <f t="shared" si="12"/>
        <v>0.77374301675977653</v>
      </c>
      <c r="G123" s="5">
        <v>1</v>
      </c>
      <c r="H123" s="4">
        <f>78.3/1440</f>
        <v>5.4375E-2</v>
      </c>
      <c r="I123" s="5">
        <v>0.14099999999999999</v>
      </c>
      <c r="J123" s="11" t="s">
        <v>1777</v>
      </c>
    </row>
    <row r="124" spans="1:10" x14ac:dyDescent="0.25">
      <c r="A124">
        <f t="shared" si="9"/>
        <v>119</v>
      </c>
      <c r="B124" t="s">
        <v>33</v>
      </c>
      <c r="C124" s="2">
        <v>0.51180555555555551</v>
      </c>
      <c r="D124" s="4">
        <f t="shared" si="11"/>
        <v>0.12708333333333333</v>
      </c>
      <c r="E124" s="6">
        <v>0.38472222222222219</v>
      </c>
      <c r="F124" s="5">
        <f t="shared" si="12"/>
        <v>0.75169606512890097</v>
      </c>
      <c r="G124" s="5">
        <v>0.78300000000000003</v>
      </c>
      <c r="H124" s="4">
        <f>88.9/1440</f>
        <v>6.1736111111111117E-2</v>
      </c>
      <c r="I124" s="5">
        <v>0.125</v>
      </c>
      <c r="J124" s="11" t="s">
        <v>101</v>
      </c>
    </row>
    <row r="125" spans="1:10" x14ac:dyDescent="0.25">
      <c r="A125">
        <f t="shared" si="9"/>
        <v>120</v>
      </c>
      <c r="B125" t="s">
        <v>473</v>
      </c>
      <c r="C125" s="2">
        <v>0.51180555555555551</v>
      </c>
      <c r="D125" s="4">
        <f t="shared" si="11"/>
        <v>0.12708333333333333</v>
      </c>
      <c r="E125" s="6">
        <v>0.38472222222222219</v>
      </c>
      <c r="F125" s="5">
        <f t="shared" si="12"/>
        <v>0.75169606512890097</v>
      </c>
      <c r="G125" s="5">
        <v>0.88900000000000001</v>
      </c>
      <c r="H125" s="4">
        <f>70/1440</f>
        <v>4.8611111111111112E-2</v>
      </c>
      <c r="I125" s="5">
        <v>0.112</v>
      </c>
      <c r="J125" s="11" t="s">
        <v>475</v>
      </c>
    </row>
    <row r="126" spans="1:10" x14ac:dyDescent="0.25">
      <c r="A126">
        <f t="shared" si="9"/>
        <v>121</v>
      </c>
      <c r="B126" t="s">
        <v>1454</v>
      </c>
      <c r="C126" s="2">
        <v>0.51875000000000004</v>
      </c>
      <c r="D126" s="4">
        <f t="shared" si="11"/>
        <v>0.13472222222222224</v>
      </c>
      <c r="E126" s="6">
        <v>0.3840277777777778</v>
      </c>
      <c r="F126" s="5">
        <f t="shared" si="12"/>
        <v>0.74029451137884872</v>
      </c>
      <c r="G126" s="5">
        <v>0.86699999999999999</v>
      </c>
      <c r="H126" s="4">
        <f>69.1/1440</f>
        <v>4.7986111111111104E-2</v>
      </c>
      <c r="I126" s="5">
        <v>0.108</v>
      </c>
      <c r="J126" s="11" t="s">
        <v>1441</v>
      </c>
    </row>
    <row r="127" spans="1:10" x14ac:dyDescent="0.25">
      <c r="A127">
        <f t="shared" si="9"/>
        <v>122</v>
      </c>
      <c r="B127" t="s">
        <v>1588</v>
      </c>
      <c r="C127" s="2">
        <v>0.46250000000000002</v>
      </c>
      <c r="D127" s="4">
        <f t="shared" si="11"/>
        <v>7.8472222222222221E-2</v>
      </c>
      <c r="E127" s="6">
        <v>0.3840277777777778</v>
      </c>
      <c r="F127" s="5">
        <f t="shared" si="12"/>
        <v>0.83033033033033032</v>
      </c>
      <c r="G127" s="5">
        <v>0.83799999999999997</v>
      </c>
      <c r="H127" s="4">
        <f>58.2/1440</f>
        <v>4.041666666666667E-2</v>
      </c>
      <c r="I127" s="5">
        <v>8.7999999999999995E-2</v>
      </c>
      <c r="J127" s="11" t="s">
        <v>1587</v>
      </c>
    </row>
    <row r="128" spans="1:10" x14ac:dyDescent="0.25">
      <c r="A128">
        <f t="shared" si="9"/>
        <v>123</v>
      </c>
      <c r="B128" t="s">
        <v>1801</v>
      </c>
      <c r="C128" s="2">
        <v>0.46805555555555556</v>
      </c>
      <c r="D128" s="4">
        <f t="shared" si="11"/>
        <v>8.4027777777777757E-2</v>
      </c>
      <c r="E128" s="6">
        <v>0.3840277777777778</v>
      </c>
      <c r="F128" s="5">
        <f t="shared" si="12"/>
        <v>0.82047477744807129</v>
      </c>
      <c r="G128" s="5">
        <v>0.85499999999999998</v>
      </c>
      <c r="H128" s="4">
        <f>76.9/1440</f>
        <v>5.3402777777777785E-2</v>
      </c>
      <c r="I128" s="5">
        <v>0.11899999999999999</v>
      </c>
      <c r="J128" s="11" t="s">
        <v>1811</v>
      </c>
    </row>
    <row r="129" spans="1:10" x14ac:dyDescent="0.25">
      <c r="A129">
        <f t="shared" si="9"/>
        <v>124</v>
      </c>
      <c r="B129" t="s">
        <v>1097</v>
      </c>
      <c r="C129" s="2">
        <v>0.52152777777777781</v>
      </c>
      <c r="D129" s="4">
        <f t="shared" si="11"/>
        <v>0.13819444444444445</v>
      </c>
      <c r="E129" s="6">
        <v>0.38333333333333336</v>
      </c>
      <c r="F129" s="5">
        <f t="shared" si="12"/>
        <v>0.73501997336884151</v>
      </c>
      <c r="G129" s="5">
        <v>0.86899999999999999</v>
      </c>
      <c r="H129" s="4">
        <f>66.9/1440</f>
        <v>4.6458333333333338E-2</v>
      </c>
      <c r="I129" s="5">
        <v>0.105</v>
      </c>
      <c r="J129" s="11" t="s">
        <v>1098</v>
      </c>
    </row>
    <row r="130" spans="1:10" x14ac:dyDescent="0.25">
      <c r="A130">
        <f t="shared" si="9"/>
        <v>125</v>
      </c>
      <c r="B130" t="s">
        <v>1671</v>
      </c>
      <c r="C130" s="2">
        <v>0.48194444444444445</v>
      </c>
      <c r="D130" s="4">
        <f t="shared" si="11"/>
        <v>9.8611111111111094E-2</v>
      </c>
      <c r="E130" s="6">
        <v>0.38333333333333336</v>
      </c>
      <c r="F130" s="5">
        <f t="shared" si="12"/>
        <v>0.79538904899135454</v>
      </c>
      <c r="G130" s="5">
        <v>0.85799999999999998</v>
      </c>
      <c r="H130" s="4">
        <f>80.2/1440</f>
        <v>5.5694444444444449E-2</v>
      </c>
      <c r="I130" s="5">
        <v>0.124</v>
      </c>
      <c r="J130" s="11" t="s">
        <v>1662</v>
      </c>
    </row>
    <row r="131" spans="1:10" x14ac:dyDescent="0.25">
      <c r="A131">
        <f t="shared" si="9"/>
        <v>126</v>
      </c>
      <c r="B131" t="s">
        <v>309</v>
      </c>
      <c r="C131" s="2">
        <v>0.53888888888888886</v>
      </c>
      <c r="D131" s="4">
        <f t="shared" si="11"/>
        <v>0.15555555555555556</v>
      </c>
      <c r="E131" s="6">
        <v>0.3833333333333333</v>
      </c>
      <c r="F131" s="5">
        <f t="shared" si="12"/>
        <v>0.71134020618556704</v>
      </c>
      <c r="G131" s="5">
        <v>0.874</v>
      </c>
      <c r="H131" s="4">
        <f>102.7/1440</f>
        <v>7.1319444444444449E-2</v>
      </c>
      <c r="I131" s="5">
        <v>0.16300000000000001</v>
      </c>
      <c r="J131" s="11" t="s">
        <v>310</v>
      </c>
    </row>
    <row r="132" spans="1:10" x14ac:dyDescent="0.25">
      <c r="A132">
        <f t="shared" si="9"/>
        <v>127</v>
      </c>
      <c r="B132" t="s">
        <v>543</v>
      </c>
      <c r="C132" s="2">
        <v>0.50347222222222221</v>
      </c>
      <c r="D132" s="4">
        <f t="shared" ref="D132:D163" si="13">C132-E132</f>
        <v>0.12013888888888891</v>
      </c>
      <c r="E132" s="6">
        <v>0.3833333333333333</v>
      </c>
      <c r="F132" s="5">
        <f t="shared" si="12"/>
        <v>0.76137931034482753</v>
      </c>
      <c r="G132" s="5">
        <v>0.9</v>
      </c>
      <c r="H132" s="4">
        <f>107.2/1440</f>
        <v>7.4444444444444452E-2</v>
      </c>
      <c r="I132" s="5">
        <v>0.17499999999999999</v>
      </c>
      <c r="J132" s="11" t="s">
        <v>544</v>
      </c>
    </row>
    <row r="133" spans="1:10" x14ac:dyDescent="0.25">
      <c r="A133">
        <f t="shared" si="9"/>
        <v>128</v>
      </c>
      <c r="B133" t="s">
        <v>921</v>
      </c>
      <c r="C133" s="2">
        <v>0.50763888888888886</v>
      </c>
      <c r="D133" s="4">
        <f t="shared" si="13"/>
        <v>0.12569444444444444</v>
      </c>
      <c r="E133" s="6">
        <v>0.38194444444444442</v>
      </c>
      <c r="F133" s="5">
        <f t="shared" si="12"/>
        <v>0.75239398084815323</v>
      </c>
      <c r="G133" s="5" t="s">
        <v>922</v>
      </c>
      <c r="H133" s="4">
        <f>74.9/1440</f>
        <v>5.2013888888888894E-2</v>
      </c>
      <c r="I133" s="5">
        <v>0.13100000000000001</v>
      </c>
      <c r="J133" s="11" t="s">
        <v>923</v>
      </c>
    </row>
    <row r="134" spans="1:10" x14ac:dyDescent="0.25">
      <c r="A134">
        <f t="shared" si="9"/>
        <v>129</v>
      </c>
      <c r="B134" t="s">
        <v>1203</v>
      </c>
      <c r="C134" s="2">
        <v>0.49513888888888891</v>
      </c>
      <c r="D134" s="4">
        <f t="shared" si="13"/>
        <v>0.11319444444444449</v>
      </c>
      <c r="E134" s="6">
        <v>0.38194444444444442</v>
      </c>
      <c r="F134" s="5">
        <f t="shared" si="12"/>
        <v>0.77138849929873765</v>
      </c>
      <c r="G134" s="5">
        <v>0.71</v>
      </c>
      <c r="H134" s="4">
        <f>61.8/1440</f>
        <v>4.2916666666666665E-2</v>
      </c>
      <c r="I134" s="5">
        <v>0.08</v>
      </c>
      <c r="J134" s="11" t="s">
        <v>1183</v>
      </c>
    </row>
    <row r="135" spans="1:10" x14ac:dyDescent="0.25">
      <c r="A135">
        <f t="shared" si="9"/>
        <v>130</v>
      </c>
      <c r="B135" t="s">
        <v>1534</v>
      </c>
      <c r="C135" s="2">
        <v>0.46319444444444446</v>
      </c>
      <c r="D135" s="4">
        <f t="shared" si="13"/>
        <v>8.1250000000000044E-2</v>
      </c>
      <c r="E135" s="6">
        <v>0.38194444444444442</v>
      </c>
      <c r="F135" s="5">
        <f t="shared" si="12"/>
        <v>0.82458770614692645</v>
      </c>
      <c r="G135" s="5">
        <v>0.81399999999999995</v>
      </c>
      <c r="H135" s="4">
        <f>79.7/1440</f>
        <v>5.5347222222222221E-2</v>
      </c>
      <c r="I135" s="5">
        <v>0.11799999999999999</v>
      </c>
      <c r="J135" s="11" t="s">
        <v>1528</v>
      </c>
    </row>
    <row r="136" spans="1:10" x14ac:dyDescent="0.25">
      <c r="A136">
        <f t="shared" si="9"/>
        <v>131</v>
      </c>
      <c r="B136" t="s">
        <v>30</v>
      </c>
      <c r="C136" s="2">
        <v>0.56388888888888888</v>
      </c>
      <c r="D136" s="4">
        <f t="shared" si="13"/>
        <v>0.18263888888888885</v>
      </c>
      <c r="E136" s="6">
        <v>0.38125000000000003</v>
      </c>
      <c r="F136" s="5">
        <f t="shared" si="12"/>
        <v>0.67610837438423654</v>
      </c>
      <c r="G136" s="5">
        <v>0.745</v>
      </c>
      <c r="H136" s="4">
        <f>133.3/1440</f>
        <v>9.2569444444444454E-2</v>
      </c>
      <c r="I136" s="5">
        <v>0.18099999999999999</v>
      </c>
      <c r="J136" s="11" t="s">
        <v>74</v>
      </c>
    </row>
    <row r="137" spans="1:10" x14ac:dyDescent="0.25">
      <c r="A137">
        <f t="shared" si="9"/>
        <v>132</v>
      </c>
      <c r="B137" t="s">
        <v>1450</v>
      </c>
      <c r="C137" s="2">
        <v>0.48472222222222222</v>
      </c>
      <c r="D137" s="4">
        <f t="shared" si="13"/>
        <v>0.10347222222222224</v>
      </c>
      <c r="E137" s="6">
        <v>0.38124999999999998</v>
      </c>
      <c r="F137" s="5">
        <f t="shared" si="12"/>
        <v>0.78653295128939826</v>
      </c>
      <c r="G137" s="5">
        <v>0.76600000000000001</v>
      </c>
      <c r="H137" s="4">
        <f>53.9/1440</f>
        <v>3.7430555555555557E-2</v>
      </c>
      <c r="I137" s="5">
        <v>7.4999999999999997E-2</v>
      </c>
      <c r="J137" s="11" t="s">
        <v>1440</v>
      </c>
    </row>
    <row r="138" spans="1:10" x14ac:dyDescent="0.25">
      <c r="A138">
        <f t="shared" si="9"/>
        <v>133</v>
      </c>
      <c r="B138" t="s">
        <v>52</v>
      </c>
      <c r="C138" s="2">
        <v>0.51250000000000007</v>
      </c>
      <c r="D138" s="4">
        <f t="shared" si="13"/>
        <v>0.13194444444444453</v>
      </c>
      <c r="E138" s="6">
        <v>0.38055555555555554</v>
      </c>
      <c r="F138" s="5">
        <f t="shared" si="12"/>
        <v>0.74254742547425456</v>
      </c>
      <c r="G138" s="5">
        <v>0.82</v>
      </c>
      <c r="H138" s="4">
        <f>85.8/1440</f>
        <v>5.9583333333333328E-2</v>
      </c>
      <c r="I138" s="5">
        <v>0.128</v>
      </c>
      <c r="J138" s="11" t="s">
        <v>115</v>
      </c>
    </row>
    <row r="139" spans="1:10" x14ac:dyDescent="0.25">
      <c r="A139">
        <f t="shared" si="9"/>
        <v>134</v>
      </c>
      <c r="B139" t="s">
        <v>1175</v>
      </c>
      <c r="C139" s="2">
        <v>0.4861111111111111</v>
      </c>
      <c r="D139" s="4">
        <f t="shared" si="13"/>
        <v>0.10555555555555557</v>
      </c>
      <c r="E139" s="6">
        <v>0.38055555555555554</v>
      </c>
      <c r="F139" s="5">
        <f t="shared" ref="F139:F170" si="14">E139/C139</f>
        <v>0.78285714285714281</v>
      </c>
      <c r="G139" s="5">
        <v>0.80900000000000005</v>
      </c>
      <c r="H139" s="4">
        <f>62/1440</f>
        <v>4.3055555555555555E-2</v>
      </c>
      <c r="I139" s="5">
        <v>9.1999999999999998E-2</v>
      </c>
      <c r="J139" s="11" t="s">
        <v>1151</v>
      </c>
    </row>
    <row r="140" spans="1:10" x14ac:dyDescent="0.25">
      <c r="A140">
        <f t="shared" si="9"/>
        <v>135</v>
      </c>
      <c r="B140" t="s">
        <v>1538</v>
      </c>
      <c r="C140" s="2">
        <v>0.47013888888888888</v>
      </c>
      <c r="D140" s="4">
        <f t="shared" si="13"/>
        <v>8.9583333333333348E-2</v>
      </c>
      <c r="E140" s="6">
        <v>0.38055555555555554</v>
      </c>
      <c r="F140" s="5">
        <f t="shared" si="14"/>
        <v>0.80945347119645494</v>
      </c>
      <c r="G140" s="5">
        <v>0.84099999999999997</v>
      </c>
      <c r="H140" s="4">
        <f>86/1440</f>
        <v>5.9722222222222225E-2</v>
      </c>
      <c r="I140" s="5">
        <v>0.13200000000000001</v>
      </c>
      <c r="J140" s="11" t="s">
        <v>1528</v>
      </c>
    </row>
    <row r="141" spans="1:10" x14ac:dyDescent="0.25">
      <c r="A141">
        <f t="shared" si="9"/>
        <v>136</v>
      </c>
      <c r="B141" t="s">
        <v>1636</v>
      </c>
      <c r="C141" s="2">
        <v>0.49027777777777776</v>
      </c>
      <c r="D141" s="4">
        <f t="shared" si="13"/>
        <v>0.10972222222222222</v>
      </c>
      <c r="E141" s="6">
        <v>0.38055555555555554</v>
      </c>
      <c r="F141" s="5">
        <f t="shared" si="14"/>
        <v>0.77620396600566577</v>
      </c>
      <c r="G141" s="5">
        <v>0.85199999999999998</v>
      </c>
      <c r="H141" s="4">
        <f>86.7/1440</f>
        <v>6.0208333333333336E-2</v>
      </c>
      <c r="I141" s="5">
        <v>0.13500000000000001</v>
      </c>
      <c r="J141" s="11" t="s">
        <v>1625</v>
      </c>
    </row>
    <row r="142" spans="1:10" x14ac:dyDescent="0.25">
      <c r="A142">
        <f t="shared" si="9"/>
        <v>137</v>
      </c>
      <c r="B142" t="s">
        <v>474</v>
      </c>
      <c r="C142" s="2">
        <v>0.47986111111111113</v>
      </c>
      <c r="D142" s="4">
        <f t="shared" si="13"/>
        <v>9.9999999999999978E-2</v>
      </c>
      <c r="E142" s="6">
        <v>0.37986111111111115</v>
      </c>
      <c r="F142" s="5">
        <f t="shared" si="14"/>
        <v>0.79160636758321279</v>
      </c>
      <c r="G142" s="5">
        <v>0.82799999999999996</v>
      </c>
      <c r="H142" s="4">
        <f>84/1440</f>
        <v>5.8333333333333334E-2</v>
      </c>
      <c r="I142" s="5">
        <v>0.127</v>
      </c>
      <c r="J142" s="11" t="s">
        <v>475</v>
      </c>
    </row>
    <row r="143" spans="1:10" x14ac:dyDescent="0.25">
      <c r="A143">
        <f t="shared" si="9"/>
        <v>138</v>
      </c>
      <c r="B143" t="s">
        <v>847</v>
      </c>
      <c r="C143" s="2">
        <v>0.49652777777777779</v>
      </c>
      <c r="D143" s="4">
        <f t="shared" si="13"/>
        <v>0.1166666666666667</v>
      </c>
      <c r="E143" s="6">
        <v>0.37986111111111109</v>
      </c>
      <c r="F143" s="5">
        <f t="shared" si="14"/>
        <v>0.76503496503496493</v>
      </c>
      <c r="G143" s="5">
        <v>0.82</v>
      </c>
      <c r="H143" s="4">
        <f>65.9/1440</f>
        <v>4.5763888888888896E-2</v>
      </c>
      <c r="I143" s="5">
        <v>9.9000000000000005E-2</v>
      </c>
      <c r="J143" s="11" t="s">
        <v>848</v>
      </c>
    </row>
    <row r="144" spans="1:10" x14ac:dyDescent="0.25">
      <c r="A144">
        <f t="shared" si="9"/>
        <v>139</v>
      </c>
      <c r="B144" t="s">
        <v>1048</v>
      </c>
      <c r="C144" s="2">
        <v>0.52222222222222225</v>
      </c>
      <c r="D144" s="4">
        <f t="shared" si="13"/>
        <v>0.14236111111111116</v>
      </c>
      <c r="E144" s="6">
        <v>0.37986111111111109</v>
      </c>
      <c r="F144" s="5">
        <f t="shared" si="14"/>
        <v>0.72739361702127647</v>
      </c>
      <c r="G144" s="5">
        <v>0.83499999999999996</v>
      </c>
      <c r="H144" s="4">
        <f>69.1/1440</f>
        <v>4.7986111111111104E-2</v>
      </c>
      <c r="I144" s="5">
        <v>0.105</v>
      </c>
      <c r="J144" s="11" t="s">
        <v>1036</v>
      </c>
    </row>
    <row r="145" spans="1:10" x14ac:dyDescent="0.25">
      <c r="A145">
        <f t="shared" si="9"/>
        <v>140</v>
      </c>
      <c r="B145" t="s">
        <v>1724</v>
      </c>
      <c r="C145" s="2">
        <v>0.4513888888888889</v>
      </c>
      <c r="D145" s="4">
        <f t="shared" si="13"/>
        <v>7.1527777777777801E-2</v>
      </c>
      <c r="E145" s="6">
        <v>0.37986111111111109</v>
      </c>
      <c r="F145" s="5">
        <f t="shared" si="14"/>
        <v>0.84153846153846146</v>
      </c>
      <c r="G145" s="5">
        <v>0.81899999999999995</v>
      </c>
      <c r="H145" s="4">
        <f>69.1/1440</f>
        <v>4.7986111111111104E-2</v>
      </c>
      <c r="I145" s="5">
        <v>0.10299999999999999</v>
      </c>
      <c r="J145" s="11" t="s">
        <v>1706</v>
      </c>
    </row>
    <row r="146" spans="1:10" x14ac:dyDescent="0.25">
      <c r="A146">
        <f t="shared" si="9"/>
        <v>141</v>
      </c>
      <c r="B146" t="s">
        <v>1785</v>
      </c>
      <c r="C146" s="2">
        <v>0.49583333333333335</v>
      </c>
      <c r="D146" s="4">
        <f t="shared" si="13"/>
        <v>0.11597222222222225</v>
      </c>
      <c r="E146" s="6">
        <v>0.37986111111111109</v>
      </c>
      <c r="F146" s="5">
        <f t="shared" si="14"/>
        <v>0.76610644257703076</v>
      </c>
      <c r="G146" s="5">
        <v>1</v>
      </c>
      <c r="H146" s="4">
        <f>80.8/1440</f>
        <v>5.6111111111111112E-2</v>
      </c>
      <c r="I146" s="5">
        <v>0.14799999999999999</v>
      </c>
      <c r="J146" s="11" t="s">
        <v>1775</v>
      </c>
    </row>
    <row r="147" spans="1:10" x14ac:dyDescent="0.25">
      <c r="A147">
        <f t="shared" si="9"/>
        <v>142</v>
      </c>
      <c r="B147" t="s">
        <v>900</v>
      </c>
      <c r="C147" s="2">
        <v>0.50555555555555554</v>
      </c>
      <c r="D147" s="4">
        <f t="shared" si="13"/>
        <v>0.12708333333333333</v>
      </c>
      <c r="E147" s="6">
        <v>0.37847222222222221</v>
      </c>
      <c r="F147" s="5">
        <f t="shared" si="14"/>
        <v>0.74862637362637363</v>
      </c>
      <c r="G147" s="5">
        <v>0.78</v>
      </c>
      <c r="H147" s="4">
        <f>63.2/1440</f>
        <v>4.3888888888888894E-2</v>
      </c>
      <c r="I147" s="5">
        <v>0.09</v>
      </c>
      <c r="J147" s="11" t="s">
        <v>897</v>
      </c>
    </row>
    <row r="148" spans="1:10" x14ac:dyDescent="0.25">
      <c r="A148">
        <f t="shared" si="9"/>
        <v>143</v>
      </c>
      <c r="B148" t="s">
        <v>1666</v>
      </c>
      <c r="C148" s="2">
        <v>0.48749999999999999</v>
      </c>
      <c r="D148" s="4">
        <f t="shared" si="13"/>
        <v>0.10902777777777778</v>
      </c>
      <c r="E148" s="6">
        <v>0.37847222222222221</v>
      </c>
      <c r="F148" s="5">
        <f t="shared" si="14"/>
        <v>0.77635327635327633</v>
      </c>
      <c r="G148" s="5">
        <v>0.78500000000000003</v>
      </c>
      <c r="H148" s="4">
        <f>60.5/1440</f>
        <v>4.2013888888888892E-2</v>
      </c>
      <c r="I148" s="5">
        <v>8.6999999999999994E-2</v>
      </c>
      <c r="J148" s="11" t="s">
        <v>1661</v>
      </c>
    </row>
    <row r="149" spans="1:10" ht="14.45" customHeight="1" x14ac:dyDescent="0.25">
      <c r="A149">
        <f t="shared" si="9"/>
        <v>144</v>
      </c>
      <c r="B149" t="s">
        <v>341</v>
      </c>
      <c r="C149" s="2">
        <v>0.57500000000000007</v>
      </c>
      <c r="D149" s="4">
        <f t="shared" si="13"/>
        <v>0.1972222222222223</v>
      </c>
      <c r="E149" s="6">
        <v>0.37777777777777777</v>
      </c>
      <c r="F149" s="5">
        <f t="shared" si="14"/>
        <v>0.65700483091787432</v>
      </c>
      <c r="G149" s="5">
        <v>0.88200000000000001</v>
      </c>
      <c r="H149" s="4">
        <f>94.7/1440</f>
        <v>6.5763888888888886E-2</v>
      </c>
      <c r="I149" s="5">
        <v>0.153</v>
      </c>
      <c r="J149" s="11" t="s">
        <v>345</v>
      </c>
    </row>
    <row r="150" spans="1:10" x14ac:dyDescent="0.25">
      <c r="A150">
        <f t="shared" si="9"/>
        <v>145</v>
      </c>
      <c r="B150" t="s">
        <v>389</v>
      </c>
      <c r="C150" s="2">
        <v>0.49722222222222223</v>
      </c>
      <c r="D150" s="4">
        <f t="shared" si="13"/>
        <v>0.11944444444444446</v>
      </c>
      <c r="E150" s="6">
        <v>0.37777777777777777</v>
      </c>
      <c r="F150" s="5">
        <f t="shared" si="14"/>
        <v>0.75977653631284914</v>
      </c>
      <c r="G150" s="5">
        <v>0.81699999999999995</v>
      </c>
      <c r="H150" s="4">
        <f>79.9/1440</f>
        <v>5.5486111111111118E-2</v>
      </c>
      <c r="I150" s="5">
        <v>0.12</v>
      </c>
      <c r="J150" s="11" t="s">
        <v>390</v>
      </c>
    </row>
    <row r="151" spans="1:10" x14ac:dyDescent="0.25">
      <c r="A151">
        <f t="shared" si="9"/>
        <v>146</v>
      </c>
      <c r="B151" t="s">
        <v>956</v>
      </c>
      <c r="C151" s="2">
        <v>0.53125</v>
      </c>
      <c r="D151" s="4">
        <f t="shared" si="13"/>
        <v>0.15347222222222223</v>
      </c>
      <c r="E151" s="6">
        <v>0.37777777777777777</v>
      </c>
      <c r="F151" s="5">
        <f t="shared" si="14"/>
        <v>0.71111111111111114</v>
      </c>
      <c r="G151" s="5">
        <v>0.79700000000000004</v>
      </c>
      <c r="H151" s="4">
        <f>52.5/1440</f>
        <v>3.6458333333333336E-2</v>
      </c>
      <c r="I151" s="5">
        <v>7.6999999999999999E-2</v>
      </c>
      <c r="J151" s="11" t="s">
        <v>955</v>
      </c>
    </row>
    <row r="152" spans="1:10" x14ac:dyDescent="0.25">
      <c r="A152">
        <f t="shared" si="9"/>
        <v>147</v>
      </c>
      <c r="B152" t="s">
        <v>564</v>
      </c>
      <c r="C152" s="2">
        <v>0.55902777777777779</v>
      </c>
      <c r="D152" s="4">
        <f t="shared" si="13"/>
        <v>0.18194444444444441</v>
      </c>
      <c r="E152" s="6">
        <v>0.37708333333333338</v>
      </c>
      <c r="F152" s="5">
        <f t="shared" si="14"/>
        <v>0.67453416149068335</v>
      </c>
      <c r="G152" s="5">
        <v>0.82099999999999995</v>
      </c>
      <c r="H152" s="4">
        <f>91.3/1440</f>
        <v>6.340277777777778E-2</v>
      </c>
      <c r="I152" s="5">
        <v>0.13800000000000001</v>
      </c>
      <c r="J152" s="11" t="s">
        <v>565</v>
      </c>
    </row>
    <row r="153" spans="1:10" x14ac:dyDescent="0.25">
      <c r="A153">
        <f t="shared" si="9"/>
        <v>148</v>
      </c>
      <c r="B153" t="s">
        <v>883</v>
      </c>
      <c r="C153" s="2">
        <v>0.5229166666666667</v>
      </c>
      <c r="D153" s="4">
        <f t="shared" si="13"/>
        <v>0.14583333333333337</v>
      </c>
      <c r="E153" s="6">
        <v>0.37708333333333333</v>
      </c>
      <c r="F153" s="5">
        <f t="shared" si="14"/>
        <v>0.72111553784860549</v>
      </c>
      <c r="G153" s="5">
        <v>0.86799999999999999</v>
      </c>
      <c r="H153" s="4">
        <f>72.3/1440</f>
        <v>5.0208333333333334E-2</v>
      </c>
      <c r="I153" s="5">
        <v>0.11600000000000001</v>
      </c>
      <c r="J153" s="11" t="s">
        <v>889</v>
      </c>
    </row>
    <row r="154" spans="1:10" x14ac:dyDescent="0.25">
      <c r="A154">
        <f t="shared" si="9"/>
        <v>149</v>
      </c>
      <c r="B154" t="s">
        <v>1519</v>
      </c>
      <c r="C154" s="2">
        <v>0.50624999999999998</v>
      </c>
      <c r="D154" s="4">
        <f t="shared" si="13"/>
        <v>0.12916666666666665</v>
      </c>
      <c r="E154" s="6">
        <v>0.37708333333333333</v>
      </c>
      <c r="F154" s="5">
        <f t="shared" si="14"/>
        <v>0.74485596707818935</v>
      </c>
      <c r="G154" s="5">
        <v>0.877</v>
      </c>
      <c r="H154" s="4">
        <f>70.2/1440</f>
        <v>4.8750000000000002E-2</v>
      </c>
      <c r="I154" s="5">
        <v>0.113</v>
      </c>
      <c r="J154" s="11" t="s">
        <v>1507</v>
      </c>
    </row>
    <row r="155" spans="1:10" x14ac:dyDescent="0.25">
      <c r="A155">
        <f t="shared" si="9"/>
        <v>150</v>
      </c>
      <c r="B155" t="s">
        <v>1609</v>
      </c>
      <c r="C155" s="2">
        <v>0.50138888888888888</v>
      </c>
      <c r="D155" s="4">
        <f t="shared" si="13"/>
        <v>0.12430555555555556</v>
      </c>
      <c r="E155" s="6">
        <v>0.37708333333333333</v>
      </c>
      <c r="F155" s="5">
        <f t="shared" si="14"/>
        <v>0.75207756232686984</v>
      </c>
      <c r="G155" s="5">
        <v>0.84</v>
      </c>
      <c r="H155" s="4">
        <f>65.4/1440</f>
        <v>4.5416666666666668E-2</v>
      </c>
      <c r="I155" s="5">
        <v>0.10100000000000001</v>
      </c>
      <c r="J155" s="11" t="s">
        <v>1601</v>
      </c>
    </row>
    <row r="156" spans="1:10" x14ac:dyDescent="0.25">
      <c r="A156">
        <f t="shared" si="9"/>
        <v>151</v>
      </c>
      <c r="B156" t="s">
        <v>145</v>
      </c>
      <c r="C156" s="2">
        <v>0.54027777777777775</v>
      </c>
      <c r="D156" s="4">
        <f t="shared" si="13"/>
        <v>0.16388888888888886</v>
      </c>
      <c r="E156" s="6">
        <v>0.37638888888888888</v>
      </c>
      <c r="F156" s="5">
        <f t="shared" si="14"/>
        <v>0.69665809768637532</v>
      </c>
      <c r="G156" s="5">
        <v>0.748</v>
      </c>
      <c r="H156" s="4">
        <f>86.7/1440</f>
        <v>6.0208333333333336E-2</v>
      </c>
      <c r="I156" s="5">
        <v>0.12</v>
      </c>
      <c r="J156" s="11" t="s">
        <v>146</v>
      </c>
    </row>
    <row r="157" spans="1:10" x14ac:dyDescent="0.25">
      <c r="A157">
        <f t="shared" si="9"/>
        <v>152</v>
      </c>
      <c r="B157" t="s">
        <v>554</v>
      </c>
      <c r="C157" s="2">
        <v>0.55486111111111114</v>
      </c>
      <c r="D157" s="4">
        <f t="shared" si="13"/>
        <v>0.17847222222222225</v>
      </c>
      <c r="E157" s="6">
        <v>0.37638888888888888</v>
      </c>
      <c r="F157" s="5">
        <f t="shared" si="14"/>
        <v>0.67834793491864831</v>
      </c>
      <c r="G157" s="5">
        <v>0.86099999999999999</v>
      </c>
      <c r="H157" s="4">
        <f>112.4/1440</f>
        <v>7.8055555555555559E-2</v>
      </c>
      <c r="I157" s="5">
        <v>0.17899999999999999</v>
      </c>
      <c r="J157" s="11" t="s">
        <v>555</v>
      </c>
    </row>
    <row r="158" spans="1:10" x14ac:dyDescent="0.25">
      <c r="A158">
        <f t="shared" si="9"/>
        <v>153</v>
      </c>
      <c r="B158" t="s">
        <v>964</v>
      </c>
      <c r="C158" s="2">
        <v>0.47499999999999998</v>
      </c>
      <c r="D158" s="4">
        <f t="shared" si="13"/>
        <v>9.8611111111111094E-2</v>
      </c>
      <c r="E158" s="6">
        <v>0.37638888888888888</v>
      </c>
      <c r="F158" s="5">
        <f t="shared" si="14"/>
        <v>0.79239766081871343</v>
      </c>
      <c r="G158" s="5">
        <v>0.83699999999999997</v>
      </c>
      <c r="H158" s="4">
        <f>57.4/1440</f>
        <v>3.9861111111111111E-2</v>
      </c>
      <c r="I158" s="5">
        <v>8.8999999999999996E-2</v>
      </c>
      <c r="J158" s="11" t="s">
        <v>961</v>
      </c>
    </row>
    <row r="159" spans="1:10" x14ac:dyDescent="0.25">
      <c r="A159">
        <f t="shared" si="9"/>
        <v>154</v>
      </c>
      <c r="B159" t="s">
        <v>995</v>
      </c>
      <c r="C159" s="2">
        <v>0.46875</v>
      </c>
      <c r="D159" s="4">
        <f t="shared" si="13"/>
        <v>9.2361111111111116E-2</v>
      </c>
      <c r="E159" s="6">
        <v>0.37638888888888888</v>
      </c>
      <c r="F159" s="5">
        <f t="shared" si="14"/>
        <v>0.80296296296296299</v>
      </c>
      <c r="G159" s="5">
        <v>0.93</v>
      </c>
      <c r="H159" s="4">
        <f>75.7/1440</f>
        <v>5.2569444444444446E-2</v>
      </c>
      <c r="I159" s="5">
        <v>0.13</v>
      </c>
      <c r="J159" s="11" t="s">
        <v>996</v>
      </c>
    </row>
    <row r="160" spans="1:10" x14ac:dyDescent="0.25">
      <c r="A160">
        <f t="shared" si="9"/>
        <v>155</v>
      </c>
      <c r="B160" t="s">
        <v>1020</v>
      </c>
      <c r="C160" s="2">
        <v>0.48125000000000001</v>
      </c>
      <c r="D160" s="4">
        <f t="shared" si="13"/>
        <v>0.10486111111111113</v>
      </c>
      <c r="E160" s="6">
        <v>0.37638888888888888</v>
      </c>
      <c r="F160" s="5">
        <f t="shared" si="14"/>
        <v>0.78210678210678208</v>
      </c>
      <c r="G160" s="5">
        <v>0.82799999999999996</v>
      </c>
      <c r="H160" s="4">
        <f>69.1/1440</f>
        <v>4.7986111111111104E-2</v>
      </c>
      <c r="I160" s="5">
        <v>0.106</v>
      </c>
      <c r="J160" s="11" t="s">
        <v>1016</v>
      </c>
    </row>
    <row r="161" spans="1:10" x14ac:dyDescent="0.25">
      <c r="A161">
        <f t="shared" si="9"/>
        <v>156</v>
      </c>
      <c r="B161" t="s">
        <v>1615</v>
      </c>
      <c r="C161" s="2">
        <v>0.48541666666666666</v>
      </c>
      <c r="D161" s="4">
        <f t="shared" si="13"/>
        <v>0.10902777777777778</v>
      </c>
      <c r="E161" s="6">
        <v>0.37638888888888888</v>
      </c>
      <c r="F161" s="5">
        <f t="shared" si="14"/>
        <v>0.77539341917024318</v>
      </c>
      <c r="G161" s="5">
        <v>0.82699999999999996</v>
      </c>
      <c r="H161" s="4">
        <f>69.2/1440</f>
        <v>4.805555555555556E-2</v>
      </c>
      <c r="I161" s="5">
        <v>0.105</v>
      </c>
      <c r="J161" s="11" t="s">
        <v>1613</v>
      </c>
    </row>
    <row r="162" spans="1:10" x14ac:dyDescent="0.25">
      <c r="A162">
        <f t="shared" si="9"/>
        <v>157</v>
      </c>
      <c r="B162" t="s">
        <v>29</v>
      </c>
      <c r="C162" s="2">
        <v>0.51180555555555551</v>
      </c>
      <c r="D162" s="4">
        <f t="shared" si="13"/>
        <v>0.13611111111111102</v>
      </c>
      <c r="E162" s="6">
        <v>0.3756944444444445</v>
      </c>
      <c r="F162" s="5">
        <f t="shared" si="14"/>
        <v>0.73405698778833128</v>
      </c>
      <c r="G162" s="5">
        <v>0.77800000000000002</v>
      </c>
      <c r="H162" s="4">
        <f>77.2/1440</f>
        <v>5.3611111111111116E-2</v>
      </c>
      <c r="I162" s="5">
        <v>0.111</v>
      </c>
      <c r="J162" s="11" t="s">
        <v>81</v>
      </c>
    </row>
    <row r="163" spans="1:10" x14ac:dyDescent="0.25">
      <c r="A163">
        <f t="shared" si="9"/>
        <v>158</v>
      </c>
      <c r="B163" t="s">
        <v>378</v>
      </c>
      <c r="C163" s="2">
        <v>0.51944444444444449</v>
      </c>
      <c r="D163" s="4">
        <f t="shared" si="13"/>
        <v>0.14374999999999999</v>
      </c>
      <c r="E163" s="6">
        <v>0.3756944444444445</v>
      </c>
      <c r="F163" s="5">
        <f t="shared" si="14"/>
        <v>0.7232620320855615</v>
      </c>
      <c r="G163" s="5">
        <v>0.78900000000000003</v>
      </c>
      <c r="H163" s="4">
        <f>77.7/1440</f>
        <v>5.3958333333333337E-2</v>
      </c>
      <c r="I163" s="5">
        <v>0.113</v>
      </c>
      <c r="J163" s="11" t="s">
        <v>379</v>
      </c>
    </row>
    <row r="164" spans="1:10" x14ac:dyDescent="0.25">
      <c r="A164">
        <f t="shared" si="9"/>
        <v>159</v>
      </c>
      <c r="B164" t="s">
        <v>1024</v>
      </c>
      <c r="C164" s="2">
        <v>0.48819444444444443</v>
      </c>
      <c r="D164" s="4">
        <f t="shared" ref="D164:D195" si="15">C164-E164</f>
        <v>0.11249999999999999</v>
      </c>
      <c r="E164" s="6">
        <v>0.37569444444444444</v>
      </c>
      <c r="F164" s="5">
        <f t="shared" si="14"/>
        <v>0.76955903271692749</v>
      </c>
      <c r="G164" s="5">
        <v>0.76200000000000001</v>
      </c>
      <c r="H164" s="4">
        <f>67.2/1440</f>
        <v>4.6666666666666669E-2</v>
      </c>
      <c r="I164" s="5">
        <v>9.5000000000000001E-2</v>
      </c>
      <c r="J164" s="11" t="s">
        <v>1021</v>
      </c>
    </row>
    <row r="165" spans="1:10" x14ac:dyDescent="0.25">
      <c r="A165">
        <f t="shared" si="9"/>
        <v>160</v>
      </c>
      <c r="B165" t="s">
        <v>1154</v>
      </c>
      <c r="C165" s="2">
        <v>0.49166666666666664</v>
      </c>
      <c r="D165" s="4">
        <f t="shared" si="15"/>
        <v>0.1159722222222222</v>
      </c>
      <c r="E165" s="6">
        <v>0.37569444444444444</v>
      </c>
      <c r="F165" s="5">
        <f t="shared" si="14"/>
        <v>0.76412429378531077</v>
      </c>
      <c r="G165" s="5">
        <v>0.90700000000000003</v>
      </c>
      <c r="H165" s="4">
        <f>74.7/1440</f>
        <v>5.1875000000000004E-2</v>
      </c>
      <c r="I165" s="5">
        <v>0.125</v>
      </c>
      <c r="J165" s="11" t="s">
        <v>1147</v>
      </c>
    </row>
    <row r="166" spans="1:10" x14ac:dyDescent="0.25">
      <c r="A166">
        <f t="shared" si="9"/>
        <v>161</v>
      </c>
      <c r="B166" t="s">
        <v>1305</v>
      </c>
      <c r="C166" s="2">
        <v>0.46805555555555556</v>
      </c>
      <c r="D166" s="4">
        <f t="shared" si="15"/>
        <v>9.2361111111111116E-2</v>
      </c>
      <c r="E166" s="6">
        <v>0.37569444444444444</v>
      </c>
      <c r="F166" s="5">
        <f t="shared" si="14"/>
        <v>0.80267062314540061</v>
      </c>
      <c r="G166" s="5">
        <v>0.85299999999999998</v>
      </c>
      <c r="H166" s="4">
        <f>71.5/1440</f>
        <v>4.9652777777777775E-2</v>
      </c>
      <c r="I166" s="5">
        <v>0.112</v>
      </c>
      <c r="J166" s="11" t="s">
        <v>1290</v>
      </c>
    </row>
    <row r="167" spans="1:10" x14ac:dyDescent="0.25">
      <c r="A167">
        <f t="shared" si="9"/>
        <v>162</v>
      </c>
      <c r="B167" t="s">
        <v>1557</v>
      </c>
      <c r="C167" s="2">
        <v>0.52013888888888893</v>
      </c>
      <c r="D167" s="4">
        <f t="shared" si="15"/>
        <v>0.14444444444444449</v>
      </c>
      <c r="E167" s="6">
        <v>0.37569444444444444</v>
      </c>
      <c r="F167" s="5">
        <f t="shared" si="14"/>
        <v>0.72229639519359135</v>
      </c>
      <c r="G167" s="5">
        <v>0.79400000000000004</v>
      </c>
      <c r="H167" s="4">
        <f>66.4/1440</f>
        <v>4.6111111111111117E-2</v>
      </c>
      <c r="I167" s="5">
        <v>9.7000000000000003E-2</v>
      </c>
      <c r="J167" s="11" t="s">
        <v>1553</v>
      </c>
    </row>
    <row r="168" spans="1:10" x14ac:dyDescent="0.25">
      <c r="A168">
        <f t="shared" ref="A168:A204" si="16">A167+1</f>
        <v>163</v>
      </c>
      <c r="B168" t="s">
        <v>1632</v>
      </c>
      <c r="C168" s="2">
        <v>0.49444444444444446</v>
      </c>
      <c r="D168" s="4">
        <f t="shared" si="15"/>
        <v>0.11875000000000002</v>
      </c>
      <c r="E168" s="6">
        <v>0.37569444444444444</v>
      </c>
      <c r="F168" s="5">
        <f t="shared" si="14"/>
        <v>0.7598314606741573</v>
      </c>
      <c r="G168" s="5">
        <v>0.85299999999999998</v>
      </c>
      <c r="H168" s="4">
        <f>66.1/1440</f>
        <v>4.5902777777777772E-2</v>
      </c>
      <c r="I168" s="5">
        <v>0.104</v>
      </c>
      <c r="J168" s="11" t="s">
        <v>1624</v>
      </c>
    </row>
    <row r="169" spans="1:10" x14ac:dyDescent="0.25">
      <c r="A169">
        <f t="shared" si="16"/>
        <v>164</v>
      </c>
      <c r="B169" t="s">
        <v>1675</v>
      </c>
      <c r="C169" s="2">
        <v>0.46527777777777779</v>
      </c>
      <c r="D169" s="4">
        <f t="shared" si="15"/>
        <v>8.9583333333333348E-2</v>
      </c>
      <c r="E169" s="6">
        <v>0.37569444444444444</v>
      </c>
      <c r="F169" s="5">
        <f t="shared" si="14"/>
        <v>0.80746268656716413</v>
      </c>
      <c r="G169" s="5">
        <v>1</v>
      </c>
      <c r="H169" s="4">
        <f>87.9/1440</f>
        <v>6.1041666666666668E-2</v>
      </c>
      <c r="I169" s="5">
        <v>0.16200000000000001</v>
      </c>
      <c r="J169" s="11" t="s">
        <v>1672</v>
      </c>
    </row>
    <row r="170" spans="1:10" x14ac:dyDescent="0.25">
      <c r="A170">
        <f t="shared" si="16"/>
        <v>165</v>
      </c>
      <c r="B170" t="s">
        <v>1693</v>
      </c>
      <c r="C170" s="2">
        <v>0.49236111111111114</v>
      </c>
      <c r="D170" s="4">
        <f t="shared" si="15"/>
        <v>0.1166666666666667</v>
      </c>
      <c r="E170" s="6">
        <v>0.37569444444444444</v>
      </c>
      <c r="F170" s="5">
        <f t="shared" si="14"/>
        <v>0.76304654442877284</v>
      </c>
      <c r="G170" s="5">
        <v>0.83299999999999996</v>
      </c>
      <c r="H170" s="4">
        <f>68.9/1440</f>
        <v>4.7847222222222228E-2</v>
      </c>
      <c r="I170" s="5">
        <v>0.106</v>
      </c>
      <c r="J170" s="11" t="s">
        <v>1685</v>
      </c>
    </row>
    <row r="171" spans="1:10" x14ac:dyDescent="0.25">
      <c r="A171">
        <f t="shared" si="16"/>
        <v>166</v>
      </c>
      <c r="B171" t="s">
        <v>1714</v>
      </c>
      <c r="C171" s="2">
        <v>0.4826388888888889</v>
      </c>
      <c r="D171" s="4">
        <f t="shared" si="15"/>
        <v>0.10694444444444445</v>
      </c>
      <c r="E171" s="6">
        <v>0.37569444444444444</v>
      </c>
      <c r="F171" s="5">
        <f t="shared" ref="F171:F202" si="17">E171/C171</f>
        <v>0.77841726618705032</v>
      </c>
      <c r="G171" s="5">
        <v>1</v>
      </c>
      <c r="H171" s="4">
        <f>89.4/1440</f>
        <v>6.2083333333333338E-2</v>
      </c>
      <c r="I171" s="5">
        <v>0.16500000000000001</v>
      </c>
      <c r="J171" s="11" t="s">
        <v>1707</v>
      </c>
    </row>
    <row r="172" spans="1:10" x14ac:dyDescent="0.25">
      <c r="A172">
        <f t="shared" si="16"/>
        <v>167</v>
      </c>
      <c r="B172" t="s">
        <v>1782</v>
      </c>
      <c r="C172" s="2">
        <v>0.49027777777777776</v>
      </c>
      <c r="D172" s="4">
        <f t="shared" si="15"/>
        <v>0.11458333333333331</v>
      </c>
      <c r="E172" s="6">
        <v>0.37569444444444444</v>
      </c>
      <c r="F172" s="5">
        <f t="shared" si="17"/>
        <v>0.76628895184135981</v>
      </c>
      <c r="G172" s="5">
        <v>1</v>
      </c>
      <c r="H172" s="4">
        <f>70.5/1440</f>
        <v>4.8958333333333333E-2</v>
      </c>
      <c r="I172" s="5">
        <v>0.13</v>
      </c>
      <c r="J172" s="11" t="s">
        <v>1775</v>
      </c>
    </row>
    <row r="173" spans="1:10" ht="13.9" customHeight="1" x14ac:dyDescent="0.25">
      <c r="A173">
        <f t="shared" si="16"/>
        <v>168</v>
      </c>
      <c r="B173" t="s">
        <v>1819</v>
      </c>
      <c r="C173" s="2">
        <v>0.45624999999999999</v>
      </c>
      <c r="D173" s="4">
        <f t="shared" si="15"/>
        <v>8.0555555555555547E-2</v>
      </c>
      <c r="E173" s="6">
        <v>0.37569444444444444</v>
      </c>
      <c r="F173" s="5">
        <f t="shared" si="17"/>
        <v>0.82343987823439879</v>
      </c>
      <c r="G173" s="5">
        <v>0.747</v>
      </c>
      <c r="H173" s="4">
        <f>57.4/1440</f>
        <v>3.9861111111111111E-2</v>
      </c>
      <c r="I173" s="5">
        <v>7.9000000000000001E-2</v>
      </c>
      <c r="J173" s="11" t="s">
        <v>1815</v>
      </c>
    </row>
    <row r="174" spans="1:10" ht="13.9" customHeight="1" x14ac:dyDescent="0.25">
      <c r="A174">
        <f t="shared" si="16"/>
        <v>169</v>
      </c>
      <c r="B174" t="s">
        <v>190</v>
      </c>
      <c r="C174" s="2">
        <v>0.49722222222222223</v>
      </c>
      <c r="D174" s="4">
        <f t="shared" si="15"/>
        <v>0.12222222222222223</v>
      </c>
      <c r="E174" s="6">
        <v>0.375</v>
      </c>
      <c r="F174" s="5">
        <f t="shared" si="17"/>
        <v>0.75418994413407825</v>
      </c>
      <c r="G174" s="5">
        <v>1</v>
      </c>
      <c r="H174" s="4">
        <f>95.6/1440</f>
        <v>6.6388888888888886E-2</v>
      </c>
      <c r="I174" s="5">
        <v>0.17699999999999999</v>
      </c>
      <c r="J174" s="11" t="s">
        <v>191</v>
      </c>
    </row>
    <row r="175" spans="1:10" ht="13.9" customHeight="1" x14ac:dyDescent="0.25">
      <c r="A175">
        <f t="shared" si="16"/>
        <v>170</v>
      </c>
      <c r="B175" t="s">
        <v>487</v>
      </c>
      <c r="C175" s="2">
        <v>0.4826388888888889</v>
      </c>
      <c r="D175" s="4">
        <f t="shared" si="15"/>
        <v>0.1076388888888889</v>
      </c>
      <c r="E175" s="6">
        <v>0.375</v>
      </c>
      <c r="F175" s="5">
        <f t="shared" si="17"/>
        <v>0.77697841726618699</v>
      </c>
      <c r="G175" s="5">
        <v>0.93500000000000005</v>
      </c>
      <c r="H175" s="4">
        <f>95.7/1440</f>
        <v>6.6458333333333341E-2</v>
      </c>
      <c r="I175" s="5">
        <v>0.16500000000000001</v>
      </c>
      <c r="J175" s="11" t="s">
        <v>488</v>
      </c>
    </row>
    <row r="176" spans="1:10" ht="13.9" customHeight="1" x14ac:dyDescent="0.25">
      <c r="A176">
        <f t="shared" si="16"/>
        <v>171</v>
      </c>
      <c r="B176" t="s">
        <v>1369</v>
      </c>
      <c r="C176" s="2">
        <v>0.49652777777777779</v>
      </c>
      <c r="D176" s="4">
        <f t="shared" si="15"/>
        <v>0.12152777777777779</v>
      </c>
      <c r="E176" s="6">
        <v>0.375</v>
      </c>
      <c r="F176" s="5">
        <f t="shared" si="17"/>
        <v>0.75524475524475521</v>
      </c>
      <c r="G176" s="5">
        <v>0.82299999999999995</v>
      </c>
      <c r="H176" s="4">
        <f>66.4/1440</f>
        <v>4.6111111111111117E-2</v>
      </c>
      <c r="I176" s="5">
        <v>0.10100000000000001</v>
      </c>
      <c r="J176" s="11" t="s">
        <v>1365</v>
      </c>
    </row>
    <row r="177" spans="1:10" ht="13.9" customHeight="1" x14ac:dyDescent="0.25">
      <c r="A177">
        <f t="shared" si="16"/>
        <v>172</v>
      </c>
      <c r="B177" t="s">
        <v>1372</v>
      </c>
      <c r="C177" s="2">
        <v>0.48680555555555555</v>
      </c>
      <c r="D177" s="4">
        <f t="shared" si="15"/>
        <v>0.11180555555555555</v>
      </c>
      <c r="E177" s="6">
        <v>0.375</v>
      </c>
      <c r="F177" s="5">
        <f t="shared" si="17"/>
        <v>0.77032810271041374</v>
      </c>
      <c r="G177" s="5">
        <v>0.83899999999999997</v>
      </c>
      <c r="H177" s="4">
        <f>67.6/1440</f>
        <v>4.6944444444444441E-2</v>
      </c>
      <c r="I177" s="5">
        <v>0.105</v>
      </c>
      <c r="J177" s="11" t="s">
        <v>1365</v>
      </c>
    </row>
    <row r="178" spans="1:10" ht="13.9" customHeight="1" x14ac:dyDescent="0.25">
      <c r="A178">
        <f t="shared" si="16"/>
        <v>173</v>
      </c>
      <c r="B178" t="s">
        <v>1790</v>
      </c>
      <c r="C178" s="2">
        <v>0.4909722222222222</v>
      </c>
      <c r="D178" s="4">
        <f t="shared" si="15"/>
        <v>0.1159722222222222</v>
      </c>
      <c r="E178" s="6">
        <v>0.375</v>
      </c>
      <c r="F178" s="5">
        <f t="shared" si="17"/>
        <v>0.76379066478076385</v>
      </c>
      <c r="G178" s="5">
        <v>1</v>
      </c>
      <c r="H178" s="4">
        <f>83.3/1440</f>
        <v>5.7847222222222223E-2</v>
      </c>
      <c r="I178" s="5">
        <v>0.154</v>
      </c>
      <c r="J178" s="11" t="s">
        <v>1776</v>
      </c>
    </row>
    <row r="179" spans="1:10" ht="13.9" customHeight="1" x14ac:dyDescent="0.25">
      <c r="A179">
        <f t="shared" si="16"/>
        <v>174</v>
      </c>
      <c r="B179" t="s">
        <v>1364</v>
      </c>
      <c r="C179" s="2">
        <v>0.46875</v>
      </c>
      <c r="D179" s="4">
        <f t="shared" si="15"/>
        <v>9.4444444444444442E-2</v>
      </c>
      <c r="E179" s="6">
        <v>0.37430555555555556</v>
      </c>
      <c r="F179" s="5">
        <f t="shared" si="17"/>
        <v>0.79851851851851852</v>
      </c>
      <c r="G179" s="5">
        <v>0.91300000000000003</v>
      </c>
      <c r="H179" s="4">
        <f>68/1440</f>
        <v>4.7222222222222221E-2</v>
      </c>
      <c r="I179" s="5">
        <v>0.115</v>
      </c>
      <c r="J179" s="11" t="s">
        <v>1360</v>
      </c>
    </row>
    <row r="180" spans="1:10" ht="13.9" customHeight="1" x14ac:dyDescent="0.25">
      <c r="A180">
        <f t="shared" si="16"/>
        <v>175</v>
      </c>
      <c r="B180" t="s">
        <v>1390</v>
      </c>
      <c r="C180" s="2">
        <v>0.49027777777777776</v>
      </c>
      <c r="D180" s="4">
        <f t="shared" si="15"/>
        <v>0.1159722222222222</v>
      </c>
      <c r="E180" s="6">
        <v>0.37430555555555556</v>
      </c>
      <c r="F180" s="5">
        <f t="shared" si="17"/>
        <v>0.76345609065155806</v>
      </c>
      <c r="G180" s="5">
        <v>0.80700000000000005</v>
      </c>
      <c r="H180" s="4">
        <f>67.1/1440</f>
        <v>4.659722222222222E-2</v>
      </c>
      <c r="I180" s="5">
        <v>0.10100000000000001</v>
      </c>
      <c r="J180" s="11" t="s">
        <v>1388</v>
      </c>
    </row>
    <row r="181" spans="1:10" ht="13.9" customHeight="1" x14ac:dyDescent="0.25">
      <c r="A181">
        <f t="shared" si="16"/>
        <v>176</v>
      </c>
      <c r="B181" t="s">
        <v>1703</v>
      </c>
      <c r="C181" s="2">
        <v>0.49652777777777779</v>
      </c>
      <c r="D181" s="4">
        <f t="shared" si="15"/>
        <v>0.12222222222222223</v>
      </c>
      <c r="E181" s="6">
        <v>0.37430555555555556</v>
      </c>
      <c r="F181" s="5">
        <f t="shared" si="17"/>
        <v>0.75384615384615383</v>
      </c>
      <c r="G181" s="5">
        <v>0.82099999999999995</v>
      </c>
      <c r="H181" s="4">
        <f>71.2/1440</f>
        <v>4.9444444444444444E-2</v>
      </c>
      <c r="I181" s="5">
        <v>0.108</v>
      </c>
      <c r="J181" s="11" t="s">
        <v>1696</v>
      </c>
    </row>
    <row r="182" spans="1:10" ht="13.9" customHeight="1" x14ac:dyDescent="0.25">
      <c r="A182">
        <f t="shared" si="16"/>
        <v>177</v>
      </c>
      <c r="B182" t="s">
        <v>1780</v>
      </c>
      <c r="C182" s="2">
        <v>0.49583333333333335</v>
      </c>
      <c r="D182" s="4">
        <f t="shared" si="15"/>
        <v>0.12152777777777779</v>
      </c>
      <c r="E182" s="6">
        <v>0.37430555555555556</v>
      </c>
      <c r="F182" s="5">
        <f t="shared" si="17"/>
        <v>0.75490196078431371</v>
      </c>
      <c r="G182" s="5">
        <v>1</v>
      </c>
      <c r="H182" s="4">
        <f>76.7/1440</f>
        <v>5.3263888888888888E-2</v>
      </c>
      <c r="I182" s="5">
        <v>0.14199999999999999</v>
      </c>
      <c r="J182" s="11" t="s">
        <v>1774</v>
      </c>
    </row>
    <row r="183" spans="1:10" ht="13.9" customHeight="1" x14ac:dyDescent="0.25">
      <c r="A183">
        <f t="shared" si="16"/>
        <v>178</v>
      </c>
      <c r="B183" t="s">
        <v>1809</v>
      </c>
      <c r="C183" s="2">
        <v>0.47847222222222224</v>
      </c>
      <c r="D183" s="4">
        <f t="shared" si="15"/>
        <v>0.10416666666666669</v>
      </c>
      <c r="E183" s="6">
        <v>0.37430555555555556</v>
      </c>
      <c r="F183" s="5">
        <f t="shared" si="17"/>
        <v>0.78229317851959357</v>
      </c>
      <c r="G183" s="5">
        <v>1</v>
      </c>
      <c r="H183" s="4">
        <f>88.3/1440</f>
        <v>6.131944444444444E-2</v>
      </c>
      <c r="I183" s="5">
        <v>0.16400000000000001</v>
      </c>
      <c r="J183" s="11" t="s">
        <v>1813</v>
      </c>
    </row>
    <row r="184" spans="1:10" ht="13.9" customHeight="1" x14ac:dyDescent="0.25">
      <c r="A184">
        <f t="shared" si="16"/>
        <v>179</v>
      </c>
      <c r="B184" t="s">
        <v>167</v>
      </c>
      <c r="C184" s="2">
        <v>0.53680555555555554</v>
      </c>
      <c r="D184" s="4">
        <f t="shared" si="15"/>
        <v>0.16250000000000003</v>
      </c>
      <c r="E184" s="6">
        <v>0.3743055555555555</v>
      </c>
      <c r="F184" s="5">
        <f t="shared" si="17"/>
        <v>0.69728331177231562</v>
      </c>
      <c r="G184" s="5">
        <v>0.84599999999999997</v>
      </c>
      <c r="H184" s="4">
        <f>80.8/1440</f>
        <v>5.6111111111111112E-2</v>
      </c>
      <c r="I184" s="5">
        <v>0.127</v>
      </c>
      <c r="J184" s="11" t="s">
        <v>170</v>
      </c>
    </row>
    <row r="185" spans="1:10" ht="13.9" customHeight="1" x14ac:dyDescent="0.25">
      <c r="A185">
        <f t="shared" si="16"/>
        <v>180</v>
      </c>
      <c r="B185" t="s">
        <v>192</v>
      </c>
      <c r="C185" s="2">
        <v>0.50277777777777777</v>
      </c>
      <c r="D185" s="4">
        <f t="shared" si="15"/>
        <v>0.12847222222222227</v>
      </c>
      <c r="E185" s="6">
        <v>0.3743055555555555</v>
      </c>
      <c r="F185" s="5">
        <f t="shared" si="17"/>
        <v>0.74447513812154686</v>
      </c>
      <c r="G185" s="5">
        <v>0.82</v>
      </c>
      <c r="H185" s="4">
        <f>72.2/1440</f>
        <v>5.0138888888888893E-2</v>
      </c>
      <c r="I185" s="5">
        <v>0.11</v>
      </c>
      <c r="J185" s="11" t="s">
        <v>193</v>
      </c>
    </row>
    <row r="186" spans="1:10" ht="13.9" customHeight="1" x14ac:dyDescent="0.25">
      <c r="A186">
        <f t="shared" si="16"/>
        <v>181</v>
      </c>
      <c r="B186" t="s">
        <v>533</v>
      </c>
      <c r="C186" s="2">
        <v>0.5395833333333333</v>
      </c>
      <c r="D186" s="4">
        <f t="shared" si="15"/>
        <v>0.1652777777777778</v>
      </c>
      <c r="E186" s="6">
        <v>0.3743055555555555</v>
      </c>
      <c r="F186" s="5">
        <f t="shared" si="17"/>
        <v>0.6936936936936936</v>
      </c>
      <c r="G186" s="5">
        <v>0.76600000000000001</v>
      </c>
      <c r="H186" s="4">
        <f>67.3/1440</f>
        <v>4.673611111111111E-2</v>
      </c>
      <c r="I186" s="5">
        <v>9.5000000000000001E-2</v>
      </c>
      <c r="J186" s="11" t="s">
        <v>536</v>
      </c>
    </row>
    <row r="187" spans="1:10" ht="13.9" customHeight="1" x14ac:dyDescent="0.25">
      <c r="A187">
        <f t="shared" si="16"/>
        <v>182</v>
      </c>
      <c r="B187" t="s">
        <v>315</v>
      </c>
      <c r="C187" s="2">
        <v>0.49861111111111112</v>
      </c>
      <c r="D187" s="4">
        <f t="shared" si="15"/>
        <v>0.125</v>
      </c>
      <c r="E187" s="6">
        <v>0.37361111111111112</v>
      </c>
      <c r="F187" s="5">
        <f t="shared" si="17"/>
        <v>0.74930362116991645</v>
      </c>
      <c r="G187" s="5">
        <v>0.89700000000000002</v>
      </c>
      <c r="H187" s="4">
        <f>83/1440</f>
        <v>5.7638888888888892E-2</v>
      </c>
      <c r="I187" s="5">
        <v>0.13800000000000001</v>
      </c>
      <c r="J187" s="11" t="s">
        <v>316</v>
      </c>
    </row>
    <row r="188" spans="1:10" ht="13.9" customHeight="1" x14ac:dyDescent="0.25">
      <c r="A188">
        <f t="shared" si="16"/>
        <v>183</v>
      </c>
      <c r="B188" t="s">
        <v>1047</v>
      </c>
      <c r="C188" s="2">
        <v>0.50902777777777775</v>
      </c>
      <c r="D188" s="4">
        <f t="shared" si="15"/>
        <v>0.13541666666666663</v>
      </c>
      <c r="E188" s="6">
        <v>0.37361111111111112</v>
      </c>
      <c r="F188" s="5">
        <f t="shared" si="17"/>
        <v>0.73396998635743527</v>
      </c>
      <c r="G188" s="5">
        <v>0.90500000000000003</v>
      </c>
      <c r="H188" s="4">
        <f>71.1/1440</f>
        <v>4.9374999999999995E-2</v>
      </c>
      <c r="I188" s="5">
        <v>0.11899999999999999</v>
      </c>
      <c r="J188" s="11" t="s">
        <v>1036</v>
      </c>
    </row>
    <row r="189" spans="1:10" ht="13.9" customHeight="1" x14ac:dyDescent="0.25">
      <c r="A189">
        <f t="shared" si="16"/>
        <v>184</v>
      </c>
      <c r="B189" t="s">
        <v>1067</v>
      </c>
      <c r="C189" s="2">
        <v>0.49583333333333335</v>
      </c>
      <c r="D189" s="4">
        <f t="shared" si="15"/>
        <v>0.12222222222222223</v>
      </c>
      <c r="E189" s="6">
        <v>0.37361111111111112</v>
      </c>
      <c r="F189" s="5">
        <f t="shared" si="17"/>
        <v>0.75350140056022408</v>
      </c>
      <c r="G189" s="5">
        <v>0.84799999999999998</v>
      </c>
      <c r="H189" s="4">
        <f>76.2/1440</f>
        <v>5.2916666666666667E-2</v>
      </c>
      <c r="I189" s="5">
        <v>0.12</v>
      </c>
      <c r="J189" s="11" t="s">
        <v>1051</v>
      </c>
    </row>
    <row r="190" spans="1:10" ht="13.9" customHeight="1" x14ac:dyDescent="0.25">
      <c r="A190">
        <f t="shared" si="16"/>
        <v>185</v>
      </c>
      <c r="B190" t="s">
        <v>859</v>
      </c>
      <c r="C190" s="2">
        <v>0.46805555555555556</v>
      </c>
      <c r="D190" s="4">
        <f t="shared" si="15"/>
        <v>9.5138888888888884E-2</v>
      </c>
      <c r="E190" s="6">
        <v>0.37291666666666667</v>
      </c>
      <c r="F190" s="5">
        <f t="shared" si="17"/>
        <v>0.79673590504451042</v>
      </c>
      <c r="G190" s="5">
        <v>0.72</v>
      </c>
      <c r="H190" s="4">
        <f>47.6/1440</f>
        <v>3.3055555555555553E-2</v>
      </c>
      <c r="I190" s="5">
        <v>6.4000000000000001E-2</v>
      </c>
      <c r="J190" s="11" t="s">
        <v>860</v>
      </c>
    </row>
    <row r="191" spans="1:10" ht="13.9" customHeight="1" x14ac:dyDescent="0.25">
      <c r="A191">
        <f t="shared" si="16"/>
        <v>186</v>
      </c>
      <c r="B191" t="s">
        <v>1459</v>
      </c>
      <c r="C191" s="2">
        <v>0.5</v>
      </c>
      <c r="D191" s="4">
        <f t="shared" si="15"/>
        <v>0.12708333333333333</v>
      </c>
      <c r="E191" s="6">
        <v>0.37291666666666667</v>
      </c>
      <c r="F191" s="5">
        <f t="shared" si="17"/>
        <v>0.74583333333333335</v>
      </c>
      <c r="G191" s="5">
        <v>0.79600000000000004</v>
      </c>
      <c r="H191" s="4">
        <f>58.4/1440</f>
        <v>4.0555555555555553E-2</v>
      </c>
      <c r="I191" s="5">
        <v>8.6999999999999994E-2</v>
      </c>
      <c r="J191" s="11" t="s">
        <v>1442</v>
      </c>
    </row>
    <row r="192" spans="1:10" ht="13.9" customHeight="1" x14ac:dyDescent="0.25">
      <c r="A192">
        <f t="shared" si="16"/>
        <v>187</v>
      </c>
      <c r="B192" t="s">
        <v>1654</v>
      </c>
      <c r="C192" s="2">
        <v>0.46458333333333335</v>
      </c>
      <c r="D192" s="4">
        <f t="shared" si="15"/>
        <v>9.1666666666666674E-2</v>
      </c>
      <c r="E192" s="6">
        <v>0.37291666666666667</v>
      </c>
      <c r="F192" s="5">
        <f t="shared" si="17"/>
        <v>0.80269058295964124</v>
      </c>
      <c r="G192" s="5">
        <v>0.86199999999999999</v>
      </c>
      <c r="H192" s="4">
        <f>82.4/1440</f>
        <v>5.7222222222222223E-2</v>
      </c>
      <c r="I192" s="5">
        <v>0.13200000000000001</v>
      </c>
      <c r="J192" s="11" t="s">
        <v>1649</v>
      </c>
    </row>
    <row r="193" spans="1:10" ht="13.9" customHeight="1" x14ac:dyDescent="0.25">
      <c r="A193">
        <f t="shared" si="16"/>
        <v>188</v>
      </c>
      <c r="B193" t="s">
        <v>1742</v>
      </c>
      <c r="C193" s="2">
        <v>0.50624999999999998</v>
      </c>
      <c r="D193" s="4">
        <f t="shared" si="15"/>
        <v>0.1333333333333333</v>
      </c>
      <c r="E193" s="6">
        <v>0.37291666666666667</v>
      </c>
      <c r="F193" s="5">
        <f t="shared" si="17"/>
        <v>0.73662551440329227</v>
      </c>
      <c r="G193" s="5">
        <v>1</v>
      </c>
      <c r="H193" s="4">
        <f>116.9/1440</f>
        <v>8.1180555555555561E-2</v>
      </c>
      <c r="I193" s="5">
        <v>0.217</v>
      </c>
      <c r="J193" s="11" t="s">
        <v>1748</v>
      </c>
    </row>
    <row r="194" spans="1:10" ht="13.9" customHeight="1" x14ac:dyDescent="0.25">
      <c r="A194">
        <f t="shared" si="16"/>
        <v>189</v>
      </c>
      <c r="B194" t="s">
        <v>305</v>
      </c>
      <c r="C194" s="2">
        <v>0.46319444444444446</v>
      </c>
      <c r="D194" s="4">
        <f t="shared" si="15"/>
        <v>9.0277777777777846E-2</v>
      </c>
      <c r="E194" s="6">
        <v>0.37291666666666662</v>
      </c>
      <c r="F194" s="5">
        <f t="shared" si="17"/>
        <v>0.80509745127436272</v>
      </c>
      <c r="G194" s="5">
        <v>0.84099999999999997</v>
      </c>
      <c r="H194" s="4">
        <f>82.4/1440</f>
        <v>5.7222222222222223E-2</v>
      </c>
      <c r="I194" s="5">
        <v>0.129</v>
      </c>
      <c r="J194" s="11" t="s">
        <v>306</v>
      </c>
    </row>
    <row r="195" spans="1:10" ht="13.9" customHeight="1" x14ac:dyDescent="0.25">
      <c r="A195">
        <f t="shared" si="16"/>
        <v>190</v>
      </c>
      <c r="B195" t="s">
        <v>137</v>
      </c>
      <c r="C195" s="2">
        <v>0.56527777777777777</v>
      </c>
      <c r="D195" s="4">
        <f t="shared" si="15"/>
        <v>0.19305555555555554</v>
      </c>
      <c r="E195" s="6">
        <v>0.37222222222222223</v>
      </c>
      <c r="F195" s="5">
        <f t="shared" si="17"/>
        <v>0.65847665847665848</v>
      </c>
      <c r="G195" s="5">
        <v>0.82299999999999995</v>
      </c>
      <c r="H195" s="4">
        <f>85.8/1440</f>
        <v>5.9583333333333328E-2</v>
      </c>
      <c r="I195" s="5">
        <v>0.13200000000000001</v>
      </c>
      <c r="J195" s="11" t="s">
        <v>138</v>
      </c>
    </row>
    <row r="196" spans="1:10" ht="13.9" customHeight="1" x14ac:dyDescent="0.25">
      <c r="A196">
        <f t="shared" si="16"/>
        <v>191</v>
      </c>
      <c r="B196" t="s">
        <v>515</v>
      </c>
      <c r="C196" s="2">
        <v>0.5229166666666667</v>
      </c>
      <c r="D196" s="4">
        <f t="shared" ref="D196:D227" si="18">C196-E196</f>
        <v>0.15069444444444446</v>
      </c>
      <c r="E196" s="6">
        <v>0.37222222222222223</v>
      </c>
      <c r="F196" s="5">
        <f t="shared" si="17"/>
        <v>0.7118193891102258</v>
      </c>
      <c r="G196" s="5">
        <v>0.83199999999999996</v>
      </c>
      <c r="H196" s="4">
        <f>80.2/1440</f>
        <v>5.5694444444444449E-2</v>
      </c>
      <c r="I196" s="5">
        <v>0.124</v>
      </c>
      <c r="J196" s="11" t="s">
        <v>516</v>
      </c>
    </row>
    <row r="197" spans="1:10" ht="13.9" customHeight="1" x14ac:dyDescent="0.25">
      <c r="A197">
        <f t="shared" si="16"/>
        <v>192</v>
      </c>
      <c r="B197" t="s">
        <v>835</v>
      </c>
      <c r="C197" s="2">
        <v>0.52361111111111114</v>
      </c>
      <c r="D197" s="4">
        <f t="shared" si="18"/>
        <v>0.15208333333333335</v>
      </c>
      <c r="E197" s="6">
        <v>0.37152777777777779</v>
      </c>
      <c r="F197" s="5">
        <f t="shared" si="17"/>
        <v>0.70954907161803715</v>
      </c>
      <c r="G197" s="5">
        <v>0.83099999999999996</v>
      </c>
      <c r="H197" s="4">
        <f>68/1440</f>
        <v>4.7222222222222221E-2</v>
      </c>
      <c r="I197" s="5">
        <v>0.106</v>
      </c>
      <c r="J197" s="11" t="s">
        <v>840</v>
      </c>
    </row>
    <row r="198" spans="1:10" ht="13.9" customHeight="1" x14ac:dyDescent="0.25">
      <c r="A198">
        <f t="shared" si="16"/>
        <v>193</v>
      </c>
      <c r="B198" t="s">
        <v>1206</v>
      </c>
      <c r="C198" s="2">
        <v>0.46527777777777779</v>
      </c>
      <c r="D198" s="4">
        <f t="shared" si="18"/>
        <v>9.375E-2</v>
      </c>
      <c r="E198" s="6">
        <v>0.37152777777777779</v>
      </c>
      <c r="F198" s="5">
        <f t="shared" si="17"/>
        <v>0.79850746268656714</v>
      </c>
      <c r="G198" s="5">
        <v>0.79800000000000004</v>
      </c>
      <c r="H198" s="4">
        <f>65.3/1440</f>
        <v>4.5347222222222219E-2</v>
      </c>
      <c r="I198" s="5">
        <v>9.7000000000000003E-2</v>
      </c>
      <c r="J198" s="11" t="s">
        <v>1185</v>
      </c>
    </row>
    <row r="199" spans="1:10" ht="13.9" customHeight="1" x14ac:dyDescent="0.25">
      <c r="A199">
        <f t="shared" si="16"/>
        <v>194</v>
      </c>
      <c r="B199" t="s">
        <v>1356</v>
      </c>
      <c r="C199" s="2">
        <v>0.43680555555555556</v>
      </c>
      <c r="D199" s="4">
        <f t="shared" si="18"/>
        <v>6.5277777777777768E-2</v>
      </c>
      <c r="E199" s="6">
        <v>0.37152777777777779</v>
      </c>
      <c r="F199" s="5">
        <f t="shared" si="17"/>
        <v>0.85055643879173293</v>
      </c>
      <c r="G199" s="5">
        <v>0.78900000000000003</v>
      </c>
      <c r="H199" s="4">
        <f>72.6/1440</f>
        <v>5.0416666666666665E-2</v>
      </c>
      <c r="I199" s="5">
        <v>0.108</v>
      </c>
      <c r="J199" s="11" t="s">
        <v>1352</v>
      </c>
    </row>
    <row r="200" spans="1:10" ht="13.9" customHeight="1" x14ac:dyDescent="0.25">
      <c r="A200">
        <f t="shared" si="16"/>
        <v>195</v>
      </c>
      <c r="B200" t="s">
        <v>1513</v>
      </c>
      <c r="C200" s="2">
        <v>0.48194444444444445</v>
      </c>
      <c r="D200" s="4">
        <f t="shared" si="18"/>
        <v>0.11041666666666666</v>
      </c>
      <c r="E200" s="6">
        <v>0.37152777777777779</v>
      </c>
      <c r="F200" s="5">
        <f t="shared" si="17"/>
        <v>0.77089337175792505</v>
      </c>
      <c r="G200" s="5">
        <v>0.83299999999999996</v>
      </c>
      <c r="H200" s="4">
        <f>70.2/1440</f>
        <v>4.8750000000000002E-2</v>
      </c>
      <c r="I200" s="5">
        <v>0.109</v>
      </c>
      <c r="J200" s="11" t="s">
        <v>1505</v>
      </c>
    </row>
    <row r="201" spans="1:10" ht="13.9" customHeight="1" x14ac:dyDescent="0.25">
      <c r="A201">
        <f t="shared" si="16"/>
        <v>196</v>
      </c>
      <c r="B201" t="s">
        <v>1532</v>
      </c>
      <c r="C201" s="2">
        <v>0.49444444444444446</v>
      </c>
      <c r="D201" s="4">
        <f t="shared" si="18"/>
        <v>0.12291666666666667</v>
      </c>
      <c r="E201" s="6">
        <v>0.37152777777777779</v>
      </c>
      <c r="F201" s="5">
        <f t="shared" si="17"/>
        <v>0.7514044943820225</v>
      </c>
      <c r="G201" s="5">
        <v>0.86</v>
      </c>
      <c r="H201" s="4">
        <f>63.9/1440</f>
        <v>4.4374999999999998E-2</v>
      </c>
      <c r="I201" s="5">
        <v>0.10299999999999999</v>
      </c>
      <c r="J201" s="11" t="s">
        <v>1527</v>
      </c>
    </row>
    <row r="202" spans="1:10" ht="13.9" customHeight="1" x14ac:dyDescent="0.25">
      <c r="A202">
        <f t="shared" si="16"/>
        <v>197</v>
      </c>
      <c r="B202" t="s">
        <v>431</v>
      </c>
      <c r="C202" s="2">
        <v>0.52222222222222225</v>
      </c>
      <c r="D202" s="4">
        <f t="shared" si="18"/>
        <v>0.15069444444444452</v>
      </c>
      <c r="E202" s="6">
        <v>0.37152777777777773</v>
      </c>
      <c r="F202" s="5">
        <f t="shared" si="17"/>
        <v>0.71143617021276584</v>
      </c>
      <c r="G202" s="5">
        <v>0.72</v>
      </c>
      <c r="H202" s="4">
        <f>90.8/1440</f>
        <v>6.3055555555555559E-2</v>
      </c>
      <c r="I202" s="5">
        <v>0.122</v>
      </c>
      <c r="J202" s="11" t="s">
        <v>96</v>
      </c>
    </row>
    <row r="203" spans="1:10" ht="13.9" customHeight="1" x14ac:dyDescent="0.25">
      <c r="A203">
        <f t="shared" si="16"/>
        <v>198</v>
      </c>
      <c r="B203" t="s">
        <v>448</v>
      </c>
      <c r="C203" s="2">
        <v>0.5131944444444444</v>
      </c>
      <c r="D203" s="4">
        <f t="shared" si="18"/>
        <v>0.14166666666666666</v>
      </c>
      <c r="E203" s="6">
        <v>0.37152777777777773</v>
      </c>
      <c r="F203" s="5">
        <f t="shared" ref="F203:F234" si="19">E203/C203</f>
        <v>0.72395128552097432</v>
      </c>
      <c r="G203" s="5">
        <v>0.84399999999999997</v>
      </c>
      <c r="H203" s="4">
        <f>71.5/1440</f>
        <v>4.9652777777777775E-2</v>
      </c>
      <c r="I203" s="5">
        <v>0.113</v>
      </c>
      <c r="J203" s="11" t="s">
        <v>456</v>
      </c>
    </row>
    <row r="204" spans="1:10" x14ac:dyDescent="0.25">
      <c r="A204">
        <f t="shared" si="16"/>
        <v>199</v>
      </c>
      <c r="B204" t="s">
        <v>543</v>
      </c>
      <c r="C204" s="2">
        <v>0.4770833333333333</v>
      </c>
      <c r="D204" s="4">
        <f t="shared" si="18"/>
        <v>0.10624999999999996</v>
      </c>
      <c r="E204" s="6">
        <v>0.37083333333333335</v>
      </c>
      <c r="F204" s="5">
        <f t="shared" si="19"/>
        <v>0.77729257641921401</v>
      </c>
      <c r="G204" s="5">
        <v>0.92200000000000004</v>
      </c>
      <c r="H204" s="4">
        <f>117.6/1440</f>
        <v>8.1666666666666665E-2</v>
      </c>
      <c r="I204" s="5">
        <v>0.20300000000000001</v>
      </c>
      <c r="J204" s="11" t="s">
        <v>544</v>
      </c>
    </row>
    <row r="205" spans="1:10" x14ac:dyDescent="0.25">
      <c r="A205">
        <f t="shared" ref="A205:A271" si="20">A204+1</f>
        <v>200</v>
      </c>
      <c r="B205" t="s">
        <v>806</v>
      </c>
      <c r="C205" s="2">
        <v>0.49375000000000002</v>
      </c>
      <c r="D205" s="4">
        <f t="shared" si="18"/>
        <v>0.12291666666666667</v>
      </c>
      <c r="E205" s="6">
        <v>0.37083333333333335</v>
      </c>
      <c r="F205" s="5">
        <f t="shared" si="19"/>
        <v>0.75105485232067515</v>
      </c>
      <c r="G205" s="5">
        <v>0.82399999999999995</v>
      </c>
      <c r="H205" s="4">
        <f>71.2/1440</f>
        <v>4.9444444444444444E-2</v>
      </c>
      <c r="I205" s="5">
        <v>0.11</v>
      </c>
      <c r="J205" s="11" t="s">
        <v>810</v>
      </c>
    </row>
    <row r="206" spans="1:10" x14ac:dyDescent="0.25">
      <c r="A206">
        <f t="shared" si="20"/>
        <v>201</v>
      </c>
      <c r="B206" t="s">
        <v>1027</v>
      </c>
      <c r="C206" s="2">
        <v>0.48541666666666666</v>
      </c>
      <c r="D206" s="4">
        <f t="shared" si="18"/>
        <v>0.11458333333333331</v>
      </c>
      <c r="E206" s="6">
        <v>0.37083333333333335</v>
      </c>
      <c r="F206" s="5">
        <f t="shared" si="19"/>
        <v>0.76394849785407726</v>
      </c>
      <c r="G206" s="5">
        <v>0.84899999999999998</v>
      </c>
      <c r="H206" s="4">
        <f>65/1440</f>
        <v>4.5138888888888888E-2</v>
      </c>
      <c r="I206" s="5">
        <v>0.10299999999999999</v>
      </c>
      <c r="J206" s="11" t="s">
        <v>1021</v>
      </c>
    </row>
    <row r="207" spans="1:10" x14ac:dyDescent="0.25">
      <c r="A207">
        <f t="shared" si="20"/>
        <v>202</v>
      </c>
      <c r="B207" t="s">
        <v>1620</v>
      </c>
      <c r="C207" s="2">
        <v>0.49583333333333335</v>
      </c>
      <c r="D207" s="4">
        <f t="shared" si="18"/>
        <v>0.125</v>
      </c>
      <c r="E207" s="6">
        <v>0.37083333333333335</v>
      </c>
      <c r="F207" s="5">
        <f t="shared" si="19"/>
        <v>0.74789915966386555</v>
      </c>
      <c r="G207" s="5">
        <v>0.85599999999999998</v>
      </c>
      <c r="H207" s="4">
        <f>67.3/1440</f>
        <v>4.673611111111111E-2</v>
      </c>
      <c r="I207" s="5">
        <v>0.108</v>
      </c>
      <c r="J207" s="11" t="s">
        <v>1614</v>
      </c>
    </row>
    <row r="208" spans="1:10" x14ac:dyDescent="0.25">
      <c r="A208">
        <f t="shared" si="20"/>
        <v>203</v>
      </c>
      <c r="B208" t="s">
        <v>1655</v>
      </c>
      <c r="C208" s="2">
        <v>0.5083333333333333</v>
      </c>
      <c r="D208" s="4">
        <f t="shared" si="18"/>
        <v>0.13749999999999996</v>
      </c>
      <c r="E208" s="6">
        <v>0.37083333333333335</v>
      </c>
      <c r="F208" s="5">
        <f t="shared" si="19"/>
        <v>0.72950819672131151</v>
      </c>
      <c r="G208" s="5">
        <v>0.77900000000000003</v>
      </c>
      <c r="H208" s="4">
        <f>67.1/1440</f>
        <v>4.659722222222222E-2</v>
      </c>
      <c r="I208" s="5">
        <v>9.8000000000000004E-2</v>
      </c>
      <c r="J208" s="11" t="s">
        <v>1649</v>
      </c>
    </row>
    <row r="209" spans="1:10" x14ac:dyDescent="0.25">
      <c r="A209">
        <f t="shared" si="20"/>
        <v>204</v>
      </c>
      <c r="B209" t="s">
        <v>1686</v>
      </c>
      <c r="C209" s="2">
        <v>0.48125000000000001</v>
      </c>
      <c r="D209" s="4">
        <f t="shared" si="18"/>
        <v>0.11041666666666666</v>
      </c>
      <c r="E209" s="6">
        <v>0.37083333333333335</v>
      </c>
      <c r="F209" s="5">
        <f t="shared" si="19"/>
        <v>0.77056277056277056</v>
      </c>
      <c r="G209" s="5">
        <v>0.80200000000000005</v>
      </c>
      <c r="H209" s="4">
        <f>61.6/1440</f>
        <v>4.2777777777777776E-2</v>
      </c>
      <c r="I209" s="5">
        <v>9.1999999999999998E-2</v>
      </c>
      <c r="J209" s="11" t="s">
        <v>1684</v>
      </c>
    </row>
    <row r="210" spans="1:10" x14ac:dyDescent="0.25">
      <c r="A210">
        <f t="shared" si="20"/>
        <v>205</v>
      </c>
      <c r="B210" t="s">
        <v>1515</v>
      </c>
      <c r="C210" s="2">
        <v>0.48402777777777778</v>
      </c>
      <c r="D210" s="4">
        <f t="shared" si="18"/>
        <v>0.11388888888888887</v>
      </c>
      <c r="E210" s="6">
        <v>0.37013888888888891</v>
      </c>
      <c r="F210" s="5">
        <f t="shared" si="19"/>
        <v>0.76470588235294124</v>
      </c>
      <c r="G210" s="5">
        <v>0.79800000000000004</v>
      </c>
      <c r="H210" s="4">
        <f>61/1440</f>
        <v>4.2361111111111113E-2</v>
      </c>
      <c r="I210" s="5">
        <v>9.0999999999999998E-2</v>
      </c>
      <c r="J210" s="11" t="s">
        <v>1505</v>
      </c>
    </row>
    <row r="211" spans="1:10" x14ac:dyDescent="0.25">
      <c r="A211">
        <f t="shared" si="20"/>
        <v>206</v>
      </c>
      <c r="B211" t="s">
        <v>1616</v>
      </c>
      <c r="C211" s="2">
        <v>0.47291666666666665</v>
      </c>
      <c r="D211" s="4">
        <f t="shared" si="18"/>
        <v>0.10277777777777775</v>
      </c>
      <c r="E211" s="6">
        <v>0.37013888888888891</v>
      </c>
      <c r="F211" s="5">
        <f t="shared" si="19"/>
        <v>0.78267254038179157</v>
      </c>
      <c r="G211" s="5">
        <v>0.81599999999999995</v>
      </c>
      <c r="H211" s="4">
        <f>69.4/1440</f>
        <v>4.8194444444444449E-2</v>
      </c>
      <c r="I211" s="5">
        <v>0.106</v>
      </c>
      <c r="J211" s="11" t="s">
        <v>1613</v>
      </c>
    </row>
    <row r="212" spans="1:10" x14ac:dyDescent="0.25">
      <c r="A212">
        <f t="shared" si="20"/>
        <v>207</v>
      </c>
      <c r="B212" t="s">
        <v>504</v>
      </c>
      <c r="C212" s="2">
        <v>0.48958333333333331</v>
      </c>
      <c r="D212" s="4">
        <f t="shared" si="18"/>
        <v>0.11944444444444446</v>
      </c>
      <c r="E212" s="6">
        <v>0.37013888888888885</v>
      </c>
      <c r="F212" s="5">
        <f t="shared" si="19"/>
        <v>0.75602836879432622</v>
      </c>
      <c r="G212" s="5">
        <v>0.73499999999999999</v>
      </c>
      <c r="H212" s="4">
        <f>49.4/1440</f>
        <v>3.4305555555555554E-2</v>
      </c>
      <c r="I212" s="5">
        <v>6.8000000000000005E-2</v>
      </c>
      <c r="J212" s="11" t="s">
        <v>505</v>
      </c>
    </row>
    <row r="213" spans="1:10" x14ac:dyDescent="0.25">
      <c r="A213">
        <f t="shared" si="20"/>
        <v>208</v>
      </c>
      <c r="B213" t="s">
        <v>357</v>
      </c>
      <c r="C213" s="2">
        <v>0.50972222222222219</v>
      </c>
      <c r="D213" s="4">
        <f t="shared" si="18"/>
        <v>0.14027777777777772</v>
      </c>
      <c r="E213" s="6">
        <v>0.36944444444444446</v>
      </c>
      <c r="F213" s="5">
        <f t="shared" si="19"/>
        <v>0.72479564032697552</v>
      </c>
      <c r="G213" s="5">
        <v>0.81299999999999994</v>
      </c>
      <c r="H213" s="4">
        <f>88.1/1440</f>
        <v>6.1180555555555551E-2</v>
      </c>
      <c r="I213" s="5">
        <v>0.13400000000000001</v>
      </c>
      <c r="J213" s="11" t="s">
        <v>361</v>
      </c>
    </row>
    <row r="214" spans="1:10" x14ac:dyDescent="0.25">
      <c r="A214">
        <f t="shared" si="20"/>
        <v>209</v>
      </c>
      <c r="B214" t="s">
        <v>426</v>
      </c>
      <c r="C214" s="2">
        <v>0.5229166666666667</v>
      </c>
      <c r="D214" s="4">
        <f t="shared" si="18"/>
        <v>0.15347222222222223</v>
      </c>
      <c r="E214" s="6">
        <v>0.36944444444444446</v>
      </c>
      <c r="F214" s="5">
        <f t="shared" si="19"/>
        <v>0.70650730411686591</v>
      </c>
      <c r="G214" s="5">
        <v>0.86299999999999999</v>
      </c>
      <c r="H214" s="4">
        <f>71/1440</f>
        <v>4.9305555555555554E-2</v>
      </c>
      <c r="I214" s="5">
        <v>0.115</v>
      </c>
      <c r="J214" s="11" t="s">
        <v>427</v>
      </c>
    </row>
    <row r="215" spans="1:10" x14ac:dyDescent="0.25">
      <c r="A215">
        <f t="shared" si="20"/>
        <v>210</v>
      </c>
      <c r="B215" t="s">
        <v>777</v>
      </c>
      <c r="C215" s="2">
        <v>0.49722222222222223</v>
      </c>
      <c r="D215" s="4">
        <f t="shared" si="18"/>
        <v>0.12777777777777777</v>
      </c>
      <c r="E215" s="6">
        <v>0.36944444444444446</v>
      </c>
      <c r="F215" s="5">
        <f t="shared" si="19"/>
        <v>0.74301675977653636</v>
      </c>
      <c r="G215" s="5">
        <v>0.86399999999999999</v>
      </c>
      <c r="H215" s="4">
        <f>69.2/1440</f>
        <v>4.805555555555556E-2</v>
      </c>
      <c r="I215" s="5">
        <v>0.112</v>
      </c>
      <c r="J215" s="11" t="s">
        <v>782</v>
      </c>
    </row>
    <row r="216" spans="1:10" x14ac:dyDescent="0.25">
      <c r="A216">
        <f t="shared" si="20"/>
        <v>211</v>
      </c>
      <c r="B216" t="s">
        <v>1580</v>
      </c>
      <c r="C216" s="2">
        <v>0.46666666666666667</v>
      </c>
      <c r="D216" s="4">
        <f t="shared" si="18"/>
        <v>9.722222222222221E-2</v>
      </c>
      <c r="E216" s="6">
        <v>0.36944444444444446</v>
      </c>
      <c r="F216" s="5">
        <f t="shared" si="19"/>
        <v>0.79166666666666674</v>
      </c>
      <c r="G216" s="5">
        <v>0.82499999999999996</v>
      </c>
      <c r="H216" s="4">
        <f>66.3/1440</f>
        <v>4.6041666666666661E-2</v>
      </c>
      <c r="I216" s="5">
        <v>0.10299999999999999</v>
      </c>
      <c r="J216" s="11" t="s">
        <v>1585</v>
      </c>
    </row>
    <row r="217" spans="1:10" x14ac:dyDescent="0.25">
      <c r="A217">
        <f t="shared" si="20"/>
        <v>212</v>
      </c>
      <c r="B217" t="s">
        <v>1391</v>
      </c>
      <c r="C217" s="2">
        <v>0.47638888888888886</v>
      </c>
      <c r="D217" s="4">
        <f t="shared" si="18"/>
        <v>0.10763888888888884</v>
      </c>
      <c r="E217" s="6">
        <v>0.36875000000000002</v>
      </c>
      <c r="F217" s="5">
        <f t="shared" si="19"/>
        <v>0.77405247813411093</v>
      </c>
      <c r="G217" s="5">
        <v>0.85</v>
      </c>
      <c r="H217" s="4">
        <f>59.8/1440</f>
        <v>4.1527777777777775E-2</v>
      </c>
      <c r="I217" s="5">
        <v>9.6000000000000002E-2</v>
      </c>
      <c r="J217" s="11" t="s">
        <v>1388</v>
      </c>
    </row>
    <row r="218" spans="1:10" x14ac:dyDescent="0.25">
      <c r="A218">
        <f t="shared" si="20"/>
        <v>213</v>
      </c>
      <c r="B218" t="s">
        <v>1533</v>
      </c>
      <c r="C218" s="2">
        <v>0.47847222222222224</v>
      </c>
      <c r="D218" s="4">
        <f t="shared" si="18"/>
        <v>0.10972222222222222</v>
      </c>
      <c r="E218" s="6">
        <v>0.36875000000000002</v>
      </c>
      <c r="F218" s="5">
        <f t="shared" si="19"/>
        <v>0.77068214804063861</v>
      </c>
      <c r="G218" s="5">
        <v>0.89700000000000002</v>
      </c>
      <c r="H218" s="4">
        <f>67.6/1440</f>
        <v>4.6944444444444441E-2</v>
      </c>
      <c r="I218" s="5">
        <v>0.114</v>
      </c>
      <c r="J218" s="11" t="s">
        <v>1527</v>
      </c>
    </row>
    <row r="219" spans="1:10" x14ac:dyDescent="0.25">
      <c r="A219">
        <f t="shared" si="20"/>
        <v>214</v>
      </c>
      <c r="B219" t="s">
        <v>347</v>
      </c>
      <c r="C219" s="2">
        <v>0.58611111111111114</v>
      </c>
      <c r="D219" s="4">
        <f t="shared" si="18"/>
        <v>0.21736111111111117</v>
      </c>
      <c r="E219" s="6">
        <v>0.36874999999999997</v>
      </c>
      <c r="F219" s="5">
        <f t="shared" si="19"/>
        <v>0.62914691943127954</v>
      </c>
      <c r="G219" s="5">
        <v>0.59899999999999998</v>
      </c>
      <c r="H219" s="4">
        <f>82.3/1440</f>
        <v>5.7152777777777775E-2</v>
      </c>
      <c r="I219" s="5">
        <v>9.2999999999999999E-2</v>
      </c>
      <c r="J219" s="11" t="s">
        <v>348</v>
      </c>
    </row>
    <row r="220" spans="1:10" x14ac:dyDescent="0.25">
      <c r="A220">
        <f t="shared" si="20"/>
        <v>215</v>
      </c>
      <c r="B220" t="s">
        <v>220</v>
      </c>
      <c r="C220" s="2">
        <v>0.54097222222222219</v>
      </c>
      <c r="D220" s="4">
        <f t="shared" si="18"/>
        <v>0.17291666666666661</v>
      </c>
      <c r="E220" s="6">
        <v>0.36805555555555558</v>
      </c>
      <c r="F220" s="5">
        <f t="shared" si="19"/>
        <v>0.68035943517329922</v>
      </c>
      <c r="G220" s="5">
        <v>0.68400000000000005</v>
      </c>
      <c r="H220" s="4">
        <f>58.6/1440</f>
        <v>4.0694444444444443E-2</v>
      </c>
      <c r="I220" s="5">
        <v>7.5999999999999998E-2</v>
      </c>
      <c r="J220" s="11" t="s">
        <v>223</v>
      </c>
    </row>
    <row r="221" spans="1:10" x14ac:dyDescent="0.25">
      <c r="A221">
        <f t="shared" si="20"/>
        <v>216</v>
      </c>
      <c r="B221" t="s">
        <v>367</v>
      </c>
      <c r="C221" s="2">
        <v>0.50694444444444442</v>
      </c>
      <c r="D221" s="4">
        <f t="shared" si="18"/>
        <v>0.13888888888888884</v>
      </c>
      <c r="E221" s="6">
        <v>0.36805555555555558</v>
      </c>
      <c r="F221" s="5">
        <f t="shared" si="19"/>
        <v>0.7260273972602741</v>
      </c>
      <c r="G221" s="5">
        <v>0.80300000000000005</v>
      </c>
      <c r="H221" s="4">
        <f>86.1/1440</f>
        <v>5.979166666666666E-2</v>
      </c>
      <c r="I221" s="5">
        <v>0.13</v>
      </c>
      <c r="J221" s="11" t="s">
        <v>368</v>
      </c>
    </row>
    <row r="222" spans="1:10" x14ac:dyDescent="0.25">
      <c r="A222">
        <f t="shared" si="20"/>
        <v>217</v>
      </c>
      <c r="B222" t="s">
        <v>1791</v>
      </c>
      <c r="C222" s="2">
        <v>0.47083333333333333</v>
      </c>
      <c r="D222" s="4">
        <f t="shared" si="18"/>
        <v>0.10277777777777775</v>
      </c>
      <c r="E222" s="6">
        <v>0.36805555555555558</v>
      </c>
      <c r="F222" s="5">
        <f t="shared" si="19"/>
        <v>0.78171091445427732</v>
      </c>
      <c r="G222" s="5">
        <v>1</v>
      </c>
      <c r="H222" s="4">
        <f>99.8/1440</f>
        <v>6.9305555555555551E-2</v>
      </c>
      <c r="I222" s="5">
        <v>0.188</v>
      </c>
      <c r="J222" s="11" t="s">
        <v>1776</v>
      </c>
    </row>
    <row r="223" spans="1:10" x14ac:dyDescent="0.25">
      <c r="A223">
        <f t="shared" si="20"/>
        <v>218</v>
      </c>
      <c r="B223" t="s">
        <v>797</v>
      </c>
      <c r="C223" s="2">
        <v>0.49722222222222223</v>
      </c>
      <c r="D223" s="4">
        <f t="shared" si="18"/>
        <v>0.12986111111111109</v>
      </c>
      <c r="E223" s="6">
        <v>0.36736111111111114</v>
      </c>
      <c r="F223" s="5">
        <f t="shared" si="19"/>
        <v>0.73882681564245811</v>
      </c>
      <c r="G223" s="5">
        <v>0.878</v>
      </c>
      <c r="H223" s="4">
        <f>74.8/1440</f>
        <v>5.1944444444444446E-2</v>
      </c>
      <c r="I223" s="5">
        <v>0.124</v>
      </c>
      <c r="J223" s="11" t="s">
        <v>800</v>
      </c>
    </row>
    <row r="224" spans="1:10" x14ac:dyDescent="0.25">
      <c r="A224">
        <f t="shared" si="20"/>
        <v>219</v>
      </c>
      <c r="B224" t="s">
        <v>1042</v>
      </c>
      <c r="C224" s="2">
        <v>0.47013888888888888</v>
      </c>
      <c r="D224" s="4">
        <f t="shared" si="18"/>
        <v>0.10277777777777775</v>
      </c>
      <c r="E224" s="6">
        <v>0.36736111111111114</v>
      </c>
      <c r="F224" s="5">
        <f t="shared" si="19"/>
        <v>0.78138847858197935</v>
      </c>
      <c r="G224" s="5">
        <v>0.84199999999999997</v>
      </c>
      <c r="H224" s="4">
        <f>57.5/1440</f>
        <v>3.9930555555555552E-2</v>
      </c>
      <c r="I224" s="5">
        <v>9.0999999999999998E-2</v>
      </c>
      <c r="J224" s="11" t="s">
        <v>1035</v>
      </c>
    </row>
    <row r="225" spans="1:10" x14ac:dyDescent="0.25">
      <c r="A225">
        <f t="shared" si="20"/>
        <v>220</v>
      </c>
      <c r="B225" t="s">
        <v>1157</v>
      </c>
      <c r="C225" s="2">
        <v>0.50277777777777777</v>
      </c>
      <c r="D225" s="4">
        <f t="shared" si="18"/>
        <v>0.13541666666666663</v>
      </c>
      <c r="E225" s="6">
        <v>0.36736111111111114</v>
      </c>
      <c r="F225" s="5">
        <f t="shared" si="19"/>
        <v>0.73066298342541447</v>
      </c>
      <c r="G225" s="5">
        <v>0.83099999999999996</v>
      </c>
      <c r="H225" s="4">
        <f>66/1440</f>
        <v>4.583333333333333E-2</v>
      </c>
      <c r="I225" s="5">
        <v>0.104</v>
      </c>
      <c r="J225" s="11" t="s">
        <v>1147</v>
      </c>
    </row>
    <row r="226" spans="1:10" x14ac:dyDescent="0.25">
      <c r="A226">
        <f t="shared" si="20"/>
        <v>221</v>
      </c>
      <c r="B226" t="s">
        <v>1324</v>
      </c>
      <c r="C226" s="2">
        <v>0.50486111111111109</v>
      </c>
      <c r="D226" s="4">
        <f t="shared" si="18"/>
        <v>0.13749999999999996</v>
      </c>
      <c r="E226" s="6">
        <v>0.36736111111111114</v>
      </c>
      <c r="F226" s="5">
        <f t="shared" si="19"/>
        <v>0.72764786795048153</v>
      </c>
      <c r="G226" s="5">
        <v>0.80400000000000005</v>
      </c>
      <c r="H226" s="4">
        <f>95.9/1440</f>
        <v>6.6597222222222224E-2</v>
      </c>
      <c r="I226" s="5">
        <v>0.14599999999999999</v>
      </c>
      <c r="J226" s="11" t="s">
        <v>1325</v>
      </c>
    </row>
    <row r="227" spans="1:10" x14ac:dyDescent="0.25">
      <c r="A227">
        <f t="shared" si="20"/>
        <v>222</v>
      </c>
      <c r="B227" t="s">
        <v>1651</v>
      </c>
      <c r="C227" s="2">
        <v>0.45833333333333331</v>
      </c>
      <c r="D227" s="4">
        <f t="shared" si="18"/>
        <v>9.0972222222222177E-2</v>
      </c>
      <c r="E227" s="6">
        <v>0.36736111111111114</v>
      </c>
      <c r="F227" s="5">
        <f t="shared" si="19"/>
        <v>0.80151515151515162</v>
      </c>
      <c r="G227" s="5">
        <v>0.80900000000000005</v>
      </c>
      <c r="H227" s="4">
        <f>74.5/1440</f>
        <v>5.1736111111111108E-2</v>
      </c>
      <c r="I227" s="5">
        <v>0.114</v>
      </c>
      <c r="J227" s="11" t="s">
        <v>1649</v>
      </c>
    </row>
    <row r="228" spans="1:10" x14ac:dyDescent="0.25">
      <c r="A228">
        <f t="shared" si="20"/>
        <v>223</v>
      </c>
      <c r="B228" t="s">
        <v>1679</v>
      </c>
      <c r="C228" s="2">
        <v>0.46597222222222223</v>
      </c>
      <c r="D228" s="4">
        <f t="shared" ref="D228:D252" si="21">C228-E228</f>
        <v>9.8611111111111094E-2</v>
      </c>
      <c r="E228" s="6">
        <v>0.36736111111111114</v>
      </c>
      <c r="F228" s="5">
        <f t="shared" si="19"/>
        <v>0.78837555886736221</v>
      </c>
      <c r="G228" s="5">
        <v>1</v>
      </c>
      <c r="H228" s="4">
        <f>94.5/1440</f>
        <v>6.5625000000000003E-2</v>
      </c>
      <c r="I228" s="5">
        <v>0.17899999999999999</v>
      </c>
      <c r="J228" s="11" t="s">
        <v>1673</v>
      </c>
    </row>
    <row r="229" spans="1:10" x14ac:dyDescent="0.25">
      <c r="A229">
        <f t="shared" si="20"/>
        <v>224</v>
      </c>
      <c r="B229" t="s">
        <v>1779</v>
      </c>
      <c r="C229" s="2">
        <v>0.48055555555555557</v>
      </c>
      <c r="D229" s="4">
        <f t="shared" si="21"/>
        <v>0.11319444444444443</v>
      </c>
      <c r="E229" s="6">
        <v>0.36736111111111114</v>
      </c>
      <c r="F229" s="5">
        <f t="shared" si="19"/>
        <v>0.76445086705202314</v>
      </c>
      <c r="G229" s="5">
        <v>1</v>
      </c>
      <c r="H229" s="4">
        <f>79.9/1440</f>
        <v>5.5486111111111118E-2</v>
      </c>
      <c r="I229" s="5">
        <v>0.151</v>
      </c>
      <c r="J229" s="11" t="s">
        <v>1774</v>
      </c>
    </row>
    <row r="230" spans="1:10" x14ac:dyDescent="0.25">
      <c r="A230">
        <f t="shared" si="20"/>
        <v>225</v>
      </c>
      <c r="B230" t="s">
        <v>54</v>
      </c>
      <c r="C230" s="2">
        <v>0.49236111111111108</v>
      </c>
      <c r="D230" s="4">
        <f t="shared" si="21"/>
        <v>0.12569444444444439</v>
      </c>
      <c r="E230" s="6">
        <v>0.3666666666666667</v>
      </c>
      <c r="F230" s="5">
        <f t="shared" si="19"/>
        <v>0.74471086036671374</v>
      </c>
      <c r="G230" s="5">
        <v>0.85199999999999998</v>
      </c>
      <c r="H230" s="4">
        <f>80/1440</f>
        <v>5.5555555555555552E-2</v>
      </c>
      <c r="I230" s="5">
        <v>0.129</v>
      </c>
      <c r="J230" s="11" t="s">
        <v>118</v>
      </c>
    </row>
    <row r="231" spans="1:10" x14ac:dyDescent="0.25">
      <c r="A231">
        <f t="shared" si="20"/>
        <v>226</v>
      </c>
      <c r="B231" t="s">
        <v>393</v>
      </c>
      <c r="C231" s="2">
        <v>0.49722222222222223</v>
      </c>
      <c r="D231" s="4">
        <f t="shared" si="21"/>
        <v>0.13055555555555554</v>
      </c>
      <c r="E231" s="6">
        <v>0.3666666666666667</v>
      </c>
      <c r="F231" s="5">
        <f t="shared" si="19"/>
        <v>0.73743016759776536</v>
      </c>
      <c r="G231" s="5">
        <v>0.83399999999999996</v>
      </c>
      <c r="H231" s="4">
        <f>114.3/1440</f>
        <v>7.9375000000000001E-2</v>
      </c>
      <c r="I231" s="5">
        <v>0.18</v>
      </c>
      <c r="J231" s="11" t="s">
        <v>394</v>
      </c>
    </row>
    <row r="232" spans="1:10" x14ac:dyDescent="0.25">
      <c r="A232">
        <f t="shared" si="20"/>
        <v>227</v>
      </c>
      <c r="B232" t="s">
        <v>779</v>
      </c>
      <c r="C232" s="2">
        <v>0.51249999999999996</v>
      </c>
      <c r="D232" s="4">
        <f t="shared" si="21"/>
        <v>0.14583333333333331</v>
      </c>
      <c r="E232" s="6">
        <v>0.36666666666666664</v>
      </c>
      <c r="F232" s="5">
        <f t="shared" si="19"/>
        <v>0.71544715447154472</v>
      </c>
      <c r="G232" s="5">
        <v>0.85699999999999998</v>
      </c>
      <c r="H232" s="4">
        <f>72.7/1440</f>
        <v>5.0486111111111114E-2</v>
      </c>
      <c r="I232" s="5">
        <v>0.11799999999999999</v>
      </c>
      <c r="J232" s="11" t="s">
        <v>782</v>
      </c>
    </row>
    <row r="233" spans="1:10" x14ac:dyDescent="0.25">
      <c r="A233">
        <f t="shared" si="20"/>
        <v>228</v>
      </c>
      <c r="B233" t="s">
        <v>1169</v>
      </c>
      <c r="C233" s="2">
        <v>0.49583333333333335</v>
      </c>
      <c r="D233" s="4">
        <f t="shared" si="21"/>
        <v>0.12916666666666671</v>
      </c>
      <c r="E233" s="6">
        <v>0.36666666666666664</v>
      </c>
      <c r="F233" s="5">
        <f t="shared" si="19"/>
        <v>0.73949579831932766</v>
      </c>
      <c r="G233" s="5">
        <v>0.88300000000000001</v>
      </c>
      <c r="H233" s="4">
        <f>60.8/1440</f>
        <v>4.2222222222222223E-2</v>
      </c>
      <c r="I233" s="5">
        <v>0.10199999999999999</v>
      </c>
      <c r="J233" s="11" t="s">
        <v>1150</v>
      </c>
    </row>
    <row r="234" spans="1:10" x14ac:dyDescent="0.25">
      <c r="A234">
        <f t="shared" si="20"/>
        <v>229</v>
      </c>
      <c r="B234" t="s">
        <v>1304</v>
      </c>
      <c r="C234" s="2">
        <v>0.46041666666666664</v>
      </c>
      <c r="D234" s="4">
        <f t="shared" si="21"/>
        <v>9.375E-2</v>
      </c>
      <c r="E234" s="6">
        <v>0.36666666666666664</v>
      </c>
      <c r="F234" s="5">
        <f t="shared" si="19"/>
        <v>0.7963800904977375</v>
      </c>
      <c r="G234" s="5">
        <v>0.85799999999999998</v>
      </c>
      <c r="H234" s="4">
        <f>71.5/1440</f>
        <v>4.9652777777777775E-2</v>
      </c>
      <c r="I234" s="5">
        <v>0.11600000000000001</v>
      </c>
      <c r="J234" s="11" t="s">
        <v>1290</v>
      </c>
    </row>
    <row r="235" spans="1:10" x14ac:dyDescent="0.25">
      <c r="A235">
        <f t="shared" si="20"/>
        <v>230</v>
      </c>
      <c r="B235" t="s">
        <v>807</v>
      </c>
      <c r="C235" s="2">
        <v>0.4909722222222222</v>
      </c>
      <c r="D235" s="4">
        <f t="shared" si="21"/>
        <v>0.125</v>
      </c>
      <c r="E235" s="6">
        <v>0.3659722222222222</v>
      </c>
      <c r="F235" s="5">
        <f t="shared" ref="F235:F252" si="22">E235/C235</f>
        <v>0.74540311173974538</v>
      </c>
      <c r="G235" s="5">
        <v>0.81100000000000005</v>
      </c>
      <c r="H235" s="4">
        <f>69.4/1440</f>
        <v>4.8194444444444449E-2</v>
      </c>
      <c r="I235" s="5">
        <v>0.107</v>
      </c>
      <c r="J235" s="11" t="s">
        <v>810</v>
      </c>
    </row>
    <row r="236" spans="1:10" x14ac:dyDescent="0.25">
      <c r="A236">
        <f t="shared" si="20"/>
        <v>231</v>
      </c>
      <c r="B236" t="s">
        <v>1337</v>
      </c>
      <c r="C236" s="2">
        <v>0.46805555555555556</v>
      </c>
      <c r="D236" s="4">
        <f t="shared" si="21"/>
        <v>0.1027777777777778</v>
      </c>
      <c r="E236" s="6">
        <v>0.36527777777777776</v>
      </c>
      <c r="F236" s="5">
        <f t="shared" si="22"/>
        <v>0.78041543026706228</v>
      </c>
      <c r="G236" s="5">
        <v>0.81200000000000006</v>
      </c>
      <c r="H236" s="4">
        <f>68.2/1440</f>
        <v>4.7361111111111111E-2</v>
      </c>
      <c r="I236" s="5">
        <v>0.105</v>
      </c>
      <c r="J236" s="11" t="s">
        <v>1334</v>
      </c>
    </row>
    <row r="237" spans="1:10" x14ac:dyDescent="0.25">
      <c r="A237">
        <f t="shared" si="20"/>
        <v>232</v>
      </c>
      <c r="B237" t="s">
        <v>1362</v>
      </c>
      <c r="C237" s="2">
        <v>0.46875</v>
      </c>
      <c r="D237" s="4">
        <f t="shared" si="21"/>
        <v>0.10347222222222224</v>
      </c>
      <c r="E237" s="6">
        <v>0.36527777777777776</v>
      </c>
      <c r="F237" s="5">
        <f t="shared" si="22"/>
        <v>0.77925925925925921</v>
      </c>
      <c r="G237" s="5">
        <v>0.877</v>
      </c>
      <c r="H237" s="4">
        <f>73.9/1440</f>
        <v>5.1319444444444445E-2</v>
      </c>
      <c r="I237" s="5">
        <v>0.123</v>
      </c>
      <c r="J237" s="11" t="s">
        <v>1360</v>
      </c>
    </row>
    <row r="238" spans="1:10" x14ac:dyDescent="0.25">
      <c r="A238">
        <f t="shared" si="20"/>
        <v>233</v>
      </c>
      <c r="B238" t="s">
        <v>1478</v>
      </c>
      <c r="C238" s="2">
        <v>0.47569444444444442</v>
      </c>
      <c r="D238" s="4">
        <f t="shared" si="21"/>
        <v>0.11041666666666666</v>
      </c>
      <c r="E238" s="6">
        <v>0.36527777777777776</v>
      </c>
      <c r="F238" s="5">
        <f t="shared" si="22"/>
        <v>0.76788321167883211</v>
      </c>
      <c r="G238" s="5">
        <v>0.90200000000000002</v>
      </c>
      <c r="H238" s="4">
        <f>69.2/1440</f>
        <v>4.805555555555556E-2</v>
      </c>
      <c r="I238" s="5">
        <v>0.11899999999999999</v>
      </c>
      <c r="J238" s="11" t="s">
        <v>1470</v>
      </c>
    </row>
    <row r="239" spans="1:10" x14ac:dyDescent="0.25">
      <c r="A239">
        <f t="shared" si="20"/>
        <v>234</v>
      </c>
      <c r="B239" t="s">
        <v>1494</v>
      </c>
      <c r="C239" s="2">
        <v>0.47291666666666665</v>
      </c>
      <c r="D239" s="4">
        <f t="shared" si="21"/>
        <v>0.1076388888888889</v>
      </c>
      <c r="E239" s="6">
        <v>0.36527777777777776</v>
      </c>
      <c r="F239" s="5">
        <f t="shared" si="22"/>
        <v>0.77239353891336271</v>
      </c>
      <c r="G239" s="5">
        <v>0.85399999999999998</v>
      </c>
      <c r="H239" s="4">
        <f>82.5/1440</f>
        <v>5.7291666666666664E-2</v>
      </c>
      <c r="I239" s="5">
        <v>0.13400000000000001</v>
      </c>
      <c r="J239" s="11" t="s">
        <v>1492</v>
      </c>
    </row>
    <row r="240" spans="1:10" x14ac:dyDescent="0.25">
      <c r="A240">
        <f t="shared" si="20"/>
        <v>235</v>
      </c>
      <c r="B240" t="s">
        <v>1663</v>
      </c>
      <c r="C240" s="2">
        <v>0.47013888888888888</v>
      </c>
      <c r="D240" s="4">
        <f t="shared" si="21"/>
        <v>0.10486111111111113</v>
      </c>
      <c r="E240" s="6">
        <v>0.36527777777777776</v>
      </c>
      <c r="F240" s="5">
        <f t="shared" si="22"/>
        <v>0.77695716395864101</v>
      </c>
      <c r="G240" s="5">
        <v>0.83299999999999996</v>
      </c>
      <c r="H240" s="4">
        <f>69.3/1440</f>
        <v>4.8125000000000001E-2</v>
      </c>
      <c r="I240" s="5">
        <v>0.11</v>
      </c>
      <c r="J240" s="11" t="s">
        <v>1661</v>
      </c>
    </row>
    <row r="241" spans="1:10" x14ac:dyDescent="0.25">
      <c r="A241">
        <f t="shared" si="20"/>
        <v>236</v>
      </c>
      <c r="B241" t="s">
        <v>194</v>
      </c>
      <c r="C241" s="2">
        <v>0.4861111111111111</v>
      </c>
      <c r="D241" s="4">
        <f t="shared" si="21"/>
        <v>0.12152777777777779</v>
      </c>
      <c r="E241" s="6">
        <v>0.36458333333333331</v>
      </c>
      <c r="F241" s="5">
        <f t="shared" si="22"/>
        <v>0.75</v>
      </c>
      <c r="G241" s="5">
        <v>0.95099999999999996</v>
      </c>
      <c r="H241" s="4">
        <f>81.2/1440</f>
        <v>5.6388888888888891E-2</v>
      </c>
      <c r="I241" s="5">
        <v>0.14699999999999999</v>
      </c>
      <c r="J241" s="11" t="s">
        <v>197</v>
      </c>
    </row>
    <row r="242" spans="1:10" x14ac:dyDescent="0.25">
      <c r="A242">
        <f t="shared" si="20"/>
        <v>237</v>
      </c>
      <c r="B242" t="s">
        <v>1079</v>
      </c>
      <c r="C242" s="2">
        <v>0.4826388888888889</v>
      </c>
      <c r="D242" s="4">
        <f t="shared" si="21"/>
        <v>0.11805555555555558</v>
      </c>
      <c r="E242" s="6">
        <v>0.36458333333333331</v>
      </c>
      <c r="F242" s="5">
        <f t="shared" si="22"/>
        <v>0.75539568345323738</v>
      </c>
      <c r="G242" s="5">
        <v>0.83399999999999996</v>
      </c>
      <c r="H242" s="4">
        <f>71.2/1440</f>
        <v>4.9444444444444444E-2</v>
      </c>
      <c r="I242" s="5">
        <v>0.113</v>
      </c>
      <c r="J242" s="11" t="s">
        <v>1073</v>
      </c>
    </row>
    <row r="243" spans="1:10" x14ac:dyDescent="0.25">
      <c r="A243">
        <f t="shared" si="20"/>
        <v>238</v>
      </c>
      <c r="B243" t="s">
        <v>1116</v>
      </c>
      <c r="C243" s="2">
        <v>0.47847222222222224</v>
      </c>
      <c r="D243" s="4">
        <f t="shared" si="21"/>
        <v>0.11388888888888893</v>
      </c>
      <c r="E243" s="6">
        <v>0.36458333333333331</v>
      </c>
      <c r="F243" s="5">
        <f t="shared" si="22"/>
        <v>0.76197387518142223</v>
      </c>
      <c r="G243" s="5">
        <v>0.81899999999999995</v>
      </c>
      <c r="H243" s="4">
        <f>76/1440</f>
        <v>5.2777777777777778E-2</v>
      </c>
      <c r="I243" s="5">
        <v>0.11899999999999999</v>
      </c>
      <c r="J243" s="11" t="s">
        <v>1101</v>
      </c>
    </row>
    <row r="244" spans="1:10" x14ac:dyDescent="0.25">
      <c r="A244">
        <f t="shared" si="20"/>
        <v>239</v>
      </c>
      <c r="B244" t="s">
        <v>403</v>
      </c>
      <c r="C244" s="2">
        <v>0.4916666666666667</v>
      </c>
      <c r="D244" s="4">
        <f t="shared" si="21"/>
        <v>0.12777777777777782</v>
      </c>
      <c r="E244" s="6">
        <v>0.36388888888888887</v>
      </c>
      <c r="F244" s="5">
        <f t="shared" si="22"/>
        <v>0.74011299435028244</v>
      </c>
      <c r="G244" s="5">
        <v>0.80500000000000005</v>
      </c>
      <c r="H244" s="4">
        <f>95.3/1440</f>
        <v>6.6180555555555548E-2</v>
      </c>
      <c r="I244" s="5">
        <v>0.14599999999999999</v>
      </c>
      <c r="J244" s="11" t="s">
        <v>404</v>
      </c>
    </row>
    <row r="245" spans="1:10" x14ac:dyDescent="0.25">
      <c r="A245">
        <f t="shared" si="20"/>
        <v>240</v>
      </c>
      <c r="B245" t="s">
        <v>476</v>
      </c>
      <c r="C245" s="2">
        <v>0.4909722222222222</v>
      </c>
      <c r="D245" s="4">
        <f t="shared" si="21"/>
        <v>0.12708333333333333</v>
      </c>
      <c r="E245" s="6">
        <v>0.36388888888888887</v>
      </c>
      <c r="F245" s="5">
        <f t="shared" si="22"/>
        <v>0.74115983026874122</v>
      </c>
      <c r="G245" s="5">
        <v>1</v>
      </c>
      <c r="H245" s="4">
        <f>116.2/1440</f>
        <v>8.0694444444444444E-2</v>
      </c>
      <c r="I245" s="5">
        <v>0.221</v>
      </c>
      <c r="J245" s="11" t="s">
        <v>480</v>
      </c>
    </row>
    <row r="246" spans="1:10" x14ac:dyDescent="0.25">
      <c r="A246">
        <f t="shared" si="20"/>
        <v>241</v>
      </c>
      <c r="B246" t="s">
        <v>1353</v>
      </c>
      <c r="C246" s="2">
        <v>0.45833333333333331</v>
      </c>
      <c r="D246" s="4">
        <f t="shared" si="21"/>
        <v>9.4444444444444442E-2</v>
      </c>
      <c r="E246" s="6">
        <v>0.36388888888888887</v>
      </c>
      <c r="F246" s="5">
        <f t="shared" si="22"/>
        <v>0.79393939393939394</v>
      </c>
      <c r="G246" s="5">
        <v>0.90800000000000003</v>
      </c>
      <c r="H246" s="4">
        <f>75.9/1440</f>
        <v>5.2708333333333336E-2</v>
      </c>
      <c r="I246" s="5">
        <v>0.13100000000000001</v>
      </c>
      <c r="J246" s="11" t="s">
        <v>1352</v>
      </c>
    </row>
    <row r="247" spans="1:10" x14ac:dyDescent="0.25">
      <c r="A247">
        <f t="shared" si="20"/>
        <v>242</v>
      </c>
      <c r="B247" t="s">
        <v>1448</v>
      </c>
      <c r="C247" s="2">
        <v>0.46597222222222223</v>
      </c>
      <c r="D247" s="4">
        <f t="shared" si="21"/>
        <v>0.10208333333333336</v>
      </c>
      <c r="E247" s="6">
        <v>0.36388888888888887</v>
      </c>
      <c r="F247" s="5">
        <f t="shared" si="22"/>
        <v>0.78092399403874813</v>
      </c>
      <c r="G247" s="5">
        <v>0.82699999999999996</v>
      </c>
      <c r="H247" s="4">
        <f>73.8/1440</f>
        <v>5.1249999999999997E-2</v>
      </c>
      <c r="I247" s="5">
        <v>0.11600000000000001</v>
      </c>
      <c r="J247" s="11" t="s">
        <v>1440</v>
      </c>
    </row>
    <row r="248" spans="1:10" x14ac:dyDescent="0.25">
      <c r="A248">
        <f t="shared" si="20"/>
        <v>243</v>
      </c>
      <c r="B248" t="s">
        <v>1807</v>
      </c>
      <c r="C248" s="2">
        <v>0.45416666666666666</v>
      </c>
      <c r="D248" s="4">
        <f t="shared" si="21"/>
        <v>9.027777777777779E-2</v>
      </c>
      <c r="E248" s="6">
        <v>0.36388888888888887</v>
      </c>
      <c r="F248" s="5">
        <f t="shared" si="22"/>
        <v>0.80122324159021407</v>
      </c>
      <c r="G248" s="5">
        <v>1</v>
      </c>
      <c r="H248" s="4">
        <f>96/1440</f>
        <v>6.6666666666666666E-2</v>
      </c>
      <c r="I248" s="5">
        <v>0.183</v>
      </c>
      <c r="J248" s="11" t="s">
        <v>1813</v>
      </c>
    </row>
    <row r="249" spans="1:10" x14ac:dyDescent="0.25">
      <c r="A249">
        <f t="shared" si="20"/>
        <v>244</v>
      </c>
      <c r="B249" t="s">
        <v>240</v>
      </c>
      <c r="C249" s="2">
        <v>0.50347222222222221</v>
      </c>
      <c r="D249" s="4">
        <f t="shared" si="21"/>
        <v>0.14027777777777778</v>
      </c>
      <c r="E249" s="6">
        <v>0.36319444444444443</v>
      </c>
      <c r="F249" s="5">
        <f t="shared" si="22"/>
        <v>0.72137931034482761</v>
      </c>
      <c r="G249" s="5">
        <v>0.77600000000000002</v>
      </c>
      <c r="H249" s="4">
        <f>77.8/1440</f>
        <v>5.4027777777777779E-2</v>
      </c>
      <c r="I249" s="5">
        <v>0.115</v>
      </c>
      <c r="J249" s="11" t="s">
        <v>241</v>
      </c>
    </row>
    <row r="250" spans="1:10" x14ac:dyDescent="0.25">
      <c r="A250">
        <f t="shared" si="20"/>
        <v>245</v>
      </c>
      <c r="B250" t="s">
        <v>415</v>
      </c>
      <c r="C250" s="2">
        <v>0.47986111111111113</v>
      </c>
      <c r="D250" s="4">
        <f t="shared" si="21"/>
        <v>0.1166666666666667</v>
      </c>
      <c r="E250" s="6">
        <v>0.36319444444444443</v>
      </c>
      <c r="F250" s="5">
        <f t="shared" si="22"/>
        <v>0.75687409551374818</v>
      </c>
      <c r="G250" s="5">
        <v>0.84299999999999997</v>
      </c>
      <c r="H250" s="4">
        <f>134.1/1440</f>
        <v>9.3124999999999999E-2</v>
      </c>
      <c r="I250" s="5">
        <v>0.216</v>
      </c>
      <c r="J250" s="11" t="s">
        <v>416</v>
      </c>
    </row>
    <row r="251" spans="1:10" x14ac:dyDescent="0.25">
      <c r="A251">
        <f t="shared" si="20"/>
        <v>246</v>
      </c>
      <c r="B251" t="s">
        <v>805</v>
      </c>
      <c r="C251" s="2">
        <v>0.48333333333333334</v>
      </c>
      <c r="D251" s="4">
        <f t="shared" si="21"/>
        <v>0.12013888888888891</v>
      </c>
      <c r="E251" s="6">
        <v>0.36319444444444443</v>
      </c>
      <c r="F251" s="5">
        <f t="shared" si="22"/>
        <v>0.75143678160919536</v>
      </c>
      <c r="G251" s="5">
        <v>0.82299999999999995</v>
      </c>
      <c r="H251" s="4">
        <f>68.8/1440</f>
        <v>4.7777777777777773E-2</v>
      </c>
      <c r="I251" s="5">
        <v>0.108</v>
      </c>
      <c r="J251" s="11" t="s">
        <v>810</v>
      </c>
    </row>
    <row r="252" spans="1:10" x14ac:dyDescent="0.25">
      <c r="A252">
        <f t="shared" si="20"/>
        <v>247</v>
      </c>
      <c r="B252" t="s">
        <v>808</v>
      </c>
      <c r="C252" s="2">
        <v>0.47986111111111113</v>
      </c>
      <c r="D252" s="4">
        <f t="shared" si="21"/>
        <v>0.1166666666666667</v>
      </c>
      <c r="E252" s="6">
        <v>0.36319444444444443</v>
      </c>
      <c r="F252" s="5">
        <f t="shared" si="22"/>
        <v>0.75687409551374818</v>
      </c>
      <c r="G252" s="5">
        <v>0.83799999999999997</v>
      </c>
      <c r="H252" s="4">
        <f>71.5/1440</f>
        <v>4.9652777777777775E-2</v>
      </c>
      <c r="I252" s="5">
        <v>0.114</v>
      </c>
      <c r="J252" s="11" t="s">
        <v>810</v>
      </c>
    </row>
    <row r="253" spans="1:10" x14ac:dyDescent="0.25">
      <c r="A253">
        <f t="shared" si="20"/>
        <v>248</v>
      </c>
      <c r="B253" t="s">
        <v>1255</v>
      </c>
      <c r="C253" s="2">
        <v>0.44444444444444442</v>
      </c>
      <c r="D253" s="4">
        <v>8.1249999999999989E-2</v>
      </c>
      <c r="E253" s="6">
        <v>0.36319444444444443</v>
      </c>
      <c r="F253" s="5">
        <v>0.81718750000000007</v>
      </c>
      <c r="G253" s="5">
        <v>0.92200000000000004</v>
      </c>
      <c r="H253" s="4">
        <v>5.2638888888888888E-2</v>
      </c>
      <c r="I253" s="5">
        <v>0.13400000000000001</v>
      </c>
      <c r="J253" s="11" t="s">
        <v>1243</v>
      </c>
    </row>
    <row r="254" spans="1:10" x14ac:dyDescent="0.25">
      <c r="A254">
        <f t="shared" si="20"/>
        <v>249</v>
      </c>
      <c r="B254" t="s">
        <v>1368</v>
      </c>
      <c r="C254" s="2">
        <v>0.47499999999999998</v>
      </c>
      <c r="D254" s="4">
        <f t="shared" ref="D254:D301" si="23">C254-E254</f>
        <v>0.11180555555555555</v>
      </c>
      <c r="E254" s="6">
        <v>0.36319444444444443</v>
      </c>
      <c r="F254" s="5">
        <f t="shared" ref="F254:F301" si="24">E254/C254</f>
        <v>0.76461988304093564</v>
      </c>
      <c r="G254" s="5">
        <v>0.81799999999999995</v>
      </c>
      <c r="H254" s="4">
        <f>66.6/1440</f>
        <v>4.6249999999999999E-2</v>
      </c>
      <c r="I254" s="5">
        <v>0.104</v>
      </c>
      <c r="J254" s="11" t="s">
        <v>1365</v>
      </c>
    </row>
    <row r="255" spans="1:10" x14ac:dyDescent="0.25">
      <c r="A255">
        <f t="shared" si="20"/>
        <v>250</v>
      </c>
      <c r="B255" t="s">
        <v>1502</v>
      </c>
      <c r="C255" s="2">
        <v>0.48333333333333334</v>
      </c>
      <c r="D255" s="4">
        <f t="shared" si="23"/>
        <v>0.12013888888888891</v>
      </c>
      <c r="E255" s="6">
        <v>0.36319444444444443</v>
      </c>
      <c r="F255" s="5">
        <f t="shared" si="24"/>
        <v>0.75143678160919536</v>
      </c>
      <c r="G255" s="5">
        <v>0.84799999999999998</v>
      </c>
      <c r="H255" s="4">
        <f>69/1440</f>
        <v>4.791666666666667E-2</v>
      </c>
      <c r="I255" s="5">
        <v>0.112</v>
      </c>
      <c r="J255" s="11" t="s">
        <v>1498</v>
      </c>
    </row>
    <row r="256" spans="1:10" x14ac:dyDescent="0.25">
      <c r="A256">
        <f t="shared" si="20"/>
        <v>251</v>
      </c>
      <c r="B256" t="s">
        <v>1562</v>
      </c>
      <c r="C256" s="2">
        <v>0.45694444444444443</v>
      </c>
      <c r="D256" s="4">
        <f t="shared" si="23"/>
        <v>9.375E-2</v>
      </c>
      <c r="E256" s="6">
        <v>0.36319444444444443</v>
      </c>
      <c r="F256" s="5">
        <f t="shared" si="24"/>
        <v>0.79483282674772038</v>
      </c>
      <c r="G256" s="5">
        <v>0.69599999999999995</v>
      </c>
      <c r="H256" s="4">
        <f>59.8/1440</f>
        <v>4.1527777777777775E-2</v>
      </c>
      <c r="I256" s="5">
        <v>0.08</v>
      </c>
      <c r="J256" s="11" t="s">
        <v>1559</v>
      </c>
    </row>
    <row r="257" spans="1:10" x14ac:dyDescent="0.25">
      <c r="A257">
        <f t="shared" si="20"/>
        <v>252</v>
      </c>
      <c r="B257" t="s">
        <v>301</v>
      </c>
      <c r="C257" s="2">
        <v>0.49513888888888885</v>
      </c>
      <c r="D257" s="4">
        <f t="shared" si="23"/>
        <v>0.13263888888888886</v>
      </c>
      <c r="E257" s="6">
        <v>0.36249999999999999</v>
      </c>
      <c r="F257" s="5">
        <f t="shared" si="24"/>
        <v>0.73211781206171112</v>
      </c>
      <c r="G257" s="5">
        <v>0.81399999999999995</v>
      </c>
      <c r="H257" s="4">
        <f>65.4/1440</f>
        <v>4.5416666666666668E-2</v>
      </c>
      <c r="I257" s="5">
        <v>0.10199999999999999</v>
      </c>
      <c r="J257" s="11" t="s">
        <v>304</v>
      </c>
    </row>
    <row r="258" spans="1:10" x14ac:dyDescent="0.25">
      <c r="A258">
        <f t="shared" si="20"/>
        <v>253</v>
      </c>
      <c r="B258" t="s">
        <v>532</v>
      </c>
      <c r="C258" s="2">
        <v>0.50208333333333333</v>
      </c>
      <c r="D258" s="4">
        <f t="shared" si="23"/>
        <v>0.13958333333333334</v>
      </c>
      <c r="E258" s="6">
        <v>0.36249999999999999</v>
      </c>
      <c r="F258" s="5">
        <f t="shared" si="24"/>
        <v>0.72199170124481327</v>
      </c>
      <c r="G258" s="5">
        <v>0.748</v>
      </c>
      <c r="H258" s="4">
        <f>71.3/1440</f>
        <v>4.9513888888888885E-2</v>
      </c>
      <c r="I258" s="5">
        <v>0.10199999999999999</v>
      </c>
      <c r="J258" s="11" t="s">
        <v>536</v>
      </c>
    </row>
    <row r="259" spans="1:10" x14ac:dyDescent="0.25">
      <c r="A259">
        <f t="shared" si="20"/>
        <v>254</v>
      </c>
      <c r="B259" t="s">
        <v>862</v>
      </c>
      <c r="C259" s="2">
        <v>0.48125000000000001</v>
      </c>
      <c r="D259" s="4">
        <f t="shared" si="23"/>
        <v>0.11875000000000002</v>
      </c>
      <c r="E259" s="6">
        <v>0.36249999999999999</v>
      </c>
      <c r="F259" s="5">
        <f t="shared" si="24"/>
        <v>0.75324675324675316</v>
      </c>
      <c r="G259" s="5">
        <v>0.85499999999999998</v>
      </c>
      <c r="H259" s="4">
        <f>61.5/1440</f>
        <v>4.2708333333333334E-2</v>
      </c>
      <c r="I259" s="5">
        <v>0.10100000000000001</v>
      </c>
      <c r="J259" s="11" t="s">
        <v>866</v>
      </c>
    </row>
    <row r="260" spans="1:10" x14ac:dyDescent="0.25">
      <c r="A260">
        <f t="shared" si="20"/>
        <v>255</v>
      </c>
      <c r="B260" t="s">
        <v>1220</v>
      </c>
      <c r="C260" s="2">
        <v>0.47638888888888886</v>
      </c>
      <c r="D260" s="4">
        <f t="shared" si="23"/>
        <v>0.11388888888888887</v>
      </c>
      <c r="E260" s="6">
        <v>0.36249999999999999</v>
      </c>
      <c r="F260" s="5">
        <f t="shared" si="24"/>
        <v>0.76093294460641403</v>
      </c>
      <c r="G260" s="5">
        <v>0.88900000000000001</v>
      </c>
      <c r="H260" s="4">
        <f>54.5/1440</f>
        <v>3.784722222222222E-2</v>
      </c>
      <c r="I260" s="5">
        <v>9.2999999999999999E-2</v>
      </c>
      <c r="J260" s="11" t="s">
        <v>1219</v>
      </c>
    </row>
    <row r="261" spans="1:10" x14ac:dyDescent="0.25">
      <c r="A261">
        <f t="shared" si="20"/>
        <v>256</v>
      </c>
      <c r="B261" t="s">
        <v>1336</v>
      </c>
      <c r="C261" s="2">
        <v>0.47708333333333336</v>
      </c>
      <c r="D261" s="4">
        <f t="shared" si="23"/>
        <v>0.11458333333333337</v>
      </c>
      <c r="E261" s="6">
        <v>0.36249999999999999</v>
      </c>
      <c r="F261" s="5">
        <f t="shared" si="24"/>
        <v>0.75982532751091691</v>
      </c>
      <c r="G261" s="5">
        <v>0.81799999999999995</v>
      </c>
      <c r="H261" s="4">
        <f>60/1440</f>
        <v>4.1666666666666664E-2</v>
      </c>
      <c r="I261" s="5">
        <v>9.4E-2</v>
      </c>
      <c r="J261" s="11" t="s">
        <v>1334</v>
      </c>
    </row>
    <row r="262" spans="1:10" x14ac:dyDescent="0.25">
      <c r="A262">
        <f t="shared" si="20"/>
        <v>257</v>
      </c>
      <c r="B262" t="s">
        <v>1535</v>
      </c>
      <c r="C262" s="2">
        <v>0.47916666666666669</v>
      </c>
      <c r="D262" s="4">
        <f t="shared" si="23"/>
        <v>0.1166666666666667</v>
      </c>
      <c r="E262" s="6">
        <v>0.36249999999999999</v>
      </c>
      <c r="F262" s="5">
        <f t="shared" si="24"/>
        <v>0.75652173913043474</v>
      </c>
      <c r="G262" s="5">
        <v>0.88700000000000001</v>
      </c>
      <c r="H262" s="4">
        <f>81.9/1440</f>
        <v>5.6875000000000002E-2</v>
      </c>
      <c r="I262" s="5">
        <v>0.13900000000000001</v>
      </c>
      <c r="J262" s="11" t="s">
        <v>1528</v>
      </c>
    </row>
    <row r="263" spans="1:10" x14ac:dyDescent="0.25">
      <c r="A263">
        <f t="shared" si="20"/>
        <v>258</v>
      </c>
      <c r="B263" t="s">
        <v>1674</v>
      </c>
      <c r="C263" s="2">
        <v>0.47291666666666665</v>
      </c>
      <c r="D263" s="4">
        <f t="shared" si="23"/>
        <v>0.11041666666666666</v>
      </c>
      <c r="E263" s="6">
        <v>0.36249999999999999</v>
      </c>
      <c r="F263" s="5">
        <f t="shared" si="24"/>
        <v>0.76651982378854622</v>
      </c>
      <c r="G263" s="5">
        <v>1</v>
      </c>
      <c r="H263" s="4">
        <f>90.6/1440</f>
        <v>6.2916666666666662E-2</v>
      </c>
      <c r="I263" s="5">
        <v>0.17299999999999999</v>
      </c>
      <c r="J263" s="11" t="s">
        <v>1672</v>
      </c>
    </row>
    <row r="264" spans="1:10" x14ac:dyDescent="0.25">
      <c r="A264">
        <f t="shared" si="20"/>
        <v>259</v>
      </c>
      <c r="B264" t="s">
        <v>17</v>
      </c>
      <c r="C264" s="2">
        <v>0.49652777777777773</v>
      </c>
      <c r="D264" s="4">
        <f t="shared" si="23"/>
        <v>0.13472222222222219</v>
      </c>
      <c r="E264" s="6">
        <v>0.36180555555555555</v>
      </c>
      <c r="F264" s="5">
        <f t="shared" si="24"/>
        <v>0.72867132867132867</v>
      </c>
      <c r="G264" s="5">
        <v>0.78900000000000003</v>
      </c>
      <c r="H264" s="4">
        <f>85.7/1440</f>
        <v>5.9513888888888894E-2</v>
      </c>
      <c r="I264" s="5">
        <v>0.13</v>
      </c>
      <c r="J264" s="11" t="s">
        <v>90</v>
      </c>
    </row>
    <row r="265" spans="1:10" x14ac:dyDescent="0.25">
      <c r="A265">
        <f t="shared" si="20"/>
        <v>260</v>
      </c>
      <c r="B265" t="s">
        <v>141</v>
      </c>
      <c r="C265" s="2">
        <v>0.51041666666666663</v>
      </c>
      <c r="D265" s="4">
        <f t="shared" si="23"/>
        <v>0.14861111111111108</v>
      </c>
      <c r="E265" s="6">
        <v>0.36180555555555555</v>
      </c>
      <c r="F265" s="5">
        <f t="shared" si="24"/>
        <v>0.70884353741496597</v>
      </c>
      <c r="G265" s="5">
        <v>0.71099999999999997</v>
      </c>
      <c r="H265" s="4">
        <f>89.6/1440</f>
        <v>6.222222222222222E-2</v>
      </c>
      <c r="I265" s="5">
        <v>0.123</v>
      </c>
      <c r="J265" s="11" t="s">
        <v>142</v>
      </c>
    </row>
    <row r="266" spans="1:10" x14ac:dyDescent="0.25">
      <c r="A266">
        <f t="shared" si="20"/>
        <v>261</v>
      </c>
      <c r="B266" t="s">
        <v>299</v>
      </c>
      <c r="C266" s="2">
        <v>0.49236111111111108</v>
      </c>
      <c r="D266" s="4">
        <f t="shared" si="23"/>
        <v>0.13055555555555554</v>
      </c>
      <c r="E266" s="6">
        <v>0.36180555555555555</v>
      </c>
      <c r="F266" s="5">
        <f t="shared" si="24"/>
        <v>0.73483779971791263</v>
      </c>
      <c r="G266" s="5">
        <v>0.82499999999999996</v>
      </c>
      <c r="H266" s="4">
        <f>78.2/1440</f>
        <v>5.4305555555555558E-2</v>
      </c>
      <c r="I266" s="5">
        <v>0.124</v>
      </c>
      <c r="J266" s="11" t="s">
        <v>300</v>
      </c>
    </row>
    <row r="267" spans="1:10" x14ac:dyDescent="0.25">
      <c r="A267">
        <f t="shared" si="20"/>
        <v>262</v>
      </c>
      <c r="B267" t="s">
        <v>620</v>
      </c>
      <c r="C267" s="2">
        <v>0.53611111111111109</v>
      </c>
      <c r="D267" s="4">
        <f t="shared" si="23"/>
        <v>0.17430555555555555</v>
      </c>
      <c r="E267" s="6">
        <v>0.36180555555555555</v>
      </c>
      <c r="F267" s="5">
        <f t="shared" si="24"/>
        <v>0.67487046632124348</v>
      </c>
      <c r="G267" s="5">
        <v>0.875</v>
      </c>
      <c r="H267" s="4">
        <f>91/1440</f>
        <v>6.3194444444444442E-2</v>
      </c>
      <c r="I267" s="5">
        <v>0.153</v>
      </c>
      <c r="J267" s="11" t="s">
        <v>623</v>
      </c>
    </row>
    <row r="268" spans="1:10" x14ac:dyDescent="0.25">
      <c r="A268">
        <f t="shared" si="20"/>
        <v>263</v>
      </c>
      <c r="B268" t="s">
        <v>858</v>
      </c>
      <c r="C268" s="2">
        <v>0.46111111111111114</v>
      </c>
      <c r="D268" s="4">
        <f t="shared" si="23"/>
        <v>9.9305555555555591E-2</v>
      </c>
      <c r="E268" s="6">
        <v>0.36180555555555555</v>
      </c>
      <c r="F268" s="5">
        <f t="shared" si="24"/>
        <v>0.78463855421686746</v>
      </c>
      <c r="G268" s="5">
        <v>0.81499999999999995</v>
      </c>
      <c r="H268" s="4">
        <f>62.2/1440</f>
        <v>4.3194444444444445E-2</v>
      </c>
      <c r="I268" s="5">
        <v>9.7000000000000003E-2</v>
      </c>
      <c r="J268" s="11" t="s">
        <v>860</v>
      </c>
    </row>
    <row r="269" spans="1:10" x14ac:dyDescent="0.25">
      <c r="A269">
        <f t="shared" si="20"/>
        <v>264</v>
      </c>
      <c r="B269" t="s">
        <v>1214</v>
      </c>
      <c r="C269" s="2">
        <v>0.48055555555555557</v>
      </c>
      <c r="D269" s="4">
        <f t="shared" si="23"/>
        <v>0.11875000000000002</v>
      </c>
      <c r="E269" s="6">
        <v>0.36180555555555555</v>
      </c>
      <c r="F269" s="5">
        <f t="shared" si="24"/>
        <v>0.75289017341040454</v>
      </c>
      <c r="G269" s="5">
        <v>0.84199999999999997</v>
      </c>
      <c r="H269" s="4">
        <f>68.6/1440</f>
        <v>4.7638888888888883E-2</v>
      </c>
      <c r="I269" s="5">
        <v>0.111</v>
      </c>
      <c r="J269" s="11" t="s">
        <v>1213</v>
      </c>
    </row>
    <row r="270" spans="1:10" x14ac:dyDescent="0.25">
      <c r="A270">
        <f t="shared" si="20"/>
        <v>265</v>
      </c>
      <c r="B270" t="s">
        <v>1234</v>
      </c>
      <c r="C270" s="2">
        <v>0.47361111111111109</v>
      </c>
      <c r="D270" s="4">
        <f t="shared" si="23"/>
        <v>0.11180555555555555</v>
      </c>
      <c r="E270" s="6">
        <v>0.36180555555555555</v>
      </c>
      <c r="F270" s="5">
        <f t="shared" si="24"/>
        <v>0.76392961876832843</v>
      </c>
      <c r="G270" s="5">
        <v>0.82</v>
      </c>
      <c r="H270" s="4">
        <f>82.7/1440</f>
        <v>5.7430555555555554E-2</v>
      </c>
      <c r="I270" s="5">
        <v>0.13</v>
      </c>
      <c r="J270" s="11" t="s">
        <v>1231</v>
      </c>
    </row>
    <row r="271" spans="1:10" x14ac:dyDescent="0.25">
      <c r="A271">
        <f t="shared" si="20"/>
        <v>266</v>
      </c>
      <c r="B271" t="s">
        <v>1664</v>
      </c>
      <c r="C271" s="2">
        <v>0.46041666666666664</v>
      </c>
      <c r="D271" s="4">
        <f t="shared" si="23"/>
        <v>9.8611111111111094E-2</v>
      </c>
      <c r="E271" s="6">
        <v>0.36180555555555555</v>
      </c>
      <c r="F271" s="5">
        <f t="shared" si="24"/>
        <v>0.78582202111613875</v>
      </c>
      <c r="G271" s="5">
        <v>0.85499999999999998</v>
      </c>
      <c r="H271" s="4">
        <f>73.9/1440</f>
        <v>5.1319444444444445E-2</v>
      </c>
      <c r="I271" s="5">
        <v>0.121</v>
      </c>
      <c r="J271" s="11" t="s">
        <v>1661</v>
      </c>
    </row>
    <row r="272" spans="1:10" x14ac:dyDescent="0.25">
      <c r="A272">
        <f t="shared" ref="A272:A335" si="25">A271+1</f>
        <v>267</v>
      </c>
      <c r="B272" t="s">
        <v>1687</v>
      </c>
      <c r="C272" s="2">
        <v>0.44027777777777777</v>
      </c>
      <c r="D272" s="4">
        <f t="shared" si="23"/>
        <v>7.8472222222222221E-2</v>
      </c>
      <c r="E272" s="6">
        <v>0.36180555555555555</v>
      </c>
      <c r="F272" s="5">
        <f t="shared" si="24"/>
        <v>0.82176656151419558</v>
      </c>
      <c r="G272" s="5">
        <v>0.82699999999999996</v>
      </c>
      <c r="H272" s="4">
        <f>64.1/1440</f>
        <v>4.4513888888888888E-2</v>
      </c>
      <c r="I272" s="5">
        <v>0.10199999999999999</v>
      </c>
      <c r="J272" s="11" t="s">
        <v>1684</v>
      </c>
    </row>
    <row r="273" spans="1:10" x14ac:dyDescent="0.25">
      <c r="A273">
        <f t="shared" si="25"/>
        <v>268</v>
      </c>
      <c r="B273" t="s">
        <v>1701</v>
      </c>
      <c r="C273" s="2">
        <v>0.46666666666666667</v>
      </c>
      <c r="D273" s="4">
        <f t="shared" si="23"/>
        <v>0.10486111111111113</v>
      </c>
      <c r="E273" s="6">
        <v>0.36180555555555555</v>
      </c>
      <c r="F273" s="5">
        <f t="shared" si="24"/>
        <v>0.77529761904761907</v>
      </c>
      <c r="G273" s="5">
        <v>0.79</v>
      </c>
      <c r="H273" s="4">
        <f>71.8/1440</f>
        <v>4.9861111111111106E-2</v>
      </c>
      <c r="I273" s="5">
        <v>0.109</v>
      </c>
      <c r="J273" s="11" t="s">
        <v>1695</v>
      </c>
    </row>
    <row r="274" spans="1:10" x14ac:dyDescent="0.25">
      <c r="A274">
        <f t="shared" si="25"/>
        <v>269</v>
      </c>
      <c r="B274" t="s">
        <v>1359</v>
      </c>
      <c r="C274" s="2">
        <v>0.48333333333333334</v>
      </c>
      <c r="D274" s="4">
        <f t="shared" si="23"/>
        <v>0.12222222222222223</v>
      </c>
      <c r="E274" s="6">
        <v>0.3611111111111111</v>
      </c>
      <c r="F274" s="5">
        <f t="shared" si="24"/>
        <v>0.74712643678160917</v>
      </c>
      <c r="G274" s="5">
        <v>0.85199999999999998</v>
      </c>
      <c r="H274" s="4">
        <f>67.8/1440</f>
        <v>4.7083333333333331E-2</v>
      </c>
      <c r="I274" s="5">
        <v>0.111</v>
      </c>
      <c r="J274" s="11" t="s">
        <v>1360</v>
      </c>
    </row>
    <row r="275" spans="1:10" x14ac:dyDescent="0.25">
      <c r="A275">
        <f t="shared" si="25"/>
        <v>270</v>
      </c>
      <c r="B275" t="s">
        <v>1565</v>
      </c>
      <c r="C275" s="2">
        <v>0.48194444444444445</v>
      </c>
      <c r="D275" s="4">
        <f t="shared" si="23"/>
        <v>0.12083333333333335</v>
      </c>
      <c r="E275" s="6">
        <v>0.3611111111111111</v>
      </c>
      <c r="F275" s="5">
        <f t="shared" si="24"/>
        <v>0.74927953890489907</v>
      </c>
      <c r="G275" s="5">
        <v>0.77300000000000002</v>
      </c>
      <c r="H275" s="4">
        <f>63.3/1440</f>
        <v>4.3958333333333328E-2</v>
      </c>
      <c r="I275" s="5">
        <v>9.4E-2</v>
      </c>
      <c r="J275" s="11" t="s">
        <v>1563</v>
      </c>
    </row>
    <row r="276" spans="1:10" x14ac:dyDescent="0.25">
      <c r="A276">
        <f t="shared" si="25"/>
        <v>271</v>
      </c>
      <c r="B276" t="s">
        <v>405</v>
      </c>
      <c r="C276" s="2">
        <v>0.50069444444444444</v>
      </c>
      <c r="D276" s="4">
        <f t="shared" si="23"/>
        <v>0.14027777777777778</v>
      </c>
      <c r="E276" s="6">
        <v>0.36041666666666666</v>
      </c>
      <c r="F276" s="5">
        <f t="shared" si="24"/>
        <v>0.71983356449375868</v>
      </c>
      <c r="G276" s="5">
        <v>0.85899999999999999</v>
      </c>
      <c r="H276" s="4">
        <f>54/1440</f>
        <v>3.7499999999999999E-2</v>
      </c>
      <c r="I276" s="5">
        <v>8.8999999999999996E-2</v>
      </c>
      <c r="J276" s="11" t="s">
        <v>406</v>
      </c>
    </row>
    <row r="277" spans="1:10" x14ac:dyDescent="0.25">
      <c r="A277">
        <f t="shared" si="25"/>
        <v>272</v>
      </c>
      <c r="B277" t="s">
        <v>846</v>
      </c>
      <c r="C277" s="2">
        <v>0.49583333333333335</v>
      </c>
      <c r="D277" s="4">
        <f t="shared" si="23"/>
        <v>0.13541666666666669</v>
      </c>
      <c r="E277" s="6">
        <v>0.36041666666666666</v>
      </c>
      <c r="F277" s="5">
        <f t="shared" si="24"/>
        <v>0.72689075630252098</v>
      </c>
      <c r="G277" s="5">
        <v>0.84</v>
      </c>
      <c r="H277" s="4">
        <f>61.7/1440</f>
        <v>4.2847222222222224E-2</v>
      </c>
      <c r="I277" s="5">
        <v>0.1</v>
      </c>
      <c r="J277" s="11" t="s">
        <v>848</v>
      </c>
    </row>
    <row r="278" spans="1:10" x14ac:dyDescent="0.25">
      <c r="A278">
        <f t="shared" si="25"/>
        <v>273</v>
      </c>
      <c r="B278" t="s">
        <v>943</v>
      </c>
      <c r="C278" s="2">
        <v>0.47361111111111109</v>
      </c>
      <c r="D278" s="4">
        <f t="shared" si="23"/>
        <v>0.11319444444444443</v>
      </c>
      <c r="E278" s="6">
        <v>0.36041666666666666</v>
      </c>
      <c r="F278" s="5">
        <f t="shared" si="24"/>
        <v>0.76099706744868034</v>
      </c>
      <c r="G278" s="5">
        <v>0.82299999999999995</v>
      </c>
      <c r="H278" s="4">
        <f>68.9/1440</f>
        <v>4.7847222222222228E-2</v>
      </c>
      <c r="I278" s="5">
        <v>0.109</v>
      </c>
      <c r="J278" s="11" t="s">
        <v>947</v>
      </c>
    </row>
    <row r="279" spans="1:10" x14ac:dyDescent="0.25">
      <c r="A279">
        <f t="shared" si="25"/>
        <v>274</v>
      </c>
      <c r="B279" t="s">
        <v>1114</v>
      </c>
      <c r="C279" s="2">
        <v>0.55277777777777781</v>
      </c>
      <c r="D279" s="4">
        <f t="shared" si="23"/>
        <v>0.19236111111111115</v>
      </c>
      <c r="E279" s="6">
        <v>0.36041666666666666</v>
      </c>
      <c r="F279" s="5">
        <f t="shared" si="24"/>
        <v>0.65201005025125625</v>
      </c>
      <c r="G279" s="5">
        <v>0.79800000000000004</v>
      </c>
      <c r="H279" s="4">
        <f>70/1440</f>
        <v>4.8611111111111112E-2</v>
      </c>
      <c r="I279" s="5">
        <v>0.108</v>
      </c>
      <c r="J279" s="11" t="s">
        <v>1101</v>
      </c>
    </row>
    <row r="280" spans="1:10" x14ac:dyDescent="0.25">
      <c r="A280">
        <f t="shared" si="25"/>
        <v>275</v>
      </c>
      <c r="B280" t="s">
        <v>1560</v>
      </c>
      <c r="C280" s="2">
        <v>0.48680555555555555</v>
      </c>
      <c r="D280" s="4">
        <f t="shared" si="23"/>
        <v>0.12638888888888888</v>
      </c>
      <c r="E280" s="6">
        <v>0.36041666666666666</v>
      </c>
      <c r="F280" s="5">
        <f t="shared" si="24"/>
        <v>0.74037089871611983</v>
      </c>
      <c r="G280" s="5">
        <v>0.83</v>
      </c>
      <c r="H280" s="4">
        <f>54.5/1440</f>
        <v>3.784722222222222E-2</v>
      </c>
      <c r="I280" s="5">
        <v>8.6999999999999994E-2</v>
      </c>
      <c r="J280" s="11" t="s">
        <v>1559</v>
      </c>
    </row>
    <row r="281" spans="1:10" x14ac:dyDescent="0.25">
      <c r="A281">
        <f t="shared" si="25"/>
        <v>276</v>
      </c>
      <c r="B281" t="s">
        <v>1599</v>
      </c>
      <c r="C281" s="2">
        <v>0.47847222222222224</v>
      </c>
      <c r="D281" s="4">
        <f t="shared" si="23"/>
        <v>0.11805555555555558</v>
      </c>
      <c r="E281" s="6">
        <v>0.36041666666666666</v>
      </c>
      <c r="F281" s="5">
        <f t="shared" si="24"/>
        <v>0.75326560232220607</v>
      </c>
      <c r="G281" s="5">
        <v>0.82099999999999995</v>
      </c>
      <c r="H281" s="4">
        <f>99.9/1440</f>
        <v>6.9375000000000006E-2</v>
      </c>
      <c r="I281" s="5">
        <v>0.158</v>
      </c>
      <c r="J281" s="11" t="s">
        <v>1590</v>
      </c>
    </row>
    <row r="282" spans="1:10" x14ac:dyDescent="0.25">
      <c r="A282">
        <f t="shared" si="25"/>
        <v>277</v>
      </c>
      <c r="B282" t="s">
        <v>1640</v>
      </c>
      <c r="C282" s="2">
        <v>0.47847222222222224</v>
      </c>
      <c r="D282" s="4">
        <f t="shared" si="23"/>
        <v>0.11805555555555558</v>
      </c>
      <c r="E282" s="6">
        <v>0.36041666666666666</v>
      </c>
      <c r="F282" s="5">
        <f t="shared" si="24"/>
        <v>0.75326560232220607</v>
      </c>
      <c r="G282" s="5">
        <v>0.85799999999999998</v>
      </c>
      <c r="H282" s="4">
        <f>74.7/1440</f>
        <v>5.1875000000000004E-2</v>
      </c>
      <c r="I282" s="5">
        <v>0.123</v>
      </c>
      <c r="J282" s="11" t="s">
        <v>1626</v>
      </c>
    </row>
    <row r="283" spans="1:10" x14ac:dyDescent="0.25">
      <c r="A283">
        <f t="shared" si="25"/>
        <v>278</v>
      </c>
      <c r="B283" t="s">
        <v>1668</v>
      </c>
      <c r="C283" s="2">
        <v>0.46666666666666667</v>
      </c>
      <c r="D283" s="4">
        <f t="shared" si="23"/>
        <v>0.10625000000000001</v>
      </c>
      <c r="E283" s="6">
        <v>0.36041666666666666</v>
      </c>
      <c r="F283" s="5">
        <f t="shared" si="24"/>
        <v>0.7723214285714286</v>
      </c>
      <c r="G283" s="5">
        <v>0.84199999999999997</v>
      </c>
      <c r="H283" s="4">
        <f>72.9/1440</f>
        <v>5.0625000000000003E-2</v>
      </c>
      <c r="I283" s="5">
        <v>0.11799999999999999</v>
      </c>
      <c r="J283" s="11" t="s">
        <v>1662</v>
      </c>
    </row>
    <row r="284" spans="1:10" x14ac:dyDescent="0.25">
      <c r="A284">
        <f t="shared" si="25"/>
        <v>279</v>
      </c>
      <c r="B284" t="s">
        <v>1667</v>
      </c>
      <c r="C284" s="2">
        <v>0.45277777777777778</v>
      </c>
      <c r="D284" s="4">
        <f t="shared" si="23"/>
        <v>9.3055555555555558E-2</v>
      </c>
      <c r="E284" s="6">
        <v>0.35972222222222222</v>
      </c>
      <c r="F284" s="5">
        <f t="shared" si="24"/>
        <v>0.79447852760736193</v>
      </c>
      <c r="G284" s="5">
        <v>0.83</v>
      </c>
      <c r="H284" s="4">
        <f>64.7/1440</f>
        <v>4.4930555555555557E-2</v>
      </c>
      <c r="I284" s="5">
        <v>0.104</v>
      </c>
      <c r="J284" s="11" t="s">
        <v>1661</v>
      </c>
    </row>
    <row r="285" spans="1:10" x14ac:dyDescent="0.25">
      <c r="A285">
        <f t="shared" si="25"/>
        <v>280</v>
      </c>
      <c r="B285" t="s">
        <v>1680</v>
      </c>
      <c r="C285" s="2">
        <v>0.45694444444444443</v>
      </c>
      <c r="D285" s="4">
        <f t="shared" si="23"/>
        <v>9.722222222222221E-2</v>
      </c>
      <c r="E285" s="6">
        <v>0.35972222222222222</v>
      </c>
      <c r="F285" s="5">
        <f t="shared" si="24"/>
        <v>0.78723404255319152</v>
      </c>
      <c r="G285" s="5">
        <v>1</v>
      </c>
      <c r="H285" s="4">
        <f>95.4/1440</f>
        <v>6.6250000000000003E-2</v>
      </c>
      <c r="I285" s="5">
        <v>0.184</v>
      </c>
      <c r="J285" s="11" t="s">
        <v>1673</v>
      </c>
    </row>
    <row r="286" spans="1:10" x14ac:dyDescent="0.25">
      <c r="A286">
        <f t="shared" si="25"/>
        <v>281</v>
      </c>
      <c r="B286" t="s">
        <v>48</v>
      </c>
      <c r="C286" s="2">
        <v>0.50277777777777777</v>
      </c>
      <c r="D286" s="4">
        <f t="shared" si="23"/>
        <v>0.14374999999999999</v>
      </c>
      <c r="E286" s="6">
        <v>0.35902777777777778</v>
      </c>
      <c r="F286" s="5">
        <f t="shared" si="24"/>
        <v>0.71408839779005528</v>
      </c>
      <c r="G286" s="5">
        <v>0.76200000000000001</v>
      </c>
      <c r="H286" s="4">
        <f>99.7/1440</f>
        <v>6.9236111111111109E-2</v>
      </c>
      <c r="I286" s="5">
        <v>0.11700000000000001</v>
      </c>
      <c r="J286" s="11" t="s">
        <v>112</v>
      </c>
    </row>
    <row r="287" spans="1:10" x14ac:dyDescent="0.25">
      <c r="A287">
        <f t="shared" si="25"/>
        <v>282</v>
      </c>
      <c r="B287" t="s">
        <v>857</v>
      </c>
      <c r="C287" s="2">
        <v>0.44722222222222224</v>
      </c>
      <c r="D287" s="4">
        <f t="shared" si="23"/>
        <v>8.8194444444444464E-2</v>
      </c>
      <c r="E287" s="6">
        <v>0.35902777777777778</v>
      </c>
      <c r="F287" s="5">
        <f t="shared" si="24"/>
        <v>0.80279503105590055</v>
      </c>
      <c r="G287" s="5">
        <v>0.78900000000000003</v>
      </c>
      <c r="H287" s="4">
        <f>60.4/1440</f>
        <v>4.1944444444444444E-2</v>
      </c>
      <c r="I287" s="5">
        <v>9.1999999999999998E-2</v>
      </c>
      <c r="J287" s="11" t="s">
        <v>860</v>
      </c>
    </row>
    <row r="288" spans="1:10" x14ac:dyDescent="0.25">
      <c r="A288">
        <f t="shared" si="25"/>
        <v>283</v>
      </c>
      <c r="B288" t="s">
        <v>908</v>
      </c>
      <c r="C288" s="2">
        <v>0.47013888888888888</v>
      </c>
      <c r="D288" s="4">
        <f t="shared" si="23"/>
        <v>0.1111111111111111</v>
      </c>
      <c r="E288" s="6">
        <v>0.35902777777777778</v>
      </c>
      <c r="F288" s="5">
        <f t="shared" si="24"/>
        <v>0.7636632200886263</v>
      </c>
      <c r="G288" s="5">
        <v>0.75900000000000001</v>
      </c>
      <c r="H288" s="4">
        <f>73.6/1440</f>
        <v>5.1111111111111107E-2</v>
      </c>
      <c r="I288" s="5">
        <v>0.108</v>
      </c>
      <c r="J288" s="11" t="s">
        <v>904</v>
      </c>
    </row>
    <row r="289" spans="1:10" x14ac:dyDescent="0.25">
      <c r="A289">
        <f t="shared" si="25"/>
        <v>284</v>
      </c>
      <c r="B289" t="s">
        <v>932</v>
      </c>
      <c r="C289" s="2">
        <v>0.50347222222222221</v>
      </c>
      <c r="D289" s="4">
        <f t="shared" si="23"/>
        <v>0.14444444444444443</v>
      </c>
      <c r="E289" s="6">
        <v>0.35902777777777778</v>
      </c>
      <c r="F289" s="5">
        <f t="shared" si="24"/>
        <v>0.71310344827586214</v>
      </c>
      <c r="G289" s="5">
        <v>0.76400000000000001</v>
      </c>
      <c r="H289" s="4">
        <f>52.1/1440</f>
        <v>3.6180555555555556E-2</v>
      </c>
      <c r="I289" s="5">
        <v>7.6999999999999999E-2</v>
      </c>
      <c r="J289" s="11" t="s">
        <v>935</v>
      </c>
    </row>
    <row r="290" spans="1:10" x14ac:dyDescent="0.25">
      <c r="A290">
        <f t="shared" si="25"/>
        <v>285</v>
      </c>
      <c r="B290" t="s">
        <v>1091</v>
      </c>
      <c r="C290" s="2">
        <v>0.46388888888888891</v>
      </c>
      <c r="D290" s="4">
        <f t="shared" si="23"/>
        <v>0.10486111111111113</v>
      </c>
      <c r="E290" s="6">
        <v>0.35902777777777778</v>
      </c>
      <c r="F290" s="5">
        <f t="shared" si="24"/>
        <v>0.7739520958083832</v>
      </c>
      <c r="G290" s="5">
        <v>0.82399999999999995</v>
      </c>
      <c r="H290" s="4">
        <f>68.5/1440</f>
        <v>4.7569444444444442E-2</v>
      </c>
      <c r="I290" s="5">
        <v>0.109</v>
      </c>
      <c r="J290" s="11" t="s">
        <v>1075</v>
      </c>
    </row>
    <row r="291" spans="1:10" x14ac:dyDescent="0.25">
      <c r="A291">
        <f t="shared" si="25"/>
        <v>286</v>
      </c>
      <c r="B291" t="s">
        <v>1307</v>
      </c>
      <c r="C291" s="2">
        <v>0.44097222222222221</v>
      </c>
      <c r="D291" s="4">
        <f t="shared" si="23"/>
        <v>8.1944444444444431E-2</v>
      </c>
      <c r="E291" s="6">
        <v>0.35902777777777778</v>
      </c>
      <c r="F291" s="5">
        <f t="shared" si="24"/>
        <v>0.81417322834645667</v>
      </c>
      <c r="G291" s="5">
        <v>0.874</v>
      </c>
      <c r="H291" s="4">
        <f>74.5/1440</f>
        <v>5.1736111111111108E-2</v>
      </c>
      <c r="I291" s="5">
        <v>0.126</v>
      </c>
      <c r="J291" s="11" t="s">
        <v>1290</v>
      </c>
    </row>
    <row r="292" spans="1:10" x14ac:dyDescent="0.25">
      <c r="A292">
        <f t="shared" si="25"/>
        <v>287</v>
      </c>
      <c r="B292" t="s">
        <v>1731</v>
      </c>
      <c r="C292" s="2">
        <v>0.46319444444444446</v>
      </c>
      <c r="D292" s="4">
        <f t="shared" si="23"/>
        <v>0.10416666666666669</v>
      </c>
      <c r="E292" s="6">
        <v>0.35902777777777778</v>
      </c>
      <c r="F292" s="5">
        <f t="shared" si="24"/>
        <v>0.77511244377811095</v>
      </c>
      <c r="G292" s="5">
        <v>0.85199999999999998</v>
      </c>
      <c r="H292" s="4">
        <f>60.6/1440</f>
        <v>4.2083333333333334E-2</v>
      </c>
      <c r="I292" s="5">
        <v>0.1</v>
      </c>
      <c r="J292" s="11" t="s">
        <v>1727</v>
      </c>
    </row>
    <row r="293" spans="1:10" x14ac:dyDescent="0.25">
      <c r="A293">
        <f t="shared" si="25"/>
        <v>288</v>
      </c>
      <c r="B293" t="s">
        <v>250</v>
      </c>
      <c r="C293" s="2">
        <v>0.49236111111111108</v>
      </c>
      <c r="D293" s="4">
        <f t="shared" si="23"/>
        <v>0.13402777777777775</v>
      </c>
      <c r="E293" s="6">
        <v>0.35833333333333334</v>
      </c>
      <c r="F293" s="5">
        <f t="shared" si="24"/>
        <v>0.72778561354019755</v>
      </c>
      <c r="G293" s="5">
        <v>0.79900000000000004</v>
      </c>
      <c r="H293" s="4">
        <f>79.8/1440</f>
        <v>5.5416666666666663E-2</v>
      </c>
      <c r="I293" s="5">
        <v>0.124</v>
      </c>
      <c r="J293" s="11" t="s">
        <v>251</v>
      </c>
    </row>
    <row r="294" spans="1:10" x14ac:dyDescent="0.25">
      <c r="A294">
        <f t="shared" si="25"/>
        <v>289</v>
      </c>
      <c r="B294" t="s">
        <v>617</v>
      </c>
      <c r="C294" s="2">
        <v>0.48541666666666666</v>
      </c>
      <c r="D294" s="4">
        <f t="shared" si="23"/>
        <v>0.12708333333333333</v>
      </c>
      <c r="E294" s="6">
        <v>0.35833333333333334</v>
      </c>
      <c r="F294" s="5">
        <f t="shared" si="24"/>
        <v>0.7381974248927039</v>
      </c>
      <c r="G294" s="5">
        <v>1</v>
      </c>
      <c r="H294" s="4">
        <f>90.3/1440</f>
        <v>6.2708333333333338E-2</v>
      </c>
      <c r="I294" s="5">
        <v>0.17499999999999999</v>
      </c>
      <c r="J294" s="11" t="s">
        <v>619</v>
      </c>
    </row>
    <row r="295" spans="1:10" x14ac:dyDescent="0.25">
      <c r="A295">
        <f t="shared" si="25"/>
        <v>290</v>
      </c>
      <c r="B295" t="s">
        <v>1072</v>
      </c>
      <c r="C295" s="2">
        <v>0.4465277777777778</v>
      </c>
      <c r="D295" s="4">
        <f t="shared" si="23"/>
        <v>8.8194444444444464E-2</v>
      </c>
      <c r="E295" s="6">
        <v>0.35833333333333334</v>
      </c>
      <c r="F295" s="5">
        <f t="shared" si="24"/>
        <v>0.80248833592534985</v>
      </c>
      <c r="G295" s="5">
        <v>0.80800000000000005</v>
      </c>
      <c r="H295" s="4">
        <f>80.5/1440</f>
        <v>5.590277777777778E-2</v>
      </c>
      <c r="I295" s="5">
        <v>0.126</v>
      </c>
      <c r="J295" s="11" t="s">
        <v>1052</v>
      </c>
    </row>
    <row r="296" spans="1:10" x14ac:dyDescent="0.25">
      <c r="A296">
        <f t="shared" si="25"/>
        <v>291</v>
      </c>
      <c r="B296" t="s">
        <v>1159</v>
      </c>
      <c r="C296" s="2">
        <v>0.49861111111111112</v>
      </c>
      <c r="D296" s="4">
        <f t="shared" si="23"/>
        <v>0.14027777777777778</v>
      </c>
      <c r="E296" s="6">
        <v>0.35833333333333334</v>
      </c>
      <c r="F296" s="5">
        <f t="shared" si="24"/>
        <v>0.71866295264623958</v>
      </c>
      <c r="G296" s="5">
        <v>0.754</v>
      </c>
      <c r="H296" s="4">
        <f>58/1440</f>
        <v>4.027777777777778E-2</v>
      </c>
      <c r="I296" s="5">
        <v>8.5000000000000006E-2</v>
      </c>
      <c r="J296" s="11" t="s">
        <v>1148</v>
      </c>
    </row>
    <row r="297" spans="1:10" x14ac:dyDescent="0.25">
      <c r="A297">
        <f t="shared" si="25"/>
        <v>292</v>
      </c>
      <c r="B297" t="s">
        <v>1165</v>
      </c>
      <c r="C297" s="2">
        <v>0.46250000000000002</v>
      </c>
      <c r="D297" s="4">
        <f t="shared" si="23"/>
        <v>0.10416666666666669</v>
      </c>
      <c r="E297" s="6">
        <v>0.35833333333333334</v>
      </c>
      <c r="F297" s="5">
        <f t="shared" si="24"/>
        <v>0.77477477477477474</v>
      </c>
      <c r="G297" s="5">
        <v>0.86899999999999999</v>
      </c>
      <c r="H297" s="4">
        <f>69.3/1440</f>
        <v>4.8125000000000001E-2</v>
      </c>
      <c r="I297" s="5">
        <v>0.11700000000000001</v>
      </c>
      <c r="J297" s="11" t="s">
        <v>1149</v>
      </c>
    </row>
    <row r="298" spans="1:10" x14ac:dyDescent="0.25">
      <c r="A298">
        <f t="shared" si="25"/>
        <v>293</v>
      </c>
      <c r="B298" t="s">
        <v>1172</v>
      </c>
      <c r="C298" s="2">
        <v>0.47291666666666665</v>
      </c>
      <c r="D298" s="4">
        <f t="shared" si="23"/>
        <v>0.11458333333333331</v>
      </c>
      <c r="E298" s="6">
        <v>0.35833333333333334</v>
      </c>
      <c r="F298" s="5">
        <f t="shared" si="24"/>
        <v>0.75770925110132159</v>
      </c>
      <c r="G298" s="5">
        <v>0.79700000000000004</v>
      </c>
      <c r="H298" s="4">
        <f>69/1440</f>
        <v>4.791666666666667E-2</v>
      </c>
      <c r="I298" s="5">
        <v>0.106</v>
      </c>
      <c r="J298" s="11" t="s">
        <v>1150</v>
      </c>
    </row>
    <row r="299" spans="1:10" x14ac:dyDescent="0.25">
      <c r="A299">
        <f t="shared" si="25"/>
        <v>294</v>
      </c>
      <c r="B299" t="s">
        <v>1619</v>
      </c>
      <c r="C299" s="2">
        <v>0.44861111111111113</v>
      </c>
      <c r="D299" s="4">
        <f t="shared" si="23"/>
        <v>9.027777777777779E-2</v>
      </c>
      <c r="E299" s="6">
        <v>0.35833333333333334</v>
      </c>
      <c r="F299" s="5">
        <f t="shared" si="24"/>
        <v>0.79876160990712075</v>
      </c>
      <c r="G299" s="5">
        <v>0.83499999999999996</v>
      </c>
      <c r="H299" s="4">
        <f>68.6/1440</f>
        <v>4.7638888888888883E-2</v>
      </c>
      <c r="I299" s="5">
        <v>0.111</v>
      </c>
      <c r="J299" s="11" t="s">
        <v>1613</v>
      </c>
    </row>
    <row r="300" spans="1:10" x14ac:dyDescent="0.25">
      <c r="A300">
        <f t="shared" si="25"/>
        <v>295</v>
      </c>
      <c r="B300" t="s">
        <v>135</v>
      </c>
      <c r="C300" s="2">
        <v>0.4770833333333333</v>
      </c>
      <c r="D300" s="4">
        <f t="shared" si="23"/>
        <v>0.11944444444444441</v>
      </c>
      <c r="E300" s="6">
        <v>0.3576388888888889</v>
      </c>
      <c r="F300" s="5">
        <f t="shared" si="24"/>
        <v>0.74963609898107719</v>
      </c>
      <c r="G300" s="5">
        <v>0.78600000000000003</v>
      </c>
      <c r="H300" s="4">
        <f>81.4/1440</f>
        <v>5.6527777777777781E-2</v>
      </c>
      <c r="I300" s="5">
        <v>0.124</v>
      </c>
      <c r="J300" s="11" t="s">
        <v>136</v>
      </c>
    </row>
    <row r="301" spans="1:10" x14ac:dyDescent="0.25">
      <c r="A301">
        <f t="shared" si="25"/>
        <v>296</v>
      </c>
      <c r="B301" t="s">
        <v>231</v>
      </c>
      <c r="C301" s="2">
        <v>0.49236111111111108</v>
      </c>
      <c r="D301" s="4">
        <f t="shared" si="23"/>
        <v>0.13472222222222219</v>
      </c>
      <c r="E301" s="6">
        <v>0.3576388888888889</v>
      </c>
      <c r="F301" s="5">
        <f t="shared" si="24"/>
        <v>0.72637517630465454</v>
      </c>
      <c r="G301" s="5">
        <v>0.79800000000000004</v>
      </c>
      <c r="H301" s="4">
        <f>84.5/1440</f>
        <v>5.8680555555555555E-2</v>
      </c>
      <c r="I301" s="5">
        <v>0.13100000000000001</v>
      </c>
      <c r="J301" s="11" t="s">
        <v>232</v>
      </c>
    </row>
    <row r="302" spans="1:10" x14ac:dyDescent="0.25">
      <c r="A302">
        <f t="shared" si="25"/>
        <v>297</v>
      </c>
      <c r="B302" t="s">
        <v>1260</v>
      </c>
      <c r="C302" s="2">
        <v>0.55972222222222223</v>
      </c>
      <c r="D302" s="4">
        <v>0.20208333333333334</v>
      </c>
      <c r="E302" s="6">
        <v>0.3576388888888889</v>
      </c>
      <c r="F302" s="5">
        <v>0.63895781637717119</v>
      </c>
      <c r="G302" s="5">
        <v>0.877</v>
      </c>
      <c r="H302" s="4">
        <v>6.8472222222222212E-2</v>
      </c>
      <c r="I302" s="5">
        <v>0.16800000000000001</v>
      </c>
      <c r="J302" s="11" t="s">
        <v>1244</v>
      </c>
    </row>
    <row r="303" spans="1:10" x14ac:dyDescent="0.25">
      <c r="A303">
        <f t="shared" si="25"/>
        <v>298</v>
      </c>
      <c r="B303" t="s">
        <v>1593</v>
      </c>
      <c r="C303" s="2">
        <v>0.48055555555555557</v>
      </c>
      <c r="D303" s="4">
        <f t="shared" ref="D303:D310" si="26">C303-E303</f>
        <v>0.12291666666666667</v>
      </c>
      <c r="E303" s="6">
        <v>0.3576388888888889</v>
      </c>
      <c r="F303" s="5">
        <f t="shared" ref="F303:F310" si="27">E303/C303</f>
        <v>0.7442196531791907</v>
      </c>
      <c r="G303" s="5">
        <v>0.879</v>
      </c>
      <c r="H303" s="4">
        <f>79.3/1440</f>
        <v>5.5069444444444442E-2</v>
      </c>
      <c r="I303" s="5">
        <v>0.13500000000000001</v>
      </c>
      <c r="J303" s="11" t="s">
        <v>1589</v>
      </c>
    </row>
    <row r="304" spans="1:10" x14ac:dyDescent="0.25">
      <c r="A304">
        <f t="shared" si="25"/>
        <v>299</v>
      </c>
      <c r="B304" t="s">
        <v>1093</v>
      </c>
      <c r="C304" s="2">
        <v>0.47222222222222221</v>
      </c>
      <c r="D304" s="4">
        <f t="shared" si="26"/>
        <v>0.11527777777777776</v>
      </c>
      <c r="E304" s="6">
        <v>0.35694444444444445</v>
      </c>
      <c r="F304" s="5">
        <f t="shared" si="27"/>
        <v>0.75588235294117656</v>
      </c>
      <c r="G304" s="5">
        <v>0.85099999999999998</v>
      </c>
      <c r="H304" s="4">
        <f>70.9/1440</f>
        <v>4.9236111111111112E-2</v>
      </c>
      <c r="I304" s="5">
        <v>0.11700000000000001</v>
      </c>
      <c r="J304" s="11" t="s">
        <v>1076</v>
      </c>
    </row>
    <row r="305" spans="1:10" x14ac:dyDescent="0.25">
      <c r="A305">
        <f t="shared" si="25"/>
        <v>300</v>
      </c>
      <c r="B305" t="s">
        <v>1205</v>
      </c>
      <c r="C305" s="2">
        <v>0.47569444444444442</v>
      </c>
      <c r="D305" s="4">
        <f t="shared" si="26"/>
        <v>0.11874999999999997</v>
      </c>
      <c r="E305" s="6">
        <v>0.35694444444444445</v>
      </c>
      <c r="F305" s="5">
        <f t="shared" si="27"/>
        <v>0.75036496350364967</v>
      </c>
      <c r="G305" s="5">
        <v>0.77</v>
      </c>
      <c r="H305" s="4">
        <f>65.4/1440</f>
        <v>4.5416666666666668E-2</v>
      </c>
      <c r="I305" s="5">
        <v>9.8000000000000004E-2</v>
      </c>
      <c r="J305" s="11" t="s">
        <v>1185</v>
      </c>
    </row>
    <row r="306" spans="1:10" x14ac:dyDescent="0.25">
      <c r="A306">
        <f t="shared" si="25"/>
        <v>301</v>
      </c>
      <c r="B306" t="s">
        <v>1555</v>
      </c>
      <c r="C306" s="2">
        <v>0.4826388888888889</v>
      </c>
      <c r="D306" s="4">
        <f t="shared" si="26"/>
        <v>0.12569444444444444</v>
      </c>
      <c r="E306" s="6">
        <v>0.35694444444444445</v>
      </c>
      <c r="F306" s="5">
        <f t="shared" si="27"/>
        <v>0.73956834532374105</v>
      </c>
      <c r="G306" s="5">
        <v>0.627</v>
      </c>
      <c r="H306" s="4">
        <f>56.6/1440</f>
        <v>3.9305555555555559E-2</v>
      </c>
      <c r="I306" s="5">
        <v>6.9000000000000006E-2</v>
      </c>
      <c r="J306" s="11" t="s">
        <v>1553</v>
      </c>
    </row>
    <row r="307" spans="1:10" x14ac:dyDescent="0.25">
      <c r="A307">
        <f t="shared" si="25"/>
        <v>302</v>
      </c>
      <c r="B307" t="s">
        <v>1638</v>
      </c>
      <c r="C307" s="2">
        <v>0.45763888888888887</v>
      </c>
      <c r="D307" s="4">
        <f t="shared" si="26"/>
        <v>0.10069444444444442</v>
      </c>
      <c r="E307" s="6">
        <v>0.35694444444444445</v>
      </c>
      <c r="F307" s="5">
        <f t="shared" si="27"/>
        <v>0.77996965098634297</v>
      </c>
      <c r="G307" s="5">
        <v>0.85099999999999998</v>
      </c>
      <c r="H307" s="4">
        <f>74.4/1440</f>
        <v>5.1666666666666673E-2</v>
      </c>
      <c r="I307" s="5">
        <v>0.123</v>
      </c>
      <c r="J307" s="11" t="s">
        <v>1626</v>
      </c>
    </row>
    <row r="308" spans="1:10" x14ac:dyDescent="0.25">
      <c r="A308">
        <f t="shared" si="25"/>
        <v>303</v>
      </c>
      <c r="B308" t="s">
        <v>1810</v>
      </c>
      <c r="C308" s="2">
        <v>0.4513888888888889</v>
      </c>
      <c r="D308" s="4">
        <f t="shared" si="26"/>
        <v>9.4444444444444442E-2</v>
      </c>
      <c r="E308" s="6">
        <v>0.35694444444444445</v>
      </c>
      <c r="F308" s="5">
        <f t="shared" si="27"/>
        <v>0.79076923076923078</v>
      </c>
      <c r="G308" s="5">
        <v>1</v>
      </c>
      <c r="H308" s="4">
        <f>84.7/1440</f>
        <v>5.8819444444444445E-2</v>
      </c>
      <c r="I308" s="5">
        <v>0.16500000000000001</v>
      </c>
      <c r="J308" s="11" t="s">
        <v>1813</v>
      </c>
    </row>
    <row r="309" spans="1:10" x14ac:dyDescent="0.25">
      <c r="A309">
        <f t="shared" si="25"/>
        <v>304</v>
      </c>
      <c r="B309" t="s">
        <v>35</v>
      </c>
      <c r="C309" s="2">
        <v>0.4909722222222222</v>
      </c>
      <c r="D309" s="4">
        <f t="shared" si="26"/>
        <v>0.13472222222222219</v>
      </c>
      <c r="E309" s="6">
        <v>0.35625000000000001</v>
      </c>
      <c r="F309" s="5">
        <f t="shared" si="27"/>
        <v>0.72560113154172567</v>
      </c>
      <c r="G309" s="5">
        <v>0.83</v>
      </c>
      <c r="H309" s="4">
        <f>77.8/1440</f>
        <v>5.4027777777777779E-2</v>
      </c>
      <c r="I309" s="5">
        <v>0.126</v>
      </c>
      <c r="J309" s="11" t="s">
        <v>102</v>
      </c>
    </row>
    <row r="310" spans="1:10" x14ac:dyDescent="0.25">
      <c r="A310">
        <f t="shared" si="25"/>
        <v>305</v>
      </c>
      <c r="B310" t="s">
        <v>534</v>
      </c>
      <c r="C310" s="2">
        <v>0.47986111111111113</v>
      </c>
      <c r="D310" s="4">
        <f t="shared" si="26"/>
        <v>0.12361111111111112</v>
      </c>
      <c r="E310" s="6">
        <v>0.35625000000000001</v>
      </c>
      <c r="F310" s="5">
        <f t="shared" si="27"/>
        <v>0.74240231548480462</v>
      </c>
      <c r="G310" s="5">
        <v>0.72799999999999998</v>
      </c>
      <c r="H310" s="4">
        <f>72.6/1440</f>
        <v>5.0416666666666665E-2</v>
      </c>
      <c r="I310" s="5">
        <v>0.10299999999999999</v>
      </c>
      <c r="J310" s="11" t="s">
        <v>536</v>
      </c>
    </row>
    <row r="311" spans="1:10" x14ac:dyDescent="0.25">
      <c r="A311">
        <f t="shared" si="25"/>
        <v>306</v>
      </c>
      <c r="B311" t="s">
        <v>730</v>
      </c>
      <c r="C311" s="2">
        <v>0.49652777777777779</v>
      </c>
      <c r="D311" s="4">
        <v>0.14027777777777778</v>
      </c>
      <c r="E311" s="6">
        <v>0.35625000000000001</v>
      </c>
      <c r="F311" s="5">
        <v>0.71748251748251746</v>
      </c>
      <c r="G311" s="5">
        <v>0.80800000000000005</v>
      </c>
      <c r="H311" s="4">
        <v>4.8888888888888891E-2</v>
      </c>
      <c r="I311" s="5">
        <v>0.111</v>
      </c>
      <c r="J311" s="11" t="s">
        <v>731</v>
      </c>
    </row>
    <row r="312" spans="1:10" x14ac:dyDescent="0.25">
      <c r="A312">
        <f t="shared" si="25"/>
        <v>307</v>
      </c>
      <c r="B312" t="s">
        <v>60</v>
      </c>
      <c r="C312" s="2">
        <v>0.4777777777777778</v>
      </c>
      <c r="D312" s="4">
        <f t="shared" ref="D312:D335" si="28">C312-E312</f>
        <v>0.12222222222222223</v>
      </c>
      <c r="E312" s="6">
        <v>0.35555555555555557</v>
      </c>
      <c r="F312" s="5">
        <f t="shared" ref="F312:F341" si="29">E312/C312</f>
        <v>0.7441860465116279</v>
      </c>
      <c r="G312" s="5">
        <v>0.83599999999999997</v>
      </c>
      <c r="H312" s="4">
        <f>77.4/1440</f>
        <v>5.3750000000000006E-2</v>
      </c>
      <c r="I312" s="5">
        <v>0.126</v>
      </c>
      <c r="J312" s="11" t="s">
        <v>127</v>
      </c>
    </row>
    <row r="313" spans="1:10" x14ac:dyDescent="0.25">
      <c r="A313">
        <f t="shared" si="25"/>
        <v>308</v>
      </c>
      <c r="B313" t="s">
        <v>330</v>
      </c>
      <c r="C313" s="2">
        <v>0.48125000000000001</v>
      </c>
      <c r="D313" s="4">
        <f t="shared" si="28"/>
        <v>0.12569444444444444</v>
      </c>
      <c r="E313" s="6">
        <v>0.35555555555555557</v>
      </c>
      <c r="F313" s="5">
        <f t="shared" si="29"/>
        <v>0.73881673881673882</v>
      </c>
      <c r="G313" s="5">
        <v>0.83899999999999997</v>
      </c>
      <c r="H313" s="4">
        <f>71.3/1440</f>
        <v>4.9513888888888885E-2</v>
      </c>
      <c r="I313" s="5">
        <v>0.11700000000000001</v>
      </c>
      <c r="J313" s="11" t="s">
        <v>332</v>
      </c>
    </row>
    <row r="314" spans="1:10" x14ac:dyDescent="0.25">
      <c r="A314">
        <f t="shared" si="25"/>
        <v>309</v>
      </c>
      <c r="B314" t="s">
        <v>675</v>
      </c>
      <c r="C314" s="2">
        <v>0.47847222222222219</v>
      </c>
      <c r="D314" s="4">
        <f t="shared" si="28"/>
        <v>0.12291666666666662</v>
      </c>
      <c r="E314" s="6">
        <v>0.35555555555555557</v>
      </c>
      <c r="F314" s="5">
        <f t="shared" si="29"/>
        <v>0.74310595065312057</v>
      </c>
      <c r="G314" s="5">
        <v>0.77400000000000002</v>
      </c>
      <c r="H314" s="4">
        <f>70.9/1440</f>
        <v>4.9236111111111112E-2</v>
      </c>
      <c r="I314" s="5">
        <v>0.107</v>
      </c>
      <c r="J314" s="11" t="s">
        <v>676</v>
      </c>
    </row>
    <row r="315" spans="1:10" x14ac:dyDescent="0.25">
      <c r="A315">
        <f t="shared" si="25"/>
        <v>310</v>
      </c>
      <c r="B315" t="s">
        <v>1306</v>
      </c>
      <c r="C315" s="2">
        <v>0.44791666666666669</v>
      </c>
      <c r="D315" s="4">
        <f t="shared" si="28"/>
        <v>9.2361111111111116E-2</v>
      </c>
      <c r="E315" s="6">
        <v>0.35555555555555557</v>
      </c>
      <c r="F315" s="5">
        <f t="shared" si="29"/>
        <v>0.79379844961240309</v>
      </c>
      <c r="G315" s="5">
        <v>0.85699999999999998</v>
      </c>
      <c r="H315" s="4">
        <f>68.6/1440</f>
        <v>4.7638888888888883E-2</v>
      </c>
      <c r="I315" s="5">
        <v>0.115</v>
      </c>
      <c r="J315" s="11" t="s">
        <v>1290</v>
      </c>
    </row>
    <row r="316" spans="1:10" x14ac:dyDescent="0.25">
      <c r="A316">
        <f t="shared" si="25"/>
        <v>311</v>
      </c>
      <c r="B316" t="s">
        <v>1564</v>
      </c>
      <c r="C316" s="2">
        <v>0.46180555555555558</v>
      </c>
      <c r="D316" s="4">
        <f t="shared" si="28"/>
        <v>0.10625000000000001</v>
      </c>
      <c r="E316" s="6">
        <v>0.35555555555555557</v>
      </c>
      <c r="F316" s="5">
        <f t="shared" si="29"/>
        <v>0.76992481203007512</v>
      </c>
      <c r="G316" s="5">
        <v>0.78100000000000003</v>
      </c>
      <c r="H316" s="4">
        <f>65.4/1440</f>
        <v>4.5416666666666668E-2</v>
      </c>
      <c r="I316" s="5">
        <v>0.1</v>
      </c>
      <c r="J316" s="11" t="s">
        <v>1563</v>
      </c>
    </row>
    <row r="317" spans="1:10" x14ac:dyDescent="0.25">
      <c r="A317">
        <f t="shared" si="25"/>
        <v>312</v>
      </c>
      <c r="B317" t="s">
        <v>1789</v>
      </c>
      <c r="C317" s="2">
        <v>0.46319444444444446</v>
      </c>
      <c r="D317" s="4">
        <f t="shared" si="28"/>
        <v>0.1076388888888889</v>
      </c>
      <c r="E317" s="6">
        <v>0.35555555555555557</v>
      </c>
      <c r="F317" s="5">
        <f t="shared" si="29"/>
        <v>0.76761619190404795</v>
      </c>
      <c r="G317" s="5">
        <v>1</v>
      </c>
      <c r="H317" s="4">
        <f>78.1/1440</f>
        <v>5.423611111111111E-2</v>
      </c>
      <c r="I317" s="5">
        <v>0.153</v>
      </c>
      <c r="J317" s="11" t="s">
        <v>1776</v>
      </c>
    </row>
    <row r="318" spans="1:10" x14ac:dyDescent="0.25">
      <c r="A318">
        <f t="shared" si="25"/>
        <v>313</v>
      </c>
      <c r="B318" t="s">
        <v>331</v>
      </c>
      <c r="C318" s="2">
        <v>0.48125000000000001</v>
      </c>
      <c r="D318" s="4">
        <f t="shared" si="28"/>
        <v>0.12638888888888888</v>
      </c>
      <c r="E318" s="6">
        <v>0.35486111111111113</v>
      </c>
      <c r="F318" s="5">
        <f t="shared" si="29"/>
        <v>0.73737373737373735</v>
      </c>
      <c r="G318" s="5">
        <v>0.81899999999999995</v>
      </c>
      <c r="H318" s="4">
        <f>82.6/1440</f>
        <v>5.7361111111111106E-2</v>
      </c>
      <c r="I318" s="5">
        <v>0.13200000000000001</v>
      </c>
      <c r="J318" s="11" t="s">
        <v>71</v>
      </c>
    </row>
    <row r="319" spans="1:10" x14ac:dyDescent="0.25">
      <c r="A319">
        <f t="shared" si="25"/>
        <v>314</v>
      </c>
      <c r="B319" t="s">
        <v>212</v>
      </c>
      <c r="C319" s="2">
        <v>0.47500000000000003</v>
      </c>
      <c r="D319" s="4">
        <f t="shared" si="28"/>
        <v>0.12013888888888891</v>
      </c>
      <c r="E319" s="6">
        <v>0.35486111111111113</v>
      </c>
      <c r="F319" s="5">
        <f t="shared" si="29"/>
        <v>0.74707602339181289</v>
      </c>
      <c r="G319" s="5">
        <v>0.875</v>
      </c>
      <c r="H319" s="4">
        <f>98.3/1440</f>
        <v>6.8263888888888888E-2</v>
      </c>
      <c r="I319" s="5">
        <v>0.16800000000000001</v>
      </c>
      <c r="J319" s="11" t="s">
        <v>213</v>
      </c>
    </row>
    <row r="320" spans="1:10" x14ac:dyDescent="0.25">
      <c r="A320">
        <f t="shared" si="25"/>
        <v>315</v>
      </c>
      <c r="B320" t="s">
        <v>297</v>
      </c>
      <c r="C320" s="2">
        <v>0.49374999999999997</v>
      </c>
      <c r="D320" s="4">
        <f t="shared" si="28"/>
        <v>0.13888888888888884</v>
      </c>
      <c r="E320" s="6">
        <v>0.35486111111111113</v>
      </c>
      <c r="F320" s="5">
        <f t="shared" si="29"/>
        <v>0.71870604781997194</v>
      </c>
      <c r="G320" s="5">
        <v>0.68700000000000006</v>
      </c>
      <c r="H320" s="4">
        <f>89.6/1440</f>
        <v>6.222222222222222E-2</v>
      </c>
      <c r="I320" s="5">
        <v>0.12</v>
      </c>
      <c r="J320" s="11" t="s">
        <v>298</v>
      </c>
    </row>
    <row r="321" spans="1:10" x14ac:dyDescent="0.25">
      <c r="A321">
        <f t="shared" si="25"/>
        <v>316</v>
      </c>
      <c r="B321" t="s">
        <v>591</v>
      </c>
      <c r="C321" s="2">
        <v>0.47986111111111113</v>
      </c>
      <c r="D321" s="4">
        <f t="shared" si="28"/>
        <v>0.125</v>
      </c>
      <c r="E321" s="6">
        <v>0.35486111111111113</v>
      </c>
      <c r="F321" s="5">
        <f t="shared" si="29"/>
        <v>0.73950795947901593</v>
      </c>
      <c r="G321" s="5">
        <v>0.82299999999999995</v>
      </c>
      <c r="H321" s="4">
        <f>62.7/1440</f>
        <v>4.3541666666666666E-2</v>
      </c>
      <c r="I321" s="5">
        <v>0.10100000000000001</v>
      </c>
      <c r="J321" s="11" t="s">
        <v>593</v>
      </c>
    </row>
    <row r="322" spans="1:10" x14ac:dyDescent="0.25">
      <c r="A322">
        <f t="shared" si="25"/>
        <v>317</v>
      </c>
      <c r="B322" t="s">
        <v>834</v>
      </c>
      <c r="C322" s="2">
        <v>0.50138888888888888</v>
      </c>
      <c r="D322" s="4">
        <f t="shared" si="28"/>
        <v>0.14652777777777776</v>
      </c>
      <c r="E322" s="6">
        <v>0.35486111111111113</v>
      </c>
      <c r="F322" s="5">
        <f t="shared" si="29"/>
        <v>0.70775623268698062</v>
      </c>
      <c r="G322" s="5">
        <v>0.83</v>
      </c>
      <c r="H322" s="4">
        <f>71.8/1440</f>
        <v>4.9861111111111106E-2</v>
      </c>
      <c r="I322" s="5">
        <v>0.11700000000000001</v>
      </c>
      <c r="J322" s="11" t="s">
        <v>840</v>
      </c>
    </row>
    <row r="323" spans="1:10" x14ac:dyDescent="0.25">
      <c r="A323">
        <f t="shared" si="25"/>
        <v>318</v>
      </c>
      <c r="B323" t="s">
        <v>1496</v>
      </c>
      <c r="C323" s="2">
        <v>0.45624999999999999</v>
      </c>
      <c r="D323" s="4">
        <f t="shared" si="28"/>
        <v>0.10138888888888886</v>
      </c>
      <c r="E323" s="6">
        <v>0.35486111111111113</v>
      </c>
      <c r="F323" s="5">
        <f t="shared" si="29"/>
        <v>0.77777777777777779</v>
      </c>
      <c r="G323" s="5">
        <v>0.83199999999999996</v>
      </c>
      <c r="H323" s="4">
        <f>70.2/1440</f>
        <v>4.8750000000000002E-2</v>
      </c>
      <c r="I323" s="5">
        <v>0.114</v>
      </c>
      <c r="J323" s="11" t="s">
        <v>1492</v>
      </c>
    </row>
    <row r="324" spans="1:10" x14ac:dyDescent="0.25">
      <c r="A324">
        <f t="shared" si="25"/>
        <v>319</v>
      </c>
      <c r="B324" t="s">
        <v>59</v>
      </c>
      <c r="C324" s="2">
        <v>0.47638888888888892</v>
      </c>
      <c r="D324" s="4">
        <f t="shared" si="28"/>
        <v>0.12222222222222223</v>
      </c>
      <c r="E324" s="6">
        <v>0.35416666666666669</v>
      </c>
      <c r="F324" s="5">
        <f t="shared" si="29"/>
        <v>0.7434402332361516</v>
      </c>
      <c r="G324" s="5">
        <v>0.81699999999999995</v>
      </c>
      <c r="H324" s="4">
        <f>75/1440</f>
        <v>5.2083333333333336E-2</v>
      </c>
      <c r="I324" s="5">
        <v>0.12</v>
      </c>
      <c r="J324" s="11" t="s">
        <v>129</v>
      </c>
    </row>
    <row r="325" spans="1:10" x14ac:dyDescent="0.25">
      <c r="A325">
        <f t="shared" si="25"/>
        <v>320</v>
      </c>
      <c r="B325" t="s">
        <v>147</v>
      </c>
      <c r="C325" s="2">
        <v>0.50277777777777777</v>
      </c>
      <c r="D325" s="4">
        <f t="shared" si="28"/>
        <v>0.14861111111111108</v>
      </c>
      <c r="E325" s="6">
        <v>0.35416666666666669</v>
      </c>
      <c r="F325" s="5">
        <f t="shared" si="29"/>
        <v>0.70441988950276246</v>
      </c>
      <c r="G325" s="5">
        <v>0.79400000000000004</v>
      </c>
      <c r="H325" s="4">
        <f>94.5/1440</f>
        <v>6.5625000000000003E-2</v>
      </c>
      <c r="I325" s="5">
        <v>0.14699999999999999</v>
      </c>
      <c r="J325" s="11" t="s">
        <v>148</v>
      </c>
    </row>
    <row r="326" spans="1:10" x14ac:dyDescent="0.25">
      <c r="A326">
        <f t="shared" si="25"/>
        <v>321</v>
      </c>
      <c r="B326" t="s">
        <v>856</v>
      </c>
      <c r="C326" s="2">
        <v>0.4465277777777778</v>
      </c>
      <c r="D326" s="4">
        <f t="shared" si="28"/>
        <v>9.2361111111111116E-2</v>
      </c>
      <c r="E326" s="6">
        <v>0.35416666666666669</v>
      </c>
      <c r="F326" s="5">
        <f t="shared" si="29"/>
        <v>0.79315707620528775</v>
      </c>
      <c r="G326" s="5">
        <v>0.80400000000000005</v>
      </c>
      <c r="H326" s="4">
        <f>69.5/1440</f>
        <v>4.8263888888888891E-2</v>
      </c>
      <c r="I326" s="5">
        <v>0.109</v>
      </c>
      <c r="J326" s="11" t="s">
        <v>860</v>
      </c>
    </row>
    <row r="327" spans="1:10" x14ac:dyDescent="0.25">
      <c r="A327">
        <f t="shared" si="25"/>
        <v>322</v>
      </c>
      <c r="B327" t="s">
        <v>1274</v>
      </c>
      <c r="C327" s="2">
        <v>0.44861111111111113</v>
      </c>
      <c r="D327" s="4">
        <f t="shared" si="28"/>
        <v>9.4444444444444442E-2</v>
      </c>
      <c r="E327" s="6">
        <v>0.35416666666666669</v>
      </c>
      <c r="F327" s="5">
        <f t="shared" si="29"/>
        <v>0.78947368421052633</v>
      </c>
      <c r="G327" s="5">
        <v>0.81599999999999995</v>
      </c>
      <c r="H327" s="4">
        <f>63.8/1440</f>
        <v>4.4305555555555556E-2</v>
      </c>
      <c r="I327" s="5">
        <v>0.10199999999999999</v>
      </c>
      <c r="J327" s="11" t="s">
        <v>1266</v>
      </c>
    </row>
    <row r="328" spans="1:10" x14ac:dyDescent="0.25">
      <c r="A328">
        <f t="shared" si="25"/>
        <v>323</v>
      </c>
      <c r="B328" t="s">
        <v>1311</v>
      </c>
      <c r="C328" s="2">
        <v>0.4465277777777778</v>
      </c>
      <c r="D328" s="4">
        <f t="shared" si="28"/>
        <v>9.2361111111111116E-2</v>
      </c>
      <c r="E328" s="6">
        <v>0.35416666666666669</v>
      </c>
      <c r="F328" s="5">
        <f t="shared" si="29"/>
        <v>0.79315707620528775</v>
      </c>
      <c r="G328" s="5">
        <v>0.84799999999999998</v>
      </c>
      <c r="H328" s="4">
        <f>75/1440</f>
        <v>5.2083333333333336E-2</v>
      </c>
      <c r="I328" s="5">
        <v>0.125</v>
      </c>
      <c r="J328" s="11" t="s">
        <v>1291</v>
      </c>
    </row>
    <row r="329" spans="1:10" x14ac:dyDescent="0.25">
      <c r="A329">
        <f t="shared" si="25"/>
        <v>324</v>
      </c>
      <c r="B329" t="s">
        <v>1351</v>
      </c>
      <c r="C329" s="2">
        <v>0.45694444444444443</v>
      </c>
      <c r="D329" s="4">
        <f t="shared" si="28"/>
        <v>0.10277777777777775</v>
      </c>
      <c r="E329" s="6">
        <v>0.35416666666666669</v>
      </c>
      <c r="F329" s="5">
        <f t="shared" si="29"/>
        <v>0.77507598784194531</v>
      </c>
      <c r="G329" s="5">
        <v>0.86099999999999999</v>
      </c>
      <c r="H329" s="4">
        <f>67.3/1440</f>
        <v>4.673611111111111E-2</v>
      </c>
      <c r="I329" s="5">
        <v>0.113</v>
      </c>
      <c r="J329" s="11" t="s">
        <v>1352</v>
      </c>
    </row>
    <row r="330" spans="1:10" x14ac:dyDescent="0.25">
      <c r="A330">
        <f t="shared" si="25"/>
        <v>325</v>
      </c>
      <c r="B330" t="s">
        <v>1363</v>
      </c>
      <c r="C330" s="2">
        <v>0.46527777777777779</v>
      </c>
      <c r="D330" s="4">
        <f t="shared" si="28"/>
        <v>0.1111111111111111</v>
      </c>
      <c r="E330" s="6">
        <v>0.35416666666666669</v>
      </c>
      <c r="F330" s="5">
        <f t="shared" si="29"/>
        <v>0.76119402985074625</v>
      </c>
      <c r="G330" s="5">
        <v>0.86099999999999999</v>
      </c>
      <c r="H330" s="4">
        <f>65.6/1440</f>
        <v>4.5555555555555551E-2</v>
      </c>
      <c r="I330" s="5">
        <v>0.111</v>
      </c>
      <c r="J330" s="11" t="s">
        <v>1360</v>
      </c>
    </row>
    <row r="331" spans="1:10" x14ac:dyDescent="0.25">
      <c r="A331">
        <f t="shared" si="25"/>
        <v>326</v>
      </c>
      <c r="B331" t="s">
        <v>1453</v>
      </c>
      <c r="C331" s="2">
        <v>0.45</v>
      </c>
      <c r="D331" s="4">
        <f t="shared" si="28"/>
        <v>9.5833333333333326E-2</v>
      </c>
      <c r="E331" s="6">
        <v>0.35416666666666669</v>
      </c>
      <c r="F331" s="5">
        <f t="shared" si="29"/>
        <v>0.78703703703703709</v>
      </c>
      <c r="G331" s="5">
        <v>0.80300000000000005</v>
      </c>
      <c r="H331" s="4">
        <f>67.1/1440</f>
        <v>4.659722222222222E-2</v>
      </c>
      <c r="I331" s="5">
        <v>0.105</v>
      </c>
      <c r="J331" s="11" t="s">
        <v>1441</v>
      </c>
    </row>
    <row r="332" spans="1:10" x14ac:dyDescent="0.25">
      <c r="A332">
        <f t="shared" si="25"/>
        <v>327</v>
      </c>
      <c r="B332" t="s">
        <v>1520</v>
      </c>
      <c r="C332" s="2">
        <v>0.48472222222222222</v>
      </c>
      <c r="D332" s="4">
        <f t="shared" si="28"/>
        <v>0.13055555555555554</v>
      </c>
      <c r="E332" s="6">
        <v>0.35416666666666669</v>
      </c>
      <c r="F332" s="5">
        <f t="shared" si="29"/>
        <v>0.73065902578796571</v>
      </c>
      <c r="G332" s="5">
        <v>0.90100000000000002</v>
      </c>
      <c r="H332" s="4">
        <f>73/1440</f>
        <v>5.0694444444444445E-2</v>
      </c>
      <c r="I332" s="5">
        <v>0.129</v>
      </c>
      <c r="J332" s="11" t="s">
        <v>1507</v>
      </c>
    </row>
    <row r="333" spans="1:10" x14ac:dyDescent="0.25">
      <c r="A333">
        <f t="shared" si="25"/>
        <v>328</v>
      </c>
      <c r="B333" t="s">
        <v>1529</v>
      </c>
      <c r="C333" s="2">
        <v>0.46527777777777779</v>
      </c>
      <c r="D333" s="4">
        <f t="shared" si="28"/>
        <v>0.1111111111111111</v>
      </c>
      <c r="E333" s="6">
        <v>0.35416666666666669</v>
      </c>
      <c r="F333" s="5">
        <f t="shared" si="29"/>
        <v>0.76119402985074625</v>
      </c>
      <c r="G333" s="5">
        <v>0.88</v>
      </c>
      <c r="H333" s="4">
        <f>72.6/1440</f>
        <v>5.0416666666666665E-2</v>
      </c>
      <c r="I333" s="5">
        <v>0.125</v>
      </c>
      <c r="J333" s="11" t="s">
        <v>1527</v>
      </c>
    </row>
    <row r="334" spans="1:10" x14ac:dyDescent="0.25">
      <c r="A334">
        <f t="shared" si="25"/>
        <v>329</v>
      </c>
      <c r="B334" t="s">
        <v>1578</v>
      </c>
      <c r="C334" s="2">
        <v>0.46875</v>
      </c>
      <c r="D334" s="4">
        <f t="shared" si="28"/>
        <v>0.11458333333333331</v>
      </c>
      <c r="E334" s="6">
        <v>0.35416666666666669</v>
      </c>
      <c r="F334" s="5">
        <f t="shared" si="29"/>
        <v>0.75555555555555565</v>
      </c>
      <c r="G334" s="5">
        <v>0.78700000000000003</v>
      </c>
      <c r="H334" s="4">
        <f>69.8/1440</f>
        <v>4.8472222222222222E-2</v>
      </c>
      <c r="I334" s="5">
        <v>0.108</v>
      </c>
      <c r="J334" s="11" t="s">
        <v>1585</v>
      </c>
    </row>
    <row r="335" spans="1:10" x14ac:dyDescent="0.25">
      <c r="A335">
        <f t="shared" si="25"/>
        <v>330</v>
      </c>
      <c r="B335" t="s">
        <v>716</v>
      </c>
      <c r="C335" s="2">
        <v>0.47569444444444442</v>
      </c>
      <c r="D335" s="4">
        <f t="shared" si="28"/>
        <v>0.12222222222222218</v>
      </c>
      <c r="E335" s="6">
        <v>0.35347222222222224</v>
      </c>
      <c r="F335" s="5">
        <f t="shared" si="29"/>
        <v>0.74306569343065698</v>
      </c>
      <c r="G335" s="5">
        <v>0.85099999999999998</v>
      </c>
      <c r="H335" s="4">
        <f>62.8/1440</f>
        <v>4.3611111111111107E-2</v>
      </c>
      <c r="I335" s="5">
        <v>0.105</v>
      </c>
      <c r="J335" s="11" t="s">
        <v>713</v>
      </c>
    </row>
    <row r="336" spans="1:10" x14ac:dyDescent="0.25">
      <c r="A336">
        <f t="shared" ref="A336:A401" si="30">A335+1</f>
        <v>331</v>
      </c>
      <c r="B336" t="s">
        <v>1432</v>
      </c>
      <c r="C336" s="2">
        <v>0.46458333333333335</v>
      </c>
      <c r="D336" s="4">
        <v>0.10347222222222222</v>
      </c>
      <c r="E336" s="6">
        <v>0.35347222222222224</v>
      </c>
      <c r="F336" s="5">
        <f t="shared" si="29"/>
        <v>0.76083707025411063</v>
      </c>
      <c r="G336" s="5">
        <v>0.84499999999999997</v>
      </c>
      <c r="H336" s="4">
        <f>62.1/1440</f>
        <v>4.3125000000000004E-2</v>
      </c>
      <c r="I336" s="5">
        <v>0.10299999999999999</v>
      </c>
      <c r="J336" s="11" t="s">
        <v>1416</v>
      </c>
    </row>
    <row r="337" spans="1:10" x14ac:dyDescent="0.25">
      <c r="A337">
        <f t="shared" si="30"/>
        <v>332</v>
      </c>
      <c r="B337" t="s">
        <v>1517</v>
      </c>
      <c r="C337" s="2">
        <v>0.46875</v>
      </c>
      <c r="D337" s="4">
        <f>C337-E337</f>
        <v>0.11527777777777776</v>
      </c>
      <c r="E337" s="6">
        <v>0.35347222222222224</v>
      </c>
      <c r="F337" s="5">
        <f t="shared" si="29"/>
        <v>0.75407407407407412</v>
      </c>
      <c r="G337" s="5">
        <v>0.86399999999999999</v>
      </c>
      <c r="H337" s="4">
        <f>67/1440</f>
        <v>4.6527777777777779E-2</v>
      </c>
      <c r="I337" s="5">
        <v>9.7000000000000003E-2</v>
      </c>
      <c r="J337" s="11" t="s">
        <v>1505</v>
      </c>
    </row>
    <row r="338" spans="1:10" x14ac:dyDescent="0.25">
      <c r="A338">
        <f t="shared" si="30"/>
        <v>333</v>
      </c>
      <c r="B338" t="s">
        <v>267</v>
      </c>
      <c r="C338" s="2">
        <v>0.50208333333333333</v>
      </c>
      <c r="D338" s="4">
        <f>C338-E338</f>
        <v>0.14861111111111114</v>
      </c>
      <c r="E338" s="6">
        <v>0.35347222222222219</v>
      </c>
      <c r="F338" s="5">
        <f t="shared" si="29"/>
        <v>0.70401106500691557</v>
      </c>
      <c r="G338" s="5">
        <v>0.83199999999999996</v>
      </c>
      <c r="H338" s="4">
        <f>64.8/1440</f>
        <v>4.4999999999999998E-2</v>
      </c>
      <c r="I338" s="5">
        <v>0.106</v>
      </c>
      <c r="J338" s="11" t="s">
        <v>268</v>
      </c>
    </row>
    <row r="339" spans="1:10" x14ac:dyDescent="0.25">
      <c r="A339">
        <f t="shared" si="30"/>
        <v>334</v>
      </c>
      <c r="B339" t="s">
        <v>287</v>
      </c>
      <c r="C339" s="2">
        <v>0.50416666666666665</v>
      </c>
      <c r="D339" s="4">
        <f>C339-E339</f>
        <v>0.15069444444444446</v>
      </c>
      <c r="E339" s="6">
        <v>0.35347222222222219</v>
      </c>
      <c r="F339" s="5">
        <f t="shared" si="29"/>
        <v>0.70110192837465557</v>
      </c>
      <c r="G339" s="5">
        <v>0.78800000000000003</v>
      </c>
      <c r="H339" s="4">
        <f>78.9/1440</f>
        <v>5.4791666666666669E-2</v>
      </c>
      <c r="I339" s="5">
        <v>0.122</v>
      </c>
      <c r="J339" s="11" t="s">
        <v>288</v>
      </c>
    </row>
    <row r="340" spans="1:10" x14ac:dyDescent="0.25">
      <c r="A340">
        <f t="shared" si="30"/>
        <v>335</v>
      </c>
      <c r="B340" t="s">
        <v>430</v>
      </c>
      <c r="C340" s="2">
        <v>0.50069444444444444</v>
      </c>
      <c r="D340" s="4">
        <f>C340-E340</f>
        <v>0.14722222222222225</v>
      </c>
      <c r="E340" s="6">
        <v>0.35347222222222219</v>
      </c>
      <c r="F340" s="5">
        <f t="shared" si="29"/>
        <v>0.70596393897364762</v>
      </c>
      <c r="G340" s="5">
        <v>0.73</v>
      </c>
      <c r="H340" s="4">
        <f>79/1440</f>
        <v>5.486111111111111E-2</v>
      </c>
      <c r="I340" s="5">
        <v>0.113</v>
      </c>
      <c r="J340" s="11" t="s">
        <v>432</v>
      </c>
    </row>
    <row r="341" spans="1:10" x14ac:dyDescent="0.25">
      <c r="A341">
        <f t="shared" si="30"/>
        <v>336</v>
      </c>
      <c r="B341" t="s">
        <v>1083</v>
      </c>
      <c r="C341" s="2">
        <v>0.46527777777777779</v>
      </c>
      <c r="D341" s="4">
        <f>C341-E341</f>
        <v>0.11249999999999999</v>
      </c>
      <c r="E341" s="6">
        <v>0.3527777777777778</v>
      </c>
      <c r="F341" s="5">
        <f t="shared" si="29"/>
        <v>0.75820895522388065</v>
      </c>
      <c r="G341" s="5">
        <v>0.82399999999999995</v>
      </c>
      <c r="H341" s="4">
        <f>69.2/1440</f>
        <v>4.805555555555556E-2</v>
      </c>
      <c r="I341" s="5">
        <v>0.112</v>
      </c>
      <c r="J341" s="11" t="s">
        <v>1074</v>
      </c>
    </row>
    <row r="342" spans="1:10" x14ac:dyDescent="0.25">
      <c r="A342">
        <f t="shared" si="30"/>
        <v>337</v>
      </c>
      <c r="B342" t="s">
        <v>1256</v>
      </c>
      <c r="C342" s="2">
        <v>0.49722222222222223</v>
      </c>
      <c r="D342" s="4">
        <v>0.14444444444444443</v>
      </c>
      <c r="E342" s="6">
        <v>0.3527777777777778</v>
      </c>
      <c r="F342" s="5">
        <v>0.7094972067039107</v>
      </c>
      <c r="G342" s="5">
        <v>0.879</v>
      </c>
      <c r="H342" s="4">
        <v>0.05</v>
      </c>
      <c r="I342" s="5">
        <v>0.124</v>
      </c>
      <c r="J342" s="11" t="s">
        <v>1244</v>
      </c>
    </row>
    <row r="343" spans="1:10" x14ac:dyDescent="0.25">
      <c r="A343">
        <f t="shared" si="30"/>
        <v>338</v>
      </c>
      <c r="B343" t="s">
        <v>1445</v>
      </c>
      <c r="C343" s="2">
        <v>0.47708333333333336</v>
      </c>
      <c r="D343" s="4">
        <f t="shared" ref="D343:D377" si="31">C343-E343</f>
        <v>0.12430555555555556</v>
      </c>
      <c r="E343" s="6">
        <v>0.3527777777777778</v>
      </c>
      <c r="F343" s="5">
        <f t="shared" ref="F343:F377" si="32">E343/C343</f>
        <v>0.73944687045123725</v>
      </c>
      <c r="G343" s="5">
        <v>0.73399999999999999</v>
      </c>
      <c r="H343" s="4">
        <f>67.2/1440</f>
        <v>4.6666666666666669E-2</v>
      </c>
      <c r="I343" s="5">
        <v>9.2999999999999999E-2</v>
      </c>
      <c r="J343" s="11" t="s">
        <v>1439</v>
      </c>
    </row>
    <row r="344" spans="1:10" x14ac:dyDescent="0.25">
      <c r="A344">
        <f t="shared" si="30"/>
        <v>339</v>
      </c>
      <c r="B344" t="s">
        <v>1001</v>
      </c>
      <c r="C344" s="2">
        <v>0.46597222222222223</v>
      </c>
      <c r="D344" s="4">
        <f t="shared" si="31"/>
        <v>0.11388888888888887</v>
      </c>
      <c r="E344" s="6">
        <v>0.35208333333333336</v>
      </c>
      <c r="F344" s="5">
        <f t="shared" si="32"/>
        <v>0.75558867362146054</v>
      </c>
      <c r="G344" s="5">
        <v>0.878</v>
      </c>
      <c r="H344" s="4">
        <f>68.7/1440</f>
        <v>4.7708333333333339E-2</v>
      </c>
      <c r="I344" s="5">
        <v>0.11899999999999999</v>
      </c>
      <c r="J344" s="11" t="s">
        <v>998</v>
      </c>
    </row>
    <row r="345" spans="1:10" x14ac:dyDescent="0.25">
      <c r="A345">
        <f t="shared" si="30"/>
        <v>340</v>
      </c>
      <c r="B345" t="s">
        <v>1023</v>
      </c>
      <c r="C345" s="2">
        <v>0.45833333333333331</v>
      </c>
      <c r="D345" s="4">
        <f t="shared" si="31"/>
        <v>0.10624999999999996</v>
      </c>
      <c r="E345" s="6">
        <v>0.35208333333333336</v>
      </c>
      <c r="F345" s="5">
        <f t="shared" si="32"/>
        <v>0.7681818181818183</v>
      </c>
      <c r="G345" s="5">
        <v>0.83699999999999997</v>
      </c>
      <c r="H345" s="4">
        <f>55.3/1440</f>
        <v>3.8402777777777779E-2</v>
      </c>
      <c r="I345" s="5">
        <v>9.0999999999999998E-2</v>
      </c>
      <c r="J345" s="11" t="s">
        <v>1021</v>
      </c>
    </row>
    <row r="346" spans="1:10" x14ac:dyDescent="0.25">
      <c r="A346">
        <f t="shared" si="30"/>
        <v>341</v>
      </c>
      <c r="B346" t="s">
        <v>1188</v>
      </c>
      <c r="C346" s="2">
        <v>0.44374999999999998</v>
      </c>
      <c r="D346" s="4">
        <f t="shared" si="31"/>
        <v>9.1666666666666619E-2</v>
      </c>
      <c r="E346" s="6">
        <v>0.35208333333333336</v>
      </c>
      <c r="F346" s="5">
        <f t="shared" si="32"/>
        <v>0.79342723004694848</v>
      </c>
      <c r="G346" s="5">
        <v>0.89</v>
      </c>
      <c r="H346" s="4">
        <f>62/1440</f>
        <v>4.3055555555555555E-2</v>
      </c>
      <c r="I346" s="5">
        <v>0.109</v>
      </c>
      <c r="J346" s="11" t="s">
        <v>1179</v>
      </c>
    </row>
    <row r="347" spans="1:10" x14ac:dyDescent="0.25">
      <c r="A347">
        <f t="shared" si="30"/>
        <v>342</v>
      </c>
      <c r="B347" t="s">
        <v>1200</v>
      </c>
      <c r="C347" s="2">
        <v>0.49236111111111114</v>
      </c>
      <c r="D347" s="4">
        <f t="shared" si="31"/>
        <v>0.14027777777777778</v>
      </c>
      <c r="E347" s="6">
        <v>0.35208333333333336</v>
      </c>
      <c r="F347" s="5">
        <f t="shared" si="32"/>
        <v>0.71509167842031029</v>
      </c>
      <c r="G347" s="5">
        <v>0.83399999999999996</v>
      </c>
      <c r="H347" s="4">
        <f>44.7/1440</f>
        <v>3.1041666666666669E-2</v>
      </c>
      <c r="I347" s="5">
        <v>7.2999999999999995E-2</v>
      </c>
      <c r="J347" s="11" t="s">
        <v>1183</v>
      </c>
    </row>
    <row r="348" spans="1:10" x14ac:dyDescent="0.25">
      <c r="A348">
        <f t="shared" si="30"/>
        <v>343</v>
      </c>
      <c r="B348" t="s">
        <v>1522</v>
      </c>
      <c r="C348" s="2">
        <v>0.45416666666666666</v>
      </c>
      <c r="D348" s="4">
        <f t="shared" si="31"/>
        <v>0.1020833333333333</v>
      </c>
      <c r="E348" s="6">
        <v>0.35208333333333336</v>
      </c>
      <c r="F348" s="5">
        <f t="shared" si="32"/>
        <v>0.77522935779816515</v>
      </c>
      <c r="G348" s="5">
        <v>0.83499999999999996</v>
      </c>
      <c r="H348" s="4">
        <f>60.8/1440</f>
        <v>4.2222222222222223E-2</v>
      </c>
      <c r="I348" s="5">
        <v>0.1</v>
      </c>
      <c r="J348" s="11" t="s">
        <v>1521</v>
      </c>
    </row>
    <row r="349" spans="1:10" x14ac:dyDescent="0.25">
      <c r="A349">
        <f t="shared" si="30"/>
        <v>344</v>
      </c>
      <c r="B349" t="s">
        <v>1712</v>
      </c>
      <c r="C349" s="2">
        <v>0.4375</v>
      </c>
      <c r="D349" s="4">
        <f t="shared" si="31"/>
        <v>8.5416666666666641E-2</v>
      </c>
      <c r="E349" s="6">
        <v>0.35208333333333336</v>
      </c>
      <c r="F349" s="5">
        <f t="shared" si="32"/>
        <v>0.80476190476190479</v>
      </c>
      <c r="G349" s="5">
        <v>1</v>
      </c>
      <c r="H349" s="4">
        <f>81/1440</f>
        <v>5.6250000000000001E-2</v>
      </c>
      <c r="I349" s="5">
        <v>0.16</v>
      </c>
      <c r="J349" s="11" t="s">
        <v>1707</v>
      </c>
    </row>
    <row r="350" spans="1:10" x14ac:dyDescent="0.25">
      <c r="A350">
        <f t="shared" si="30"/>
        <v>345</v>
      </c>
      <c r="B350" t="s">
        <v>535</v>
      </c>
      <c r="C350" s="2">
        <v>0.4777777777777778</v>
      </c>
      <c r="D350" s="4">
        <f t="shared" si="31"/>
        <v>0.1256944444444445</v>
      </c>
      <c r="E350" s="6">
        <v>0.3520833333333333</v>
      </c>
      <c r="F350" s="5">
        <f t="shared" si="32"/>
        <v>0.73691860465116266</v>
      </c>
      <c r="G350" s="5">
        <v>0.77500000000000002</v>
      </c>
      <c r="H350" s="4">
        <f>75.8/1440</f>
        <v>5.2638888888888888E-2</v>
      </c>
      <c r="I350" s="5">
        <v>0.11600000000000001</v>
      </c>
      <c r="J350" s="11" t="s">
        <v>536</v>
      </c>
    </row>
    <row r="351" spans="1:10" x14ac:dyDescent="0.25">
      <c r="A351">
        <f t="shared" si="30"/>
        <v>346</v>
      </c>
      <c r="B351" t="s">
        <v>642</v>
      </c>
      <c r="C351" s="2">
        <v>0.48333333333333334</v>
      </c>
      <c r="D351" s="4">
        <f t="shared" si="31"/>
        <v>0.13125000000000003</v>
      </c>
      <c r="E351" s="6">
        <v>0.3520833333333333</v>
      </c>
      <c r="F351" s="5">
        <f t="shared" si="32"/>
        <v>0.72844827586206895</v>
      </c>
      <c r="G351" s="5">
        <v>0.85099999999999998</v>
      </c>
      <c r="H351" s="4">
        <f>67/1440</f>
        <v>4.6527777777777779E-2</v>
      </c>
      <c r="I351" s="5">
        <v>0.112</v>
      </c>
      <c r="J351" s="11" t="s">
        <v>643</v>
      </c>
    </row>
    <row r="352" spans="1:10" x14ac:dyDescent="0.25">
      <c r="A352">
        <f t="shared" si="30"/>
        <v>347</v>
      </c>
      <c r="B352" t="s">
        <v>5</v>
      </c>
      <c r="C352" s="2">
        <v>0.46666666666666662</v>
      </c>
      <c r="D352" s="4">
        <f t="shared" si="31"/>
        <v>0.1152777777777777</v>
      </c>
      <c r="E352" s="6">
        <v>0.35138888888888892</v>
      </c>
      <c r="F352" s="5">
        <f t="shared" si="32"/>
        <v>0.75297619047619058</v>
      </c>
      <c r="G352" s="5">
        <v>0.86199999999999999</v>
      </c>
      <c r="H352" s="4">
        <f>79.7/1440</f>
        <v>5.5347222222222221E-2</v>
      </c>
      <c r="I352" s="5">
        <v>0.13600000000000001</v>
      </c>
      <c r="J352" s="11" t="s">
        <v>75</v>
      </c>
    </row>
    <row r="353" spans="1:10" x14ac:dyDescent="0.25">
      <c r="A353">
        <f t="shared" si="30"/>
        <v>348</v>
      </c>
      <c r="B353" t="s">
        <v>414</v>
      </c>
      <c r="C353" s="2">
        <v>0.49583333333333335</v>
      </c>
      <c r="D353" s="4">
        <f t="shared" si="31"/>
        <v>0.14444444444444443</v>
      </c>
      <c r="E353" s="6">
        <v>0.35138888888888892</v>
      </c>
      <c r="F353" s="5">
        <f t="shared" si="32"/>
        <v>0.70868347338935578</v>
      </c>
      <c r="G353" s="5">
        <v>0.76400000000000001</v>
      </c>
      <c r="H353" s="4">
        <f>102.8/1440</f>
        <v>7.1388888888888891E-2</v>
      </c>
      <c r="I353" s="5">
        <v>0.155</v>
      </c>
      <c r="J353" s="11" t="s">
        <v>417</v>
      </c>
    </row>
    <row r="354" spans="1:10" x14ac:dyDescent="0.25">
      <c r="A354">
        <f t="shared" si="30"/>
        <v>349</v>
      </c>
      <c r="B354" t="s">
        <v>1162</v>
      </c>
      <c r="C354" s="2">
        <v>0.47916666666666669</v>
      </c>
      <c r="D354" s="4">
        <f t="shared" si="31"/>
        <v>0.12777777777777782</v>
      </c>
      <c r="E354" s="6">
        <v>0.35138888888888886</v>
      </c>
      <c r="F354" s="5">
        <f t="shared" si="32"/>
        <v>0.73333333333333328</v>
      </c>
      <c r="G354" s="5">
        <v>0.746</v>
      </c>
      <c r="H354" s="4">
        <f>58.1/1440</f>
        <v>4.0347222222222222E-2</v>
      </c>
      <c r="I354" s="5">
        <v>8.5000000000000006E-2</v>
      </c>
      <c r="J354" s="11" t="s">
        <v>1148</v>
      </c>
    </row>
    <row r="355" spans="1:10" x14ac:dyDescent="0.25">
      <c r="A355">
        <f t="shared" si="30"/>
        <v>350</v>
      </c>
      <c r="B355" t="s">
        <v>1163</v>
      </c>
      <c r="C355" s="2">
        <v>0.46388888888888891</v>
      </c>
      <c r="D355" s="4">
        <f t="shared" si="31"/>
        <v>0.11250000000000004</v>
      </c>
      <c r="E355" s="6">
        <v>0.35138888888888886</v>
      </c>
      <c r="F355" s="5">
        <f t="shared" si="32"/>
        <v>0.75748502994011968</v>
      </c>
      <c r="G355" s="5">
        <v>0.86299999999999999</v>
      </c>
      <c r="H355" s="4">
        <f>72.2/1440</f>
        <v>5.0138888888888893E-2</v>
      </c>
      <c r="I355" s="5">
        <v>0.123</v>
      </c>
      <c r="J355" s="11" t="s">
        <v>1149</v>
      </c>
    </row>
    <row r="356" spans="1:10" x14ac:dyDescent="0.25">
      <c r="A356">
        <f t="shared" si="30"/>
        <v>351</v>
      </c>
      <c r="B356" t="s">
        <v>1168</v>
      </c>
      <c r="C356" s="2">
        <v>0.4548611111111111</v>
      </c>
      <c r="D356" s="4">
        <f t="shared" si="31"/>
        <v>0.10347222222222224</v>
      </c>
      <c r="E356" s="6">
        <v>0.35138888888888886</v>
      </c>
      <c r="F356" s="5">
        <f t="shared" si="32"/>
        <v>0.77251908396946556</v>
      </c>
      <c r="G356" s="5">
        <v>0.86199999999999999</v>
      </c>
      <c r="H356" s="4">
        <f>67/1440</f>
        <v>4.6527777777777779E-2</v>
      </c>
      <c r="I356" s="5">
        <v>0.114</v>
      </c>
      <c r="J356" s="11" t="s">
        <v>1150</v>
      </c>
    </row>
    <row r="357" spans="1:10" x14ac:dyDescent="0.25">
      <c r="A357">
        <f t="shared" si="30"/>
        <v>352</v>
      </c>
      <c r="B357" t="s">
        <v>1296</v>
      </c>
      <c r="C357" s="2">
        <v>0.47013888888888888</v>
      </c>
      <c r="D357" s="4">
        <f t="shared" si="31"/>
        <v>0.11875000000000002</v>
      </c>
      <c r="E357" s="6">
        <v>0.35138888888888886</v>
      </c>
      <c r="F357" s="5">
        <f t="shared" si="32"/>
        <v>0.74741506646971934</v>
      </c>
      <c r="G357" s="5">
        <v>0.878</v>
      </c>
      <c r="H357" s="4">
        <f>67.2/1440</f>
        <v>4.6666666666666669E-2</v>
      </c>
      <c r="I357" s="5">
        <v>0.11600000000000001</v>
      </c>
      <c r="J357" s="11" t="s">
        <v>1288</v>
      </c>
    </row>
    <row r="358" spans="1:10" x14ac:dyDescent="0.25">
      <c r="A358">
        <f t="shared" si="30"/>
        <v>353</v>
      </c>
      <c r="B358" t="s">
        <v>1310</v>
      </c>
      <c r="C358" s="2">
        <v>0.45208333333333334</v>
      </c>
      <c r="D358" s="4">
        <f t="shared" si="31"/>
        <v>0.10069444444444448</v>
      </c>
      <c r="E358" s="6">
        <v>0.35138888888888886</v>
      </c>
      <c r="F358" s="5">
        <f t="shared" si="32"/>
        <v>0.77726574500768042</v>
      </c>
      <c r="G358" s="5">
        <v>0.85399999999999998</v>
      </c>
      <c r="H358" s="4">
        <f>68.4/1440</f>
        <v>4.7500000000000001E-2</v>
      </c>
      <c r="I358" s="5">
        <v>0.115</v>
      </c>
      <c r="J358" s="11" t="s">
        <v>1291</v>
      </c>
    </row>
    <row r="359" spans="1:10" x14ac:dyDescent="0.25">
      <c r="A359">
        <f t="shared" si="30"/>
        <v>354</v>
      </c>
      <c r="B359" t="s">
        <v>1401</v>
      </c>
      <c r="C359" s="2">
        <v>0.47708333333333336</v>
      </c>
      <c r="D359" s="4">
        <f t="shared" si="31"/>
        <v>0.1256944444444445</v>
      </c>
      <c r="E359" s="6">
        <v>0.35138888888888886</v>
      </c>
      <c r="F359" s="5">
        <f t="shared" si="32"/>
        <v>0.73653566229985434</v>
      </c>
      <c r="G359" s="5">
        <v>0.83299999999999996</v>
      </c>
      <c r="H359" s="4">
        <f>62.9/1440</f>
        <v>4.3680555555555556E-2</v>
      </c>
      <c r="I359" s="5">
        <v>0.10299999999999999</v>
      </c>
      <c r="J359" s="11" t="s">
        <v>1400</v>
      </c>
    </row>
    <row r="360" spans="1:10" x14ac:dyDescent="0.25">
      <c r="A360">
        <f t="shared" si="30"/>
        <v>355</v>
      </c>
      <c r="B360" t="s">
        <v>1764</v>
      </c>
      <c r="C360" s="2">
        <v>0.46388888888888891</v>
      </c>
      <c r="D360" s="4">
        <f t="shared" si="31"/>
        <v>0.11250000000000004</v>
      </c>
      <c r="E360" s="6">
        <v>0.35138888888888886</v>
      </c>
      <c r="F360" s="5">
        <f t="shared" si="32"/>
        <v>0.75748502994011968</v>
      </c>
      <c r="G360" s="5">
        <v>0.80300000000000005</v>
      </c>
      <c r="H360" s="4">
        <f>60.1/1440</f>
        <v>4.1736111111111113E-2</v>
      </c>
      <c r="I360" s="5">
        <v>9.5000000000000001E-2</v>
      </c>
      <c r="J360" s="11" t="s">
        <v>1762</v>
      </c>
    </row>
    <row r="361" spans="1:10" x14ac:dyDescent="0.25">
      <c r="A361">
        <f t="shared" si="30"/>
        <v>356</v>
      </c>
      <c r="B361" t="s">
        <v>949</v>
      </c>
      <c r="C361" s="2">
        <v>0.44861111111111113</v>
      </c>
      <c r="D361" s="4">
        <f t="shared" si="31"/>
        <v>9.7916666666666707E-2</v>
      </c>
      <c r="E361" s="6">
        <v>0.35069444444444442</v>
      </c>
      <c r="F361" s="5">
        <f t="shared" si="32"/>
        <v>0.78173374613003088</v>
      </c>
      <c r="G361" s="5">
        <v>0.81399999999999995</v>
      </c>
      <c r="H361" s="4">
        <f>69.4/1440</f>
        <v>4.8194444444444449E-2</v>
      </c>
      <c r="I361" s="5">
        <v>0.112</v>
      </c>
      <c r="J361" s="11" t="s">
        <v>953</v>
      </c>
    </row>
    <row r="362" spans="1:10" x14ac:dyDescent="0.25">
      <c r="A362">
        <f t="shared" si="30"/>
        <v>357</v>
      </c>
      <c r="B362" t="s">
        <v>1014</v>
      </c>
      <c r="C362" s="2">
        <v>0.46666666666666667</v>
      </c>
      <c r="D362" s="4">
        <f t="shared" si="31"/>
        <v>0.11597222222222225</v>
      </c>
      <c r="E362" s="6">
        <v>0.35069444444444442</v>
      </c>
      <c r="F362" s="5">
        <f t="shared" si="32"/>
        <v>0.75148809523809512</v>
      </c>
      <c r="G362" s="5">
        <v>0.82899999999999996</v>
      </c>
      <c r="H362" s="4">
        <f>64.4/1440</f>
        <v>4.4722222222222226E-2</v>
      </c>
      <c r="I362" s="5">
        <v>0.106</v>
      </c>
      <c r="J362" s="11" t="s">
        <v>1010</v>
      </c>
    </row>
    <row r="363" spans="1:10" x14ac:dyDescent="0.25">
      <c r="A363">
        <f t="shared" si="30"/>
        <v>358</v>
      </c>
      <c r="B363" t="s">
        <v>1069</v>
      </c>
      <c r="C363" s="2">
        <v>0.44513888888888886</v>
      </c>
      <c r="D363" s="4">
        <f t="shared" si="31"/>
        <v>9.4444444444444442E-2</v>
      </c>
      <c r="E363" s="6">
        <v>0.35069444444444442</v>
      </c>
      <c r="F363" s="5">
        <f t="shared" si="32"/>
        <v>0.78783151326053036</v>
      </c>
      <c r="G363" s="5">
        <v>0.80400000000000005</v>
      </c>
      <c r="H363" s="4">
        <f>62.7/1440</f>
        <v>4.3541666666666666E-2</v>
      </c>
      <c r="I363" s="5">
        <v>0.1</v>
      </c>
      <c r="J363" s="11" t="s">
        <v>1052</v>
      </c>
    </row>
    <row r="364" spans="1:10" x14ac:dyDescent="0.25">
      <c r="A364">
        <f t="shared" si="30"/>
        <v>359</v>
      </c>
      <c r="B364" t="s">
        <v>1153</v>
      </c>
      <c r="C364" s="2">
        <v>0.53263888888888888</v>
      </c>
      <c r="D364" s="4">
        <f t="shared" si="31"/>
        <v>0.18194444444444446</v>
      </c>
      <c r="E364" s="6">
        <v>0.35069444444444442</v>
      </c>
      <c r="F364" s="5">
        <f t="shared" si="32"/>
        <v>0.65840938722294651</v>
      </c>
      <c r="G364" s="5">
        <v>0.82399999999999995</v>
      </c>
      <c r="H364" s="4">
        <f>65.7/1440</f>
        <v>4.5624999999999999E-2</v>
      </c>
      <c r="I364" s="5">
        <v>0.107</v>
      </c>
      <c r="J364" s="11" t="s">
        <v>1147</v>
      </c>
    </row>
    <row r="365" spans="1:10" x14ac:dyDescent="0.25">
      <c r="A365">
        <f t="shared" si="30"/>
        <v>360</v>
      </c>
      <c r="B365" t="s">
        <v>1212</v>
      </c>
      <c r="C365" s="2">
        <v>0.4597222222222222</v>
      </c>
      <c r="D365" s="4">
        <f t="shared" si="31"/>
        <v>0.10902777777777778</v>
      </c>
      <c r="E365" s="6">
        <v>0.35069444444444442</v>
      </c>
      <c r="F365" s="5">
        <f t="shared" si="32"/>
        <v>0.76283987915407858</v>
      </c>
      <c r="G365" s="5">
        <v>0.82199999999999995</v>
      </c>
      <c r="H365" s="4">
        <f>65.1/1440</f>
        <v>4.520833333333333E-2</v>
      </c>
      <c r="I365" s="5">
        <v>0.106</v>
      </c>
      <c r="J365" s="11" t="s">
        <v>1213</v>
      </c>
    </row>
    <row r="366" spans="1:10" x14ac:dyDescent="0.25">
      <c r="A366">
        <f t="shared" si="30"/>
        <v>361</v>
      </c>
      <c r="B366" t="s">
        <v>1277</v>
      </c>
      <c r="C366" s="2">
        <v>0.44930555555555557</v>
      </c>
      <c r="D366" s="4">
        <f t="shared" si="31"/>
        <v>9.8611111111111149E-2</v>
      </c>
      <c r="E366" s="6">
        <v>0.35069444444444442</v>
      </c>
      <c r="F366" s="5">
        <f t="shared" si="32"/>
        <v>0.78052550231839246</v>
      </c>
      <c r="G366" s="5">
        <v>0.85299999999999998</v>
      </c>
      <c r="H366" s="4">
        <f>70.9/1440</f>
        <v>4.9236111111111112E-2</v>
      </c>
      <c r="I366" s="5">
        <v>0.12</v>
      </c>
      <c r="J366" s="11" t="s">
        <v>1268</v>
      </c>
    </row>
    <row r="367" spans="1:10" x14ac:dyDescent="0.25">
      <c r="A367">
        <f t="shared" si="30"/>
        <v>362</v>
      </c>
      <c r="B367" t="s">
        <v>1531</v>
      </c>
      <c r="C367" s="2">
        <v>0.44583333333333336</v>
      </c>
      <c r="D367" s="4">
        <f t="shared" si="31"/>
        <v>9.5138888888888939E-2</v>
      </c>
      <c r="E367" s="6">
        <v>0.35069444444444442</v>
      </c>
      <c r="F367" s="5">
        <f t="shared" si="32"/>
        <v>0.78660436137071643</v>
      </c>
      <c r="G367" s="5">
        <v>0.84399999999999997</v>
      </c>
      <c r="H367" s="4">
        <f>85.5/1440</f>
        <v>5.9374999999999997E-2</v>
      </c>
      <c r="I367" s="5">
        <v>0.14299999999999999</v>
      </c>
      <c r="J367" s="11" t="s">
        <v>1527</v>
      </c>
    </row>
    <row r="368" spans="1:10" x14ac:dyDescent="0.25">
      <c r="A368">
        <f t="shared" si="30"/>
        <v>363</v>
      </c>
      <c r="B368" t="s">
        <v>1617</v>
      </c>
      <c r="C368" s="2">
        <v>0.46180555555555558</v>
      </c>
      <c r="D368" s="4">
        <f t="shared" si="31"/>
        <v>0.11111111111111116</v>
      </c>
      <c r="E368" s="6">
        <v>0.35069444444444442</v>
      </c>
      <c r="F368" s="5">
        <f t="shared" si="32"/>
        <v>0.75939849624060141</v>
      </c>
      <c r="G368" s="5">
        <v>0.80200000000000005</v>
      </c>
      <c r="H368" s="4">
        <f>70.5/1440</f>
        <v>4.8958333333333333E-2</v>
      </c>
      <c r="I368" s="5">
        <v>0.112</v>
      </c>
      <c r="J368" s="11" t="s">
        <v>1613</v>
      </c>
    </row>
    <row r="369" spans="1:10" x14ac:dyDescent="0.25">
      <c r="A369">
        <f t="shared" si="30"/>
        <v>364</v>
      </c>
      <c r="B369" t="s">
        <v>1681</v>
      </c>
      <c r="C369" s="2">
        <v>0.46527777777777779</v>
      </c>
      <c r="D369" s="4">
        <f t="shared" si="31"/>
        <v>0.11458333333333337</v>
      </c>
      <c r="E369" s="6">
        <v>0.35069444444444442</v>
      </c>
      <c r="F369" s="5">
        <f t="shared" si="32"/>
        <v>0.75373134328358204</v>
      </c>
      <c r="G369" s="5">
        <v>1</v>
      </c>
      <c r="H369" s="4">
        <f>106.2/1440</f>
        <v>7.3749999999999996E-2</v>
      </c>
      <c r="I369" s="5">
        <v>0.21</v>
      </c>
      <c r="J369" s="11" t="s">
        <v>1673</v>
      </c>
    </row>
    <row r="370" spans="1:10" x14ac:dyDescent="0.25">
      <c r="A370">
        <f t="shared" si="30"/>
        <v>365</v>
      </c>
      <c r="B370" t="s">
        <v>28</v>
      </c>
      <c r="C370" s="2">
        <v>0.47083333333333338</v>
      </c>
      <c r="D370" s="4">
        <f t="shared" si="31"/>
        <v>0.12083333333333335</v>
      </c>
      <c r="E370" s="6">
        <v>0.35000000000000003</v>
      </c>
      <c r="F370" s="5">
        <f t="shared" si="32"/>
        <v>0.74336283185840712</v>
      </c>
      <c r="G370" s="5">
        <v>0.77800000000000002</v>
      </c>
      <c r="H370" s="4">
        <f>68.7/1440</f>
        <v>4.7708333333333339E-2</v>
      </c>
      <c r="I370" s="5">
        <v>0.106</v>
      </c>
      <c r="J370" s="11" t="s">
        <v>72</v>
      </c>
    </row>
    <row r="371" spans="1:10" x14ac:dyDescent="0.25">
      <c r="A371">
        <f t="shared" si="30"/>
        <v>366</v>
      </c>
      <c r="B371" t="s">
        <v>65</v>
      </c>
      <c r="C371" s="2">
        <v>0.46527777777777773</v>
      </c>
      <c r="D371" s="4">
        <f t="shared" si="31"/>
        <v>0.1152777777777777</v>
      </c>
      <c r="E371" s="6">
        <v>0.35000000000000003</v>
      </c>
      <c r="F371" s="5">
        <f t="shared" si="32"/>
        <v>0.75223880597014936</v>
      </c>
      <c r="G371" s="5">
        <v>0.86399999999999999</v>
      </c>
      <c r="H371" s="4">
        <f>75/1440</f>
        <v>5.2083333333333336E-2</v>
      </c>
      <c r="I371" s="5">
        <v>0.129</v>
      </c>
      <c r="J371" s="11" t="s">
        <v>126</v>
      </c>
    </row>
    <row r="372" spans="1:10" x14ac:dyDescent="0.25">
      <c r="A372">
        <f t="shared" si="30"/>
        <v>367</v>
      </c>
      <c r="B372" t="s">
        <v>186</v>
      </c>
      <c r="C372" s="2">
        <v>0.47638888888888892</v>
      </c>
      <c r="D372" s="4">
        <f t="shared" si="31"/>
        <v>0.12638888888888888</v>
      </c>
      <c r="E372" s="6">
        <v>0.35000000000000003</v>
      </c>
      <c r="F372" s="5">
        <f t="shared" si="32"/>
        <v>0.73469387755102045</v>
      </c>
      <c r="G372" s="5">
        <v>0.77</v>
      </c>
      <c r="H372" s="4">
        <f>69.7/1440</f>
        <v>4.8402777777777781E-2</v>
      </c>
      <c r="I372" s="5">
        <v>0.106</v>
      </c>
      <c r="J372" s="11" t="s">
        <v>187</v>
      </c>
    </row>
    <row r="373" spans="1:10" x14ac:dyDescent="0.25">
      <c r="A373">
        <f t="shared" si="30"/>
        <v>368</v>
      </c>
      <c r="B373" t="s">
        <v>905</v>
      </c>
      <c r="C373" s="2">
        <v>0.47361111111111109</v>
      </c>
      <c r="D373" s="4">
        <f t="shared" si="31"/>
        <v>0.12361111111111112</v>
      </c>
      <c r="E373" s="6">
        <v>0.35</v>
      </c>
      <c r="F373" s="5">
        <f t="shared" si="32"/>
        <v>0.73900293255131966</v>
      </c>
      <c r="G373" s="5">
        <v>0.77700000000000002</v>
      </c>
      <c r="H373" s="4">
        <f>69.5/1440</f>
        <v>4.8263888888888891E-2</v>
      </c>
      <c r="I373" s="5">
        <v>0.107</v>
      </c>
      <c r="J373" s="11" t="s">
        <v>904</v>
      </c>
    </row>
    <row r="374" spans="1:10" x14ac:dyDescent="0.25">
      <c r="A374">
        <f t="shared" si="30"/>
        <v>369</v>
      </c>
      <c r="B374" t="s">
        <v>1055</v>
      </c>
      <c r="C374" s="2">
        <v>0.48055555555555557</v>
      </c>
      <c r="D374" s="4">
        <f t="shared" si="31"/>
        <v>0.13055555555555559</v>
      </c>
      <c r="E374" s="6">
        <v>0.35</v>
      </c>
      <c r="F374" s="5">
        <f t="shared" si="32"/>
        <v>0.72832369942196529</v>
      </c>
      <c r="G374" s="5">
        <v>0.85</v>
      </c>
      <c r="H374" s="4">
        <f>52.3/1440</f>
        <v>3.6319444444444446E-2</v>
      </c>
      <c r="I374" s="5">
        <v>8.7999999999999995E-2</v>
      </c>
      <c r="J374" s="11" t="s">
        <v>1049</v>
      </c>
    </row>
    <row r="375" spans="1:10" x14ac:dyDescent="0.25">
      <c r="A375">
        <f t="shared" si="30"/>
        <v>370</v>
      </c>
      <c r="B375" t="s">
        <v>1793</v>
      </c>
      <c r="C375" s="2">
        <v>0.47013888888888888</v>
      </c>
      <c r="D375" s="4">
        <f t="shared" si="31"/>
        <v>0.12013888888888891</v>
      </c>
      <c r="E375" s="6">
        <v>0.35</v>
      </c>
      <c r="F375" s="5">
        <f t="shared" si="32"/>
        <v>0.74446085672082718</v>
      </c>
      <c r="G375" s="5">
        <v>1</v>
      </c>
      <c r="H375" s="4">
        <f>77.4/1440</f>
        <v>5.3750000000000006E-2</v>
      </c>
      <c r="I375" s="5">
        <v>0.153</v>
      </c>
      <c r="J375" s="11" t="s">
        <v>1777</v>
      </c>
    </row>
    <row r="376" spans="1:10" x14ac:dyDescent="0.25">
      <c r="A376">
        <f t="shared" si="30"/>
        <v>371</v>
      </c>
      <c r="B376" t="s">
        <v>1161</v>
      </c>
      <c r="C376" s="2">
        <v>0.45763888888888887</v>
      </c>
      <c r="D376" s="4">
        <f t="shared" si="31"/>
        <v>0.10833333333333334</v>
      </c>
      <c r="E376" s="6">
        <v>0.34930555555555554</v>
      </c>
      <c r="F376" s="5">
        <f t="shared" si="32"/>
        <v>0.76327769347496199</v>
      </c>
      <c r="G376" s="5">
        <v>0.80900000000000005</v>
      </c>
      <c r="H376" s="4">
        <f>69.4/1440</f>
        <v>4.8194444444444449E-2</v>
      </c>
      <c r="I376" s="5">
        <v>0.111</v>
      </c>
      <c r="J376" s="11" t="s">
        <v>1148</v>
      </c>
    </row>
    <row r="377" spans="1:10" x14ac:dyDescent="0.25">
      <c r="A377">
        <f t="shared" si="30"/>
        <v>372</v>
      </c>
      <c r="B377" t="s">
        <v>1201</v>
      </c>
      <c r="C377" s="2">
        <v>0.47013888888888888</v>
      </c>
      <c r="D377" s="4">
        <f t="shared" si="31"/>
        <v>0.12083333333333335</v>
      </c>
      <c r="E377" s="6">
        <v>0.34930555555555554</v>
      </c>
      <c r="F377" s="5">
        <f t="shared" si="32"/>
        <v>0.7429837518463811</v>
      </c>
      <c r="G377" s="5">
        <v>0.77800000000000002</v>
      </c>
      <c r="H377" s="4">
        <f>51.9/1440</f>
        <v>3.6041666666666666E-2</v>
      </c>
      <c r="I377" s="5">
        <v>0.08</v>
      </c>
      <c r="J377" s="11" t="s">
        <v>1183</v>
      </c>
    </row>
    <row r="378" spans="1:10" x14ac:dyDescent="0.25">
      <c r="A378">
        <f t="shared" si="30"/>
        <v>373</v>
      </c>
      <c r="B378" t="s">
        <v>1254</v>
      </c>
      <c r="C378" s="2">
        <v>0.47152777777777777</v>
      </c>
      <c r="D378" s="4">
        <v>0.12222222222222223</v>
      </c>
      <c r="E378" s="6">
        <v>0.34930555555555554</v>
      </c>
      <c r="F378" s="5">
        <v>0.74079528718703969</v>
      </c>
      <c r="G378" s="5">
        <v>0.84499999999999997</v>
      </c>
      <c r="H378" s="4">
        <v>5.2638888888888888E-2</v>
      </c>
      <c r="I378" s="5">
        <v>0.127</v>
      </c>
      <c r="J378" s="11" t="s">
        <v>1243</v>
      </c>
    </row>
    <row r="379" spans="1:10" x14ac:dyDescent="0.25">
      <c r="A379">
        <f t="shared" si="30"/>
        <v>374</v>
      </c>
      <c r="B379" t="s">
        <v>1287</v>
      </c>
      <c r="C379" s="2">
        <v>0.44374999999999998</v>
      </c>
      <c r="D379" s="4">
        <f t="shared" ref="D379:D392" si="33">C379-E379</f>
        <v>9.4444444444444442E-2</v>
      </c>
      <c r="E379" s="6">
        <v>0.34930555555555554</v>
      </c>
      <c r="F379" s="5">
        <f t="shared" ref="F379:F392" si="34">E379/C379</f>
        <v>0.78716744913928016</v>
      </c>
      <c r="G379" s="5">
        <v>0.77300000000000002</v>
      </c>
      <c r="H379" s="4">
        <f>61.8/1440</f>
        <v>4.2916666666666665E-2</v>
      </c>
      <c r="I379" s="5">
        <v>9.5000000000000001E-2</v>
      </c>
      <c r="J379" s="11" t="s">
        <v>1270</v>
      </c>
    </row>
    <row r="380" spans="1:10" x14ac:dyDescent="0.25">
      <c r="A380">
        <f t="shared" si="30"/>
        <v>375</v>
      </c>
      <c r="B380" t="s">
        <v>1338</v>
      </c>
      <c r="C380" s="2">
        <v>0.45555555555555555</v>
      </c>
      <c r="D380" s="4">
        <f t="shared" si="33"/>
        <v>0.10625000000000001</v>
      </c>
      <c r="E380" s="6">
        <v>0.34930555555555554</v>
      </c>
      <c r="F380" s="5">
        <f t="shared" si="34"/>
        <v>0.76676829268292679</v>
      </c>
      <c r="G380" s="5">
        <v>0.83399999999999996</v>
      </c>
      <c r="H380" s="4">
        <f>71/1440</f>
        <v>4.9305555555555554E-2</v>
      </c>
      <c r="I380" s="5">
        <v>0.11799999999999999</v>
      </c>
      <c r="J380" s="11" t="s">
        <v>1334</v>
      </c>
    </row>
    <row r="381" spans="1:10" x14ac:dyDescent="0.25">
      <c r="A381">
        <f t="shared" si="30"/>
        <v>376</v>
      </c>
      <c r="B381" t="s">
        <v>1518</v>
      </c>
      <c r="C381" s="2">
        <v>0.4597222222222222</v>
      </c>
      <c r="D381" s="4">
        <f t="shared" si="33"/>
        <v>0.11041666666666666</v>
      </c>
      <c r="E381" s="6">
        <v>0.34930555555555554</v>
      </c>
      <c r="F381" s="5">
        <f t="shared" si="34"/>
        <v>0.75981873111782472</v>
      </c>
      <c r="G381" s="5">
        <v>0.79800000000000004</v>
      </c>
      <c r="H381" s="4">
        <f>61.3/1440</f>
        <v>4.2569444444444444E-2</v>
      </c>
      <c r="I381" s="5">
        <v>0.113</v>
      </c>
      <c r="J381" s="11" t="s">
        <v>1506</v>
      </c>
    </row>
    <row r="382" spans="1:10" x14ac:dyDescent="0.25">
      <c r="A382">
        <f t="shared" si="30"/>
        <v>377</v>
      </c>
      <c r="B382" t="s">
        <v>1572</v>
      </c>
      <c r="C382" s="2">
        <v>0.47291666666666665</v>
      </c>
      <c r="D382" s="4">
        <f t="shared" si="33"/>
        <v>0.12361111111111112</v>
      </c>
      <c r="E382" s="6">
        <v>0.34930555555555554</v>
      </c>
      <c r="F382" s="5">
        <f t="shared" si="34"/>
        <v>0.7386196769456681</v>
      </c>
      <c r="G382" s="5">
        <v>0.82499999999999996</v>
      </c>
      <c r="H382" s="4">
        <f>68.5/1440</f>
        <v>4.7569444444444442E-2</v>
      </c>
      <c r="I382" s="5">
        <v>0.112</v>
      </c>
      <c r="J382" s="11" t="s">
        <v>1570</v>
      </c>
    </row>
    <row r="383" spans="1:10" x14ac:dyDescent="0.25">
      <c r="A383">
        <f t="shared" si="30"/>
        <v>378</v>
      </c>
      <c r="B383" t="s">
        <v>6</v>
      </c>
      <c r="C383" s="2">
        <v>0.4826388888888889</v>
      </c>
      <c r="D383" s="4">
        <f t="shared" si="33"/>
        <v>0.13402777777777775</v>
      </c>
      <c r="E383" s="6">
        <v>0.34861111111111115</v>
      </c>
      <c r="F383" s="5">
        <f t="shared" si="34"/>
        <v>0.7223021582733814</v>
      </c>
      <c r="G383" s="5">
        <v>0.749</v>
      </c>
      <c r="H383" s="4">
        <f>90.3/1440</f>
        <v>6.2708333333333338E-2</v>
      </c>
      <c r="I383" s="5">
        <v>0.13500000000000001</v>
      </c>
      <c r="J383" s="11" t="s">
        <v>80</v>
      </c>
    </row>
    <row r="384" spans="1:10" x14ac:dyDescent="0.25">
      <c r="A384">
        <f t="shared" si="30"/>
        <v>379</v>
      </c>
      <c r="B384" t="s">
        <v>292</v>
      </c>
      <c r="C384" s="2">
        <v>0.47083333333333338</v>
      </c>
      <c r="D384" s="4">
        <f t="shared" si="33"/>
        <v>0.12222222222222223</v>
      </c>
      <c r="E384" s="6">
        <v>0.34861111111111115</v>
      </c>
      <c r="F384" s="5">
        <f t="shared" si="34"/>
        <v>0.74041297935103245</v>
      </c>
      <c r="G384" s="5">
        <v>0.86</v>
      </c>
      <c r="H384" s="4">
        <f>63.7/1440</f>
        <v>4.4236111111111115E-2</v>
      </c>
      <c r="I384" s="5">
        <v>0.109</v>
      </c>
      <c r="J384" s="11" t="s">
        <v>293</v>
      </c>
    </row>
    <row r="385" spans="1:10" x14ac:dyDescent="0.25">
      <c r="A385">
        <f t="shared" si="30"/>
        <v>380</v>
      </c>
      <c r="B385" t="s">
        <v>710</v>
      </c>
      <c r="C385" s="2">
        <v>0.48472222222222222</v>
      </c>
      <c r="D385" s="4">
        <f t="shared" si="33"/>
        <v>0.13611111111111113</v>
      </c>
      <c r="E385" s="6">
        <v>0.34861111111111109</v>
      </c>
      <c r="F385" s="5">
        <f t="shared" si="34"/>
        <v>0.71919770773638969</v>
      </c>
      <c r="G385" s="5">
        <v>0.79200000000000004</v>
      </c>
      <c r="H385" s="4">
        <f>61.7/1440</f>
        <v>4.2847222222222224E-2</v>
      </c>
      <c r="I385" s="5">
        <v>9.7000000000000003E-2</v>
      </c>
      <c r="J385" s="11" t="s">
        <v>712</v>
      </c>
    </row>
    <row r="386" spans="1:10" x14ac:dyDescent="0.25">
      <c r="A386">
        <f t="shared" si="30"/>
        <v>381</v>
      </c>
      <c r="B386" t="s">
        <v>842</v>
      </c>
      <c r="C386" s="2">
        <v>0.50138888888888888</v>
      </c>
      <c r="D386" s="4">
        <f t="shared" si="33"/>
        <v>0.15277777777777779</v>
      </c>
      <c r="E386" s="6">
        <v>0.34861111111111109</v>
      </c>
      <c r="F386" s="5">
        <f t="shared" si="34"/>
        <v>0.6952908587257618</v>
      </c>
      <c r="G386" s="5">
        <v>0.83499999999999996</v>
      </c>
      <c r="H386" s="4">
        <f>86.9/1440</f>
        <v>6.0347222222222226E-2</v>
      </c>
      <c r="I386" s="5">
        <v>0.14399999999999999</v>
      </c>
      <c r="J386" s="11"/>
    </row>
    <row r="387" spans="1:10" x14ac:dyDescent="0.25">
      <c r="A387">
        <f t="shared" si="30"/>
        <v>382</v>
      </c>
      <c r="B387" t="s">
        <v>1370</v>
      </c>
      <c r="C387" s="2">
        <v>0.45555555555555555</v>
      </c>
      <c r="D387" s="4">
        <f t="shared" si="33"/>
        <v>0.10694444444444445</v>
      </c>
      <c r="E387" s="6">
        <v>0.34861111111111109</v>
      </c>
      <c r="F387" s="5">
        <f t="shared" si="34"/>
        <v>0.7652439024390244</v>
      </c>
      <c r="G387" s="5">
        <v>0.81200000000000006</v>
      </c>
      <c r="H387" s="4">
        <f>68.1/1440</f>
        <v>4.7291666666666662E-2</v>
      </c>
      <c r="I387" s="5">
        <v>0.11</v>
      </c>
      <c r="J387" s="11" t="s">
        <v>1365</v>
      </c>
    </row>
    <row r="388" spans="1:10" x14ac:dyDescent="0.25">
      <c r="A388">
        <f t="shared" si="30"/>
        <v>383</v>
      </c>
      <c r="B388" t="s">
        <v>1411</v>
      </c>
      <c r="C388" s="2">
        <v>0.44027777777777777</v>
      </c>
      <c r="D388" s="4">
        <f t="shared" si="33"/>
        <v>9.1666666666666674E-2</v>
      </c>
      <c r="E388" s="6">
        <v>0.34861111111111109</v>
      </c>
      <c r="F388" s="5">
        <f t="shared" si="34"/>
        <v>0.79179810725552047</v>
      </c>
      <c r="G388" s="5">
        <v>0.872</v>
      </c>
      <c r="H388" s="4">
        <f>73/1440</f>
        <v>5.0694444444444445E-2</v>
      </c>
      <c r="I388" s="5">
        <v>0.127</v>
      </c>
      <c r="J388" s="11" t="s">
        <v>1412</v>
      </c>
    </row>
    <row r="389" spans="1:10" x14ac:dyDescent="0.25">
      <c r="A389">
        <f t="shared" si="30"/>
        <v>384</v>
      </c>
      <c r="B389" t="s">
        <v>1718</v>
      </c>
      <c r="C389" s="2">
        <v>0.43125000000000002</v>
      </c>
      <c r="D389" s="4">
        <f t="shared" si="33"/>
        <v>8.2638888888888928E-2</v>
      </c>
      <c r="E389" s="6">
        <v>0.34861111111111109</v>
      </c>
      <c r="F389" s="5">
        <f t="shared" si="34"/>
        <v>0.80837359098228656</v>
      </c>
      <c r="G389" s="5">
        <v>1</v>
      </c>
      <c r="H389" s="4">
        <f>77.5/1440</f>
        <v>5.3819444444444448E-2</v>
      </c>
      <c r="I389" s="5">
        <v>0.154</v>
      </c>
      <c r="J389" s="11" t="s">
        <v>1708</v>
      </c>
    </row>
    <row r="390" spans="1:10" x14ac:dyDescent="0.25">
      <c r="A390">
        <f t="shared" si="30"/>
        <v>385</v>
      </c>
      <c r="B390" t="s">
        <v>819</v>
      </c>
      <c r="C390" s="2">
        <v>0.47361111111111109</v>
      </c>
      <c r="D390" s="4">
        <f t="shared" si="33"/>
        <v>0.12569444444444444</v>
      </c>
      <c r="E390" s="6">
        <v>0.34791666666666665</v>
      </c>
      <c r="F390" s="5">
        <f t="shared" si="34"/>
        <v>0.73460410557184752</v>
      </c>
      <c r="G390" s="5">
        <v>0.81</v>
      </c>
      <c r="H390" s="4">
        <f>68.8/1440</f>
        <v>4.7777777777777773E-2</v>
      </c>
      <c r="I390" s="5">
        <v>0.111</v>
      </c>
      <c r="J390" s="11" t="s">
        <v>822</v>
      </c>
    </row>
    <row r="391" spans="1:10" x14ac:dyDescent="0.25">
      <c r="A391">
        <f t="shared" si="30"/>
        <v>386</v>
      </c>
      <c r="B391" t="s">
        <v>1080</v>
      </c>
      <c r="C391" s="2">
        <v>0.4777777777777778</v>
      </c>
      <c r="D391" s="4">
        <f t="shared" si="33"/>
        <v>0.12986111111111115</v>
      </c>
      <c r="E391" s="6">
        <v>0.34791666666666665</v>
      </c>
      <c r="F391" s="5">
        <f t="shared" si="34"/>
        <v>0.72819767441860461</v>
      </c>
      <c r="G391" s="5">
        <v>0.83299999999999996</v>
      </c>
      <c r="H391" s="4">
        <f>66.8/1440</f>
        <v>4.6388888888888889E-2</v>
      </c>
      <c r="I391" s="5">
        <v>0.111</v>
      </c>
      <c r="J391" s="11" t="s">
        <v>1073</v>
      </c>
    </row>
    <row r="392" spans="1:10" x14ac:dyDescent="0.25">
      <c r="A392">
        <f t="shared" si="30"/>
        <v>387</v>
      </c>
      <c r="B392" t="s">
        <v>1233</v>
      </c>
      <c r="C392" s="2">
        <v>0.45694444444444443</v>
      </c>
      <c r="D392" s="4">
        <f t="shared" si="33"/>
        <v>0.10902777777777778</v>
      </c>
      <c r="E392" s="6">
        <v>0.34791666666666665</v>
      </c>
      <c r="F392" s="5">
        <f t="shared" si="34"/>
        <v>0.76139817629179329</v>
      </c>
      <c r="G392" s="5">
        <v>0.86599999999999999</v>
      </c>
      <c r="H392" s="4">
        <f>72.3/1440</f>
        <v>5.0208333333333334E-2</v>
      </c>
      <c r="I392" s="5">
        <v>0.125</v>
      </c>
      <c r="J392" s="11" t="s">
        <v>1231</v>
      </c>
    </row>
    <row r="393" spans="1:10" x14ac:dyDescent="0.25">
      <c r="A393">
        <f t="shared" si="30"/>
        <v>388</v>
      </c>
      <c r="B393" t="s">
        <v>1250</v>
      </c>
      <c r="C393" s="2">
        <v>0.46666666666666667</v>
      </c>
      <c r="D393" s="4">
        <v>0.11875000000000002</v>
      </c>
      <c r="E393" s="6">
        <v>0.34791666666666665</v>
      </c>
      <c r="F393" s="5">
        <v>0.74553571428571419</v>
      </c>
      <c r="G393" s="5">
        <v>0.81799999999999995</v>
      </c>
      <c r="H393" s="4">
        <v>3.7430555555555557E-2</v>
      </c>
      <c r="I393" s="5">
        <v>8.7999999999999995E-2</v>
      </c>
      <c r="J393" s="11" t="s">
        <v>1242</v>
      </c>
    </row>
    <row r="394" spans="1:10" x14ac:dyDescent="0.25">
      <c r="A394">
        <f t="shared" si="30"/>
        <v>389</v>
      </c>
      <c r="B394" t="s">
        <v>1259</v>
      </c>
      <c r="C394" s="2">
        <v>0.50486111111111109</v>
      </c>
      <c r="D394" s="4">
        <v>0.15694444444444444</v>
      </c>
      <c r="E394" s="6">
        <v>0.34791666666666665</v>
      </c>
      <c r="F394" s="5">
        <v>0.6891334250343879</v>
      </c>
      <c r="G394" s="5">
        <v>0.82899999999999996</v>
      </c>
      <c r="H394" s="4">
        <v>6.0416666666666667E-2</v>
      </c>
      <c r="I394" s="5">
        <v>0.14399999999999999</v>
      </c>
      <c r="J394" s="11" t="s">
        <v>1244</v>
      </c>
    </row>
    <row r="395" spans="1:10" x14ac:dyDescent="0.25">
      <c r="A395">
        <f t="shared" si="30"/>
        <v>390</v>
      </c>
      <c r="B395" t="s">
        <v>7</v>
      </c>
      <c r="C395" s="2">
        <v>0.47847222222222219</v>
      </c>
      <c r="D395" s="4">
        <f t="shared" ref="D395:D432" si="35">C395-E395</f>
        <v>0.13124999999999992</v>
      </c>
      <c r="E395" s="6">
        <v>0.34722222222222227</v>
      </c>
      <c r="F395" s="5">
        <f t="shared" ref="F395:F426" si="36">E395/C395</f>
        <v>0.72568940493468814</v>
      </c>
      <c r="G395" s="5">
        <v>0.70099999999999996</v>
      </c>
      <c r="H395" s="4">
        <f>98.8/1440</f>
        <v>6.8611111111111109E-2</v>
      </c>
      <c r="I395" s="5">
        <v>0.13900000000000001</v>
      </c>
      <c r="J395" s="11" t="s">
        <v>79</v>
      </c>
    </row>
    <row r="396" spans="1:10" x14ac:dyDescent="0.25">
      <c r="A396">
        <f t="shared" si="30"/>
        <v>391</v>
      </c>
      <c r="B396" t="s">
        <v>36</v>
      </c>
      <c r="C396" s="2">
        <v>0.47430555555555554</v>
      </c>
      <c r="D396" s="4">
        <f t="shared" si="35"/>
        <v>0.12708333333333327</v>
      </c>
      <c r="E396" s="6">
        <v>0.34722222222222227</v>
      </c>
      <c r="F396" s="5">
        <f t="shared" si="36"/>
        <v>0.73206442166910701</v>
      </c>
      <c r="G396" s="5">
        <v>0.872</v>
      </c>
      <c r="H396" s="4">
        <f>67.3/1440</f>
        <v>4.673611111111111E-2</v>
      </c>
      <c r="I396" s="5">
        <v>0.11700000000000001</v>
      </c>
      <c r="J396" s="11" t="s">
        <v>105</v>
      </c>
    </row>
    <row r="397" spans="1:10" x14ac:dyDescent="0.25">
      <c r="A397">
        <f t="shared" si="30"/>
        <v>392</v>
      </c>
      <c r="B397" t="s">
        <v>214</v>
      </c>
      <c r="C397" s="2">
        <v>0.47916666666666669</v>
      </c>
      <c r="D397" s="4">
        <f t="shared" si="35"/>
        <v>0.13194444444444442</v>
      </c>
      <c r="E397" s="6">
        <v>0.34722222222222227</v>
      </c>
      <c r="F397" s="5">
        <f t="shared" si="36"/>
        <v>0.7246376811594204</v>
      </c>
      <c r="G397" s="5">
        <v>0.77200000000000002</v>
      </c>
      <c r="H397" s="4">
        <f>82.6/1440</f>
        <v>5.7361111111111106E-2</v>
      </c>
      <c r="I397" s="5">
        <v>0.127</v>
      </c>
      <c r="J397" s="11" t="s">
        <v>215</v>
      </c>
    </row>
    <row r="398" spans="1:10" x14ac:dyDescent="0.25">
      <c r="A398">
        <f t="shared" si="30"/>
        <v>393</v>
      </c>
      <c r="B398" t="s">
        <v>589</v>
      </c>
      <c r="C398" s="2">
        <v>0.46875</v>
      </c>
      <c r="D398" s="4">
        <f t="shared" si="35"/>
        <v>0.12152777777777773</v>
      </c>
      <c r="E398" s="6">
        <v>0.34722222222222227</v>
      </c>
      <c r="F398" s="5">
        <f t="shared" si="36"/>
        <v>0.74074074074074081</v>
      </c>
      <c r="G398" s="5">
        <v>0.82799999999999996</v>
      </c>
      <c r="H398" s="4">
        <f>63.1/1440</f>
        <v>4.3819444444444446E-2</v>
      </c>
      <c r="I398" s="5">
        <v>0.104</v>
      </c>
      <c r="J398" s="11" t="s">
        <v>593</v>
      </c>
    </row>
    <row r="399" spans="1:10" x14ac:dyDescent="0.25">
      <c r="A399">
        <f t="shared" si="30"/>
        <v>394</v>
      </c>
      <c r="B399" t="s">
        <v>674</v>
      </c>
      <c r="C399" s="2">
        <v>0.47083333333333338</v>
      </c>
      <c r="D399" s="4">
        <f t="shared" si="35"/>
        <v>0.12361111111111112</v>
      </c>
      <c r="E399" s="6">
        <v>0.34722222222222227</v>
      </c>
      <c r="F399" s="5">
        <f t="shared" si="36"/>
        <v>0.73746312684365778</v>
      </c>
      <c r="G399" s="5">
        <v>0.81</v>
      </c>
      <c r="H399" s="4">
        <f>76.1/1440</f>
        <v>5.2847222222222219E-2</v>
      </c>
      <c r="I399" s="5">
        <v>0.123</v>
      </c>
      <c r="J399" s="11" t="s">
        <v>676</v>
      </c>
    </row>
    <row r="400" spans="1:10" x14ac:dyDescent="0.25">
      <c r="A400">
        <f t="shared" si="30"/>
        <v>395</v>
      </c>
      <c r="B400" t="s">
        <v>680</v>
      </c>
      <c r="C400" s="2">
        <v>0.49513888888888885</v>
      </c>
      <c r="D400" s="4">
        <f t="shared" si="35"/>
        <v>0.14791666666666659</v>
      </c>
      <c r="E400" s="6">
        <v>0.34722222222222227</v>
      </c>
      <c r="F400" s="5">
        <f t="shared" si="36"/>
        <v>0.70126227208976166</v>
      </c>
      <c r="G400" s="5">
        <v>0.85099999999999998</v>
      </c>
      <c r="H400" s="4">
        <f>71.8/1440</f>
        <v>4.9861111111111106E-2</v>
      </c>
      <c r="I400" s="5">
        <v>0.122</v>
      </c>
      <c r="J400" s="11" t="s">
        <v>681</v>
      </c>
    </row>
    <row r="401" spans="1:10" x14ac:dyDescent="0.25">
      <c r="A401">
        <f t="shared" si="30"/>
        <v>396</v>
      </c>
      <c r="B401" t="s">
        <v>845</v>
      </c>
      <c r="C401" s="2">
        <v>0.49305555555555558</v>
      </c>
      <c r="D401" s="4">
        <f t="shared" si="35"/>
        <v>0.14583333333333337</v>
      </c>
      <c r="E401" s="6">
        <v>0.34722222222222221</v>
      </c>
      <c r="F401" s="5">
        <f t="shared" si="36"/>
        <v>0.70422535211267601</v>
      </c>
      <c r="G401" s="5">
        <v>0.83699999999999997</v>
      </c>
      <c r="H401" s="4">
        <f>64.4/1440</f>
        <v>4.4722222222222226E-2</v>
      </c>
      <c r="I401" s="5">
        <v>0.108</v>
      </c>
      <c r="J401" s="11" t="s">
        <v>848</v>
      </c>
    </row>
    <row r="402" spans="1:10" x14ac:dyDescent="0.25">
      <c r="A402">
        <f t="shared" ref="A402:A466" si="37">A401+1</f>
        <v>397</v>
      </c>
      <c r="B402" t="s">
        <v>1038</v>
      </c>
      <c r="C402" s="2">
        <v>0.46527777777777779</v>
      </c>
      <c r="D402" s="4">
        <f t="shared" si="35"/>
        <v>0.11805555555555558</v>
      </c>
      <c r="E402" s="6">
        <v>0.34722222222222221</v>
      </c>
      <c r="F402" s="5">
        <f t="shared" si="36"/>
        <v>0.74626865671641784</v>
      </c>
      <c r="G402" s="5">
        <v>0.747</v>
      </c>
      <c r="H402" s="4">
        <f>69.8/1440</f>
        <v>4.8472222222222222E-2</v>
      </c>
      <c r="I402" s="5">
        <v>0.104</v>
      </c>
      <c r="J402" s="11" t="s">
        <v>1034</v>
      </c>
    </row>
    <row r="403" spans="1:10" x14ac:dyDescent="0.25">
      <c r="A403">
        <f t="shared" si="37"/>
        <v>398</v>
      </c>
      <c r="B403" t="s">
        <v>1128</v>
      </c>
      <c r="C403" s="2">
        <v>0.48888888888888887</v>
      </c>
      <c r="D403" s="4">
        <f t="shared" si="35"/>
        <v>0.14166666666666666</v>
      </c>
      <c r="E403" s="6">
        <v>0.34722222222222221</v>
      </c>
      <c r="F403" s="5">
        <f t="shared" si="36"/>
        <v>0.71022727272727271</v>
      </c>
      <c r="G403" s="5">
        <v>0.72799999999999998</v>
      </c>
      <c r="H403" s="4">
        <f>58.1/1440</f>
        <v>4.0347222222222222E-2</v>
      </c>
      <c r="I403" s="5">
        <v>8.5000000000000006E-2</v>
      </c>
      <c r="J403" s="11" t="s">
        <v>1124</v>
      </c>
    </row>
    <row r="404" spans="1:10" x14ac:dyDescent="0.25">
      <c r="A404">
        <f t="shared" si="37"/>
        <v>399</v>
      </c>
      <c r="B404" t="s">
        <v>1134</v>
      </c>
      <c r="C404" s="2">
        <v>0.45694444444444443</v>
      </c>
      <c r="D404" s="4">
        <f t="shared" si="35"/>
        <v>0.10972222222222222</v>
      </c>
      <c r="E404" s="6">
        <v>0.34722222222222221</v>
      </c>
      <c r="F404" s="5">
        <f t="shared" si="36"/>
        <v>0.75987841945288759</v>
      </c>
      <c r="G404" s="5">
        <v>0.82899999999999996</v>
      </c>
      <c r="H404" s="4">
        <f>72.2/1440</f>
        <v>5.0138888888888893E-2</v>
      </c>
      <c r="I404" s="5">
        <v>0.12</v>
      </c>
      <c r="J404" s="11" t="s">
        <v>1125</v>
      </c>
    </row>
    <row r="405" spans="1:10" x14ac:dyDescent="0.25">
      <c r="A405">
        <f t="shared" si="37"/>
        <v>400</v>
      </c>
      <c r="B405" t="s">
        <v>1136</v>
      </c>
      <c r="C405" s="2">
        <v>0.47083333333333333</v>
      </c>
      <c r="D405" s="4">
        <f t="shared" si="35"/>
        <v>0.12361111111111112</v>
      </c>
      <c r="E405" s="6">
        <v>0.34722222222222221</v>
      </c>
      <c r="F405" s="5">
        <f t="shared" si="36"/>
        <v>0.73746312684365778</v>
      </c>
      <c r="G405" s="5">
        <v>0.86699999999999999</v>
      </c>
      <c r="H405" s="4">
        <f>76.1/1440</f>
        <v>5.2847222222222219E-2</v>
      </c>
      <c r="I405" s="5">
        <v>0.13200000000000001</v>
      </c>
      <c r="J405" s="11" t="s">
        <v>1125</v>
      </c>
    </row>
    <row r="406" spans="1:10" x14ac:dyDescent="0.25">
      <c r="A406">
        <f t="shared" si="37"/>
        <v>401</v>
      </c>
      <c r="B406" t="s">
        <v>1309</v>
      </c>
      <c r="C406" s="2">
        <v>0.44513888888888886</v>
      </c>
      <c r="D406" s="4">
        <f t="shared" si="35"/>
        <v>9.7916666666666652E-2</v>
      </c>
      <c r="E406" s="6">
        <v>0.34722222222222221</v>
      </c>
      <c r="F406" s="5">
        <f t="shared" si="36"/>
        <v>0.78003120124804992</v>
      </c>
      <c r="G406" s="5">
        <v>0.85699999999999998</v>
      </c>
      <c r="H406" s="4">
        <f>70.9/1440</f>
        <v>4.9236111111111112E-2</v>
      </c>
      <c r="I406" s="5">
        <v>0.122</v>
      </c>
      <c r="J406" s="11" t="s">
        <v>1291</v>
      </c>
    </row>
    <row r="407" spans="1:10" x14ac:dyDescent="0.25">
      <c r="A407">
        <f t="shared" si="37"/>
        <v>402</v>
      </c>
      <c r="B407" t="s">
        <v>1383</v>
      </c>
      <c r="C407" s="2">
        <v>0.46111111111111114</v>
      </c>
      <c r="D407" s="4">
        <f t="shared" si="35"/>
        <v>0.11388888888888893</v>
      </c>
      <c r="E407" s="6">
        <v>0.34722222222222221</v>
      </c>
      <c r="F407" s="5">
        <f t="shared" si="36"/>
        <v>0.75301204819277101</v>
      </c>
      <c r="G407" s="5">
        <v>0.84199999999999997</v>
      </c>
      <c r="H407" s="4">
        <f>67.5/1440</f>
        <v>4.6875E-2</v>
      </c>
      <c r="I407" s="5">
        <v>0.114</v>
      </c>
      <c r="J407" s="11" t="s">
        <v>1367</v>
      </c>
    </row>
    <row r="408" spans="1:10" x14ac:dyDescent="0.25">
      <c r="A408">
        <f t="shared" si="37"/>
        <v>403</v>
      </c>
      <c r="B408" t="s">
        <v>1444</v>
      </c>
      <c r="C408" s="2">
        <v>0.46666666666666667</v>
      </c>
      <c r="D408" s="4">
        <f t="shared" si="35"/>
        <v>0.11944444444444446</v>
      </c>
      <c r="E408" s="6">
        <v>0.34722222222222221</v>
      </c>
      <c r="F408" s="5">
        <f t="shared" si="36"/>
        <v>0.74404761904761896</v>
      </c>
      <c r="G408" s="5">
        <v>0.68899999999999995</v>
      </c>
      <c r="H408" s="4">
        <f>63.3/1440</f>
        <v>4.3958333333333328E-2</v>
      </c>
      <c r="I408" s="5">
        <v>9.2999999999999999E-2</v>
      </c>
      <c r="J408" s="11" t="s">
        <v>1439</v>
      </c>
    </row>
    <row r="409" spans="1:10" x14ac:dyDescent="0.25">
      <c r="A409">
        <f t="shared" si="37"/>
        <v>404</v>
      </c>
      <c r="B409" t="s">
        <v>1769</v>
      </c>
      <c r="C409" s="2">
        <v>0.4597222222222222</v>
      </c>
      <c r="D409" s="4">
        <f t="shared" si="35"/>
        <v>0.11249999999999999</v>
      </c>
      <c r="E409" s="6">
        <v>0.34722222222222221</v>
      </c>
      <c r="F409" s="5">
        <f t="shared" si="36"/>
        <v>0.75528700906344415</v>
      </c>
      <c r="G409" s="5">
        <v>0.82799999999999996</v>
      </c>
      <c r="H409" s="4">
        <f>62.3/1440</f>
        <v>4.3263888888888886E-2</v>
      </c>
      <c r="I409" s="5">
        <v>0.10299999999999999</v>
      </c>
      <c r="J409" s="11" t="s">
        <v>1763</v>
      </c>
    </row>
    <row r="410" spans="1:10" x14ac:dyDescent="0.25">
      <c r="A410">
        <f t="shared" si="37"/>
        <v>405</v>
      </c>
      <c r="B410" t="s">
        <v>1158</v>
      </c>
      <c r="C410" s="2">
        <v>0.47152777777777777</v>
      </c>
      <c r="D410" s="4">
        <f t="shared" si="35"/>
        <v>0.125</v>
      </c>
      <c r="E410" s="6">
        <v>0.34652777777777777</v>
      </c>
      <c r="F410" s="5">
        <f t="shared" si="36"/>
        <v>0.73490427098674516</v>
      </c>
      <c r="G410" s="5">
        <v>0.73799999999999999</v>
      </c>
      <c r="H410" s="4">
        <f>47.9/1440</f>
        <v>3.3263888888888885E-2</v>
      </c>
      <c r="I410" s="5">
        <v>7.0999999999999994E-2</v>
      </c>
      <c r="J410" s="11" t="s">
        <v>1148</v>
      </c>
    </row>
    <row r="411" spans="1:10" x14ac:dyDescent="0.25">
      <c r="A411">
        <f t="shared" si="37"/>
        <v>406</v>
      </c>
      <c r="B411" t="s">
        <v>1209</v>
      </c>
      <c r="C411" s="2">
        <v>0.44236111111111109</v>
      </c>
      <c r="D411" s="4">
        <f t="shared" si="35"/>
        <v>9.5833333333333326E-2</v>
      </c>
      <c r="E411" s="6">
        <v>0.34652777777777777</v>
      </c>
      <c r="F411" s="5">
        <f t="shared" si="36"/>
        <v>0.78335949764521196</v>
      </c>
      <c r="G411" s="5">
        <v>0.78500000000000003</v>
      </c>
      <c r="H411" s="4">
        <f>56.1/1440</f>
        <v>3.8958333333333331E-2</v>
      </c>
      <c r="I411" s="5">
        <v>8.7999999999999995E-2</v>
      </c>
      <c r="J411" s="11" t="s">
        <v>1185</v>
      </c>
    </row>
    <row r="412" spans="1:10" x14ac:dyDescent="0.25">
      <c r="A412">
        <f t="shared" si="37"/>
        <v>407</v>
      </c>
      <c r="B412" t="s">
        <v>1283</v>
      </c>
      <c r="C412" s="2">
        <v>0.4597222222222222</v>
      </c>
      <c r="D412" s="4">
        <f t="shared" si="35"/>
        <v>0.11319444444444443</v>
      </c>
      <c r="E412" s="6">
        <v>0.34652777777777777</v>
      </c>
      <c r="F412" s="5">
        <f t="shared" si="36"/>
        <v>0.75377643504531722</v>
      </c>
      <c r="G412" s="5">
        <v>0.83199999999999996</v>
      </c>
      <c r="H412" s="4">
        <f>67.5/1440</f>
        <v>4.6875E-2</v>
      </c>
      <c r="I412" s="5">
        <v>0.112</v>
      </c>
      <c r="J412" s="11" t="s">
        <v>1269</v>
      </c>
    </row>
    <row r="413" spans="1:10" x14ac:dyDescent="0.25">
      <c r="A413">
        <f t="shared" si="37"/>
        <v>408</v>
      </c>
      <c r="B413" t="s">
        <v>1733</v>
      </c>
      <c r="C413" s="2">
        <v>0.46319444444444446</v>
      </c>
      <c r="D413" s="4">
        <f t="shared" si="35"/>
        <v>0.1166666666666667</v>
      </c>
      <c r="E413" s="6">
        <v>0.34652777777777777</v>
      </c>
      <c r="F413" s="5">
        <f t="shared" si="36"/>
        <v>0.74812593703148422</v>
      </c>
      <c r="G413" s="5">
        <v>0.85399999999999998</v>
      </c>
      <c r="H413" s="4">
        <f>77.6/1440</f>
        <v>5.3888888888888882E-2</v>
      </c>
      <c r="I413" s="5">
        <v>0.13300000000000001</v>
      </c>
      <c r="J413" s="11" t="s">
        <v>1727</v>
      </c>
    </row>
    <row r="414" spans="1:10" x14ac:dyDescent="0.25">
      <c r="A414">
        <f t="shared" si="37"/>
        <v>409</v>
      </c>
      <c r="B414" t="s">
        <v>1795</v>
      </c>
      <c r="C414" s="2">
        <v>0.46597222222222223</v>
      </c>
      <c r="D414" s="4">
        <f t="shared" si="35"/>
        <v>0.11944444444444446</v>
      </c>
      <c r="E414" s="6">
        <v>0.34652777777777777</v>
      </c>
      <c r="F414" s="5">
        <f t="shared" si="36"/>
        <v>0.74366616989567802</v>
      </c>
      <c r="G414" s="5">
        <v>1</v>
      </c>
      <c r="H414" s="4">
        <f>75.4/1440</f>
        <v>5.2361111111111115E-2</v>
      </c>
      <c r="I414" s="5">
        <v>0.151</v>
      </c>
      <c r="J414" s="11" t="s">
        <v>1777</v>
      </c>
    </row>
    <row r="415" spans="1:10" x14ac:dyDescent="0.25">
      <c r="A415">
        <f t="shared" si="37"/>
        <v>410</v>
      </c>
      <c r="B415" t="s">
        <v>326</v>
      </c>
      <c r="C415" s="2">
        <v>0.4916666666666667</v>
      </c>
      <c r="D415" s="4">
        <f t="shared" si="35"/>
        <v>0.14583333333333331</v>
      </c>
      <c r="E415" s="6">
        <v>0.34583333333333338</v>
      </c>
      <c r="F415" s="5">
        <f t="shared" si="36"/>
        <v>0.70338983050847459</v>
      </c>
      <c r="G415" s="5">
        <v>0.8</v>
      </c>
      <c r="H415" s="4">
        <f>102.5/1440</f>
        <v>7.1180555555555552E-2</v>
      </c>
      <c r="I415" s="5">
        <v>0.16400000000000001</v>
      </c>
      <c r="J415" s="11" t="s">
        <v>327</v>
      </c>
    </row>
    <row r="416" spans="1:10" x14ac:dyDescent="0.25">
      <c r="A416">
        <f t="shared" si="37"/>
        <v>411</v>
      </c>
      <c r="B416" t="s">
        <v>547</v>
      </c>
      <c r="C416" s="2">
        <v>0.48541666666666666</v>
      </c>
      <c r="D416" s="4">
        <f t="shared" si="35"/>
        <v>0.13958333333333328</v>
      </c>
      <c r="E416" s="6">
        <v>0.34583333333333338</v>
      </c>
      <c r="F416" s="5">
        <f t="shared" si="36"/>
        <v>0.71244635193133055</v>
      </c>
      <c r="G416" s="5">
        <v>0.89500000000000002</v>
      </c>
      <c r="H416" s="4">
        <f>47.8/1440</f>
        <v>3.3194444444444443E-2</v>
      </c>
      <c r="I416" s="5">
        <v>8.5999999999999993E-2</v>
      </c>
      <c r="J416" s="11" t="s">
        <v>550</v>
      </c>
    </row>
    <row r="417" spans="1:10" x14ac:dyDescent="0.25">
      <c r="A417">
        <f t="shared" si="37"/>
        <v>412</v>
      </c>
      <c r="B417" t="s">
        <v>832</v>
      </c>
      <c r="C417" s="2">
        <v>0.46250000000000002</v>
      </c>
      <c r="D417" s="4">
        <f t="shared" si="35"/>
        <v>0.1166666666666667</v>
      </c>
      <c r="E417" s="6">
        <v>0.34583333333333333</v>
      </c>
      <c r="F417" s="5">
        <f t="shared" si="36"/>
        <v>0.74774774774774766</v>
      </c>
      <c r="G417" s="5">
        <v>0.82199999999999995</v>
      </c>
      <c r="H417" s="4">
        <f>71.9/1440</f>
        <v>4.9930555555555561E-2</v>
      </c>
      <c r="I417" s="5">
        <v>0.11899999999999999</v>
      </c>
      <c r="J417" s="11" t="s">
        <v>839</v>
      </c>
    </row>
    <row r="418" spans="1:10" x14ac:dyDescent="0.25">
      <c r="A418">
        <f t="shared" si="37"/>
        <v>413</v>
      </c>
      <c r="B418" t="s">
        <v>851</v>
      </c>
      <c r="C418" s="2">
        <v>0.46875</v>
      </c>
      <c r="D418" s="4">
        <f t="shared" si="35"/>
        <v>0.12291666666666667</v>
      </c>
      <c r="E418" s="6">
        <v>0.34583333333333333</v>
      </c>
      <c r="F418" s="5">
        <f t="shared" si="36"/>
        <v>0.73777777777777775</v>
      </c>
      <c r="G418" s="5">
        <v>0.81200000000000006</v>
      </c>
      <c r="H418" s="4">
        <f>64.6/1440</f>
        <v>4.4861111111111109E-2</v>
      </c>
      <c r="I418" s="5">
        <v>0.105</v>
      </c>
      <c r="J418" s="11" t="s">
        <v>849</v>
      </c>
    </row>
    <row r="419" spans="1:10" x14ac:dyDescent="0.25">
      <c r="A419">
        <f t="shared" si="37"/>
        <v>414</v>
      </c>
      <c r="B419" t="s">
        <v>977</v>
      </c>
      <c r="C419" s="2">
        <v>0.48194444444444445</v>
      </c>
      <c r="D419" s="4">
        <f t="shared" si="35"/>
        <v>0.13611111111111113</v>
      </c>
      <c r="E419" s="6">
        <v>0.34583333333333333</v>
      </c>
      <c r="F419" s="5">
        <f t="shared" si="36"/>
        <v>0.71757925072046103</v>
      </c>
      <c r="G419" s="5">
        <v>0.84699999999999998</v>
      </c>
      <c r="H419" s="4">
        <f>70.6/1440</f>
        <v>4.9027777777777774E-2</v>
      </c>
      <c r="I419" s="5">
        <v>0.12</v>
      </c>
      <c r="J419" s="11" t="s">
        <v>973</v>
      </c>
    </row>
    <row r="420" spans="1:10" x14ac:dyDescent="0.25">
      <c r="A420">
        <f t="shared" si="37"/>
        <v>415</v>
      </c>
      <c r="B420" t="s">
        <v>1064</v>
      </c>
      <c r="C420" s="2">
        <v>0.45277777777777778</v>
      </c>
      <c r="D420" s="4">
        <f t="shared" si="35"/>
        <v>0.10694444444444445</v>
      </c>
      <c r="E420" s="6">
        <v>0.34583333333333333</v>
      </c>
      <c r="F420" s="5">
        <f t="shared" si="36"/>
        <v>0.76380368098159512</v>
      </c>
      <c r="G420" s="5">
        <v>0.82799999999999996</v>
      </c>
      <c r="H420" s="4">
        <f>68.5/1440</f>
        <v>4.7569444444444442E-2</v>
      </c>
      <c r="I420" s="5">
        <v>0.114</v>
      </c>
      <c r="J420" s="11" t="s">
        <v>1051</v>
      </c>
    </row>
    <row r="421" spans="1:10" x14ac:dyDescent="0.25">
      <c r="A421">
        <f t="shared" si="37"/>
        <v>416</v>
      </c>
      <c r="B421" t="s">
        <v>1221</v>
      </c>
      <c r="C421" s="2">
        <v>0.47638888888888886</v>
      </c>
      <c r="D421" s="4">
        <f t="shared" si="35"/>
        <v>0.13055555555555554</v>
      </c>
      <c r="E421" s="6">
        <v>0.34583333333333333</v>
      </c>
      <c r="F421" s="5">
        <f t="shared" si="36"/>
        <v>0.72594752186588929</v>
      </c>
      <c r="G421" s="5">
        <v>0.69</v>
      </c>
      <c r="H421" s="4">
        <f>74.7/1440</f>
        <v>5.1875000000000004E-2</v>
      </c>
      <c r="I421" s="5">
        <v>0.10299999999999999</v>
      </c>
      <c r="J421" s="11" t="s">
        <v>1219</v>
      </c>
    </row>
    <row r="422" spans="1:10" x14ac:dyDescent="0.25">
      <c r="A422">
        <f t="shared" si="37"/>
        <v>417</v>
      </c>
      <c r="B422" t="s">
        <v>1227</v>
      </c>
      <c r="C422" s="2">
        <v>0.47291666666666665</v>
      </c>
      <c r="D422" s="4">
        <f t="shared" si="35"/>
        <v>0.12708333333333333</v>
      </c>
      <c r="E422" s="6">
        <v>0.34583333333333333</v>
      </c>
      <c r="F422" s="5">
        <f t="shared" si="36"/>
        <v>0.7312775330396476</v>
      </c>
      <c r="G422" s="5">
        <v>0.82499999999999996</v>
      </c>
      <c r="H422" s="4">
        <f>58.9/1440</f>
        <v>4.0902777777777774E-2</v>
      </c>
      <c r="I422" s="5">
        <v>9.7000000000000003E-2</v>
      </c>
      <c r="J422" s="11" t="s">
        <v>1225</v>
      </c>
    </row>
    <row r="423" spans="1:10" x14ac:dyDescent="0.25">
      <c r="A423">
        <f t="shared" si="37"/>
        <v>418</v>
      </c>
      <c r="B423" t="s">
        <v>1282</v>
      </c>
      <c r="C423" s="2">
        <v>0.44513888888888886</v>
      </c>
      <c r="D423" s="4">
        <f t="shared" si="35"/>
        <v>9.9305555555555536E-2</v>
      </c>
      <c r="E423" s="6">
        <v>0.34583333333333333</v>
      </c>
      <c r="F423" s="5">
        <f t="shared" si="36"/>
        <v>0.77691107644305779</v>
      </c>
      <c r="G423" s="5">
        <v>0.85699999999999998</v>
      </c>
      <c r="H423" s="4">
        <f>71.7/1440</f>
        <v>4.9791666666666672E-2</v>
      </c>
      <c r="I423" s="5">
        <v>0.123</v>
      </c>
      <c r="J423" s="11" t="s">
        <v>1269</v>
      </c>
    </row>
    <row r="424" spans="1:10" x14ac:dyDescent="0.25">
      <c r="A424">
        <f t="shared" si="37"/>
        <v>419</v>
      </c>
      <c r="B424" t="s">
        <v>1597</v>
      </c>
      <c r="C424" s="2">
        <v>0.45694444444444443</v>
      </c>
      <c r="D424" s="4">
        <f t="shared" si="35"/>
        <v>0.1111111111111111</v>
      </c>
      <c r="E424" s="6">
        <v>0.34583333333333333</v>
      </c>
      <c r="F424" s="5">
        <f t="shared" si="36"/>
        <v>0.75683890577507595</v>
      </c>
      <c r="G424" s="5">
        <v>0.92900000000000005</v>
      </c>
      <c r="H424" s="4">
        <f>76.7/1440</f>
        <v>5.3263888888888888E-2</v>
      </c>
      <c r="I424" s="5">
        <v>0.14299999999999999</v>
      </c>
      <c r="J424" s="11" t="s">
        <v>1590</v>
      </c>
    </row>
    <row r="425" spans="1:10" x14ac:dyDescent="0.25">
      <c r="A425">
        <f t="shared" si="37"/>
        <v>420</v>
      </c>
      <c r="B425" t="s">
        <v>1719</v>
      </c>
      <c r="C425" s="2">
        <v>0.44374999999999998</v>
      </c>
      <c r="D425" s="4">
        <f t="shared" si="35"/>
        <v>9.7916666666666652E-2</v>
      </c>
      <c r="E425" s="6">
        <v>0.34583333333333333</v>
      </c>
      <c r="F425" s="5">
        <f t="shared" si="36"/>
        <v>0.77934272300469487</v>
      </c>
      <c r="G425" s="5">
        <v>1</v>
      </c>
      <c r="H425" s="4">
        <f>80.3/1440</f>
        <v>5.5763888888888884E-2</v>
      </c>
      <c r="I425" s="5">
        <v>0.161</v>
      </c>
      <c r="J425" s="11" t="s">
        <v>1708</v>
      </c>
    </row>
    <row r="426" spans="1:10" x14ac:dyDescent="0.25">
      <c r="A426">
        <f t="shared" si="37"/>
        <v>421</v>
      </c>
      <c r="B426" t="s">
        <v>281</v>
      </c>
      <c r="C426" s="2">
        <v>0.46666666666666662</v>
      </c>
      <c r="D426" s="4">
        <f t="shared" si="35"/>
        <v>0.12152777777777773</v>
      </c>
      <c r="E426" s="6">
        <v>0.34513888888888888</v>
      </c>
      <c r="F426" s="5">
        <f t="shared" si="36"/>
        <v>0.73958333333333337</v>
      </c>
      <c r="G426" s="5">
        <v>0.77800000000000002</v>
      </c>
      <c r="H426" s="4">
        <f>75/1440</f>
        <v>5.2083333333333336E-2</v>
      </c>
      <c r="I426" s="5">
        <v>0.11700000000000001</v>
      </c>
      <c r="J426" s="11" t="s">
        <v>282</v>
      </c>
    </row>
    <row r="427" spans="1:10" x14ac:dyDescent="0.25">
      <c r="A427">
        <f t="shared" si="37"/>
        <v>422</v>
      </c>
      <c r="B427" t="s">
        <v>809</v>
      </c>
      <c r="C427" s="2">
        <v>0.48125000000000001</v>
      </c>
      <c r="D427" s="4">
        <f t="shared" si="35"/>
        <v>0.13611111111111113</v>
      </c>
      <c r="E427" s="6">
        <v>0.34513888888888888</v>
      </c>
      <c r="F427" s="5">
        <f t="shared" ref="F427:F458" si="38">E427/C427</f>
        <v>0.71717171717171713</v>
      </c>
      <c r="G427" s="5">
        <v>0.78200000000000003</v>
      </c>
      <c r="H427" s="4">
        <f>69.1/1440</f>
        <v>4.7986111111111104E-2</v>
      </c>
      <c r="I427" s="5">
        <v>0.109</v>
      </c>
      <c r="J427" s="11" t="s">
        <v>810</v>
      </c>
    </row>
    <row r="428" spans="1:10" x14ac:dyDescent="0.25">
      <c r="A428">
        <f t="shared" si="37"/>
        <v>423</v>
      </c>
      <c r="B428" t="s">
        <v>871</v>
      </c>
      <c r="C428" s="2">
        <v>0.4375</v>
      </c>
      <c r="D428" s="4">
        <f t="shared" si="35"/>
        <v>9.2361111111111116E-2</v>
      </c>
      <c r="E428" s="6">
        <v>0.34513888888888888</v>
      </c>
      <c r="F428" s="5">
        <f t="shared" si="38"/>
        <v>0.78888888888888886</v>
      </c>
      <c r="G428" s="5">
        <v>0.85</v>
      </c>
      <c r="H428" s="4">
        <f>74/1440</f>
        <v>5.1388888888888887E-2</v>
      </c>
      <c r="I428" s="5">
        <v>0.126</v>
      </c>
      <c r="J428" s="11" t="s">
        <v>877</v>
      </c>
    </row>
    <row r="429" spans="1:10" x14ac:dyDescent="0.25">
      <c r="A429">
        <f t="shared" si="37"/>
        <v>424</v>
      </c>
      <c r="B429" t="s">
        <v>1015</v>
      </c>
      <c r="C429" s="2">
        <v>0.45208333333333334</v>
      </c>
      <c r="D429" s="4">
        <f t="shared" si="35"/>
        <v>0.10694444444444445</v>
      </c>
      <c r="E429" s="6">
        <v>0.34513888888888888</v>
      </c>
      <c r="F429" s="5">
        <f t="shared" si="38"/>
        <v>0.76344086021505375</v>
      </c>
      <c r="G429" s="5">
        <v>0.81699999999999995</v>
      </c>
      <c r="H429" s="4">
        <f>65/1440</f>
        <v>4.5138888888888888E-2</v>
      </c>
      <c r="I429" s="5">
        <v>0.107</v>
      </c>
      <c r="J429" s="11" t="s">
        <v>1016</v>
      </c>
    </row>
    <row r="430" spans="1:10" x14ac:dyDescent="0.25">
      <c r="A430">
        <f t="shared" si="37"/>
        <v>425</v>
      </c>
      <c r="B430" t="s">
        <v>1164</v>
      </c>
      <c r="C430" s="2">
        <v>0.44861111111111113</v>
      </c>
      <c r="D430" s="4">
        <f t="shared" si="35"/>
        <v>0.10347222222222224</v>
      </c>
      <c r="E430" s="6">
        <v>0.34513888888888888</v>
      </c>
      <c r="F430" s="5">
        <f t="shared" si="38"/>
        <v>0.76934984520123839</v>
      </c>
      <c r="G430" s="5">
        <v>0.84099999999999997</v>
      </c>
      <c r="H430" s="4">
        <f>68.7/1440</f>
        <v>4.7708333333333339E-2</v>
      </c>
      <c r="I430" s="5">
        <v>0.11600000000000001</v>
      </c>
      <c r="J430" s="11" t="s">
        <v>1149</v>
      </c>
    </row>
    <row r="431" spans="1:10" x14ac:dyDescent="0.25">
      <c r="A431">
        <f t="shared" si="37"/>
        <v>426</v>
      </c>
      <c r="B431" t="s">
        <v>1335</v>
      </c>
      <c r="C431" s="2">
        <v>0.46180555555555558</v>
      </c>
      <c r="D431" s="4">
        <f t="shared" si="35"/>
        <v>0.1166666666666667</v>
      </c>
      <c r="E431" s="6">
        <v>0.34513888888888888</v>
      </c>
      <c r="F431" s="5">
        <f t="shared" si="38"/>
        <v>0.74736842105263157</v>
      </c>
      <c r="G431" s="5">
        <v>0.82499999999999996</v>
      </c>
      <c r="H431" s="4">
        <f>67/1440</f>
        <v>4.6527777777777779E-2</v>
      </c>
      <c r="I431" s="5">
        <v>0.111</v>
      </c>
      <c r="J431" s="11" t="s">
        <v>1334</v>
      </c>
    </row>
    <row r="432" spans="1:10" x14ac:dyDescent="0.25">
      <c r="A432">
        <f t="shared" si="37"/>
        <v>427</v>
      </c>
      <c r="B432" t="s">
        <v>644</v>
      </c>
      <c r="C432" s="2">
        <v>0.49027777777777781</v>
      </c>
      <c r="D432" s="4">
        <f t="shared" si="35"/>
        <v>0.14583333333333331</v>
      </c>
      <c r="E432" s="6">
        <v>0.3444444444444445</v>
      </c>
      <c r="F432" s="5">
        <f t="shared" si="38"/>
        <v>0.70254957507082161</v>
      </c>
      <c r="G432" s="5">
        <v>0.80900000000000005</v>
      </c>
      <c r="H432" s="4">
        <f>59.2/1440</f>
        <v>4.1111111111111112E-2</v>
      </c>
      <c r="I432" s="5">
        <v>9.7000000000000003E-2</v>
      </c>
      <c r="J432" s="11" t="s">
        <v>646</v>
      </c>
    </row>
    <row r="433" spans="1:10" x14ac:dyDescent="0.25">
      <c r="A433">
        <f t="shared" si="37"/>
        <v>428</v>
      </c>
      <c r="B433" t="s">
        <v>1419</v>
      </c>
      <c r="C433" s="2">
        <v>0.45555555555555555</v>
      </c>
      <c r="D433" s="4">
        <v>0.10347222222222222</v>
      </c>
      <c r="E433" s="6">
        <v>0.34444444444444444</v>
      </c>
      <c r="F433" s="5">
        <f t="shared" si="38"/>
        <v>0.75609756097560976</v>
      </c>
      <c r="G433" s="5">
        <v>0.83099999999999996</v>
      </c>
      <c r="H433" s="4">
        <f>65.2/1440</f>
        <v>4.5277777777777778E-2</v>
      </c>
      <c r="I433" s="5">
        <v>0.109</v>
      </c>
      <c r="J433" s="11" t="s">
        <v>1415</v>
      </c>
    </row>
    <row r="434" spans="1:10" x14ac:dyDescent="0.25">
      <c r="A434">
        <f t="shared" si="37"/>
        <v>429</v>
      </c>
      <c r="B434" t="s">
        <v>1451</v>
      </c>
      <c r="C434" s="2">
        <v>0.48958333333333331</v>
      </c>
      <c r="D434" s="4">
        <f t="shared" ref="D434:D469" si="39">C434-E434</f>
        <v>0.14513888888888887</v>
      </c>
      <c r="E434" s="6">
        <v>0.34444444444444444</v>
      </c>
      <c r="F434" s="5">
        <f t="shared" si="38"/>
        <v>0.70354609929078016</v>
      </c>
      <c r="G434" s="5">
        <v>0.79300000000000004</v>
      </c>
      <c r="H434" s="4">
        <f>47.5/1440</f>
        <v>3.2986111111111112E-2</v>
      </c>
      <c r="I434" s="5">
        <v>7.5999999999999998E-2</v>
      </c>
      <c r="J434" s="11" t="s">
        <v>1440</v>
      </c>
    </row>
    <row r="435" spans="1:10" x14ac:dyDescent="0.25">
      <c r="A435">
        <f t="shared" si="37"/>
        <v>430</v>
      </c>
      <c r="B435" t="s">
        <v>1642</v>
      </c>
      <c r="C435" s="2">
        <v>0.44861111111111113</v>
      </c>
      <c r="D435" s="4">
        <f t="shared" si="39"/>
        <v>0.10416666666666669</v>
      </c>
      <c r="E435" s="6">
        <v>0.34444444444444444</v>
      </c>
      <c r="F435" s="5">
        <f t="shared" si="38"/>
        <v>0.7678018575851393</v>
      </c>
      <c r="G435" s="5">
        <v>0.81399999999999995</v>
      </c>
      <c r="H435" s="4">
        <f>63.7/1440</f>
        <v>4.4236111111111115E-2</v>
      </c>
      <c r="I435" s="5">
        <v>0.104</v>
      </c>
      <c r="J435" s="11" t="s">
        <v>1626</v>
      </c>
    </row>
    <row r="436" spans="1:10" x14ac:dyDescent="0.25">
      <c r="A436">
        <f t="shared" si="37"/>
        <v>431</v>
      </c>
      <c r="B436" t="s">
        <v>844</v>
      </c>
      <c r="C436" s="2">
        <v>0.47222222222222221</v>
      </c>
      <c r="D436" s="4">
        <f t="shared" si="39"/>
        <v>0.12847222222222221</v>
      </c>
      <c r="E436" s="6">
        <v>0.34375</v>
      </c>
      <c r="F436" s="5">
        <f t="shared" si="38"/>
        <v>0.7279411764705882</v>
      </c>
      <c r="G436" s="5">
        <v>0.80900000000000005</v>
      </c>
      <c r="H436" s="4">
        <f>60.7/1440</f>
        <v>4.2152777777777782E-2</v>
      </c>
      <c r="I436" s="5">
        <v>9.9000000000000005E-2</v>
      </c>
      <c r="J436" s="11" t="s">
        <v>848</v>
      </c>
    </row>
    <row r="437" spans="1:10" x14ac:dyDescent="0.25">
      <c r="A437">
        <f t="shared" si="37"/>
        <v>432</v>
      </c>
      <c r="B437" t="s">
        <v>948</v>
      </c>
      <c r="C437" s="2">
        <v>0.46180555555555558</v>
      </c>
      <c r="D437" s="4">
        <f t="shared" si="39"/>
        <v>0.11805555555555558</v>
      </c>
      <c r="E437" s="6">
        <v>0.34375</v>
      </c>
      <c r="F437" s="5">
        <f t="shared" si="38"/>
        <v>0.74436090225563911</v>
      </c>
      <c r="G437" s="5">
        <v>0.79700000000000004</v>
      </c>
      <c r="H437" s="4">
        <f>64.1/1440</f>
        <v>4.4513888888888888E-2</v>
      </c>
      <c r="I437" s="5">
        <v>0.10299999999999999</v>
      </c>
      <c r="J437" s="11" t="s">
        <v>953</v>
      </c>
    </row>
    <row r="438" spans="1:10" x14ac:dyDescent="0.25">
      <c r="A438">
        <f t="shared" si="37"/>
        <v>433</v>
      </c>
      <c r="B438" t="s">
        <v>971</v>
      </c>
      <c r="C438" s="2">
        <v>0.46111111111111114</v>
      </c>
      <c r="D438" s="4">
        <f t="shared" si="39"/>
        <v>0.11736111111111114</v>
      </c>
      <c r="E438" s="6">
        <v>0.34375</v>
      </c>
      <c r="F438" s="5">
        <f t="shared" si="38"/>
        <v>0.74548192771084332</v>
      </c>
      <c r="G438" s="5">
        <v>0.83099999999999996</v>
      </c>
      <c r="H438" s="4">
        <f>63.7/1440</f>
        <v>4.4236111111111115E-2</v>
      </c>
      <c r="I438" s="5">
        <v>0.107</v>
      </c>
      <c r="J438" s="11" t="s">
        <v>967</v>
      </c>
    </row>
    <row r="439" spans="1:10" x14ac:dyDescent="0.25">
      <c r="A439">
        <f t="shared" si="37"/>
        <v>434</v>
      </c>
      <c r="B439" t="s">
        <v>1081</v>
      </c>
      <c r="C439" s="2">
        <v>0.44583333333333336</v>
      </c>
      <c r="D439" s="4">
        <f t="shared" si="39"/>
        <v>0.10208333333333336</v>
      </c>
      <c r="E439" s="6">
        <v>0.34375</v>
      </c>
      <c r="F439" s="5">
        <f t="shared" si="38"/>
        <v>0.77102803738317749</v>
      </c>
      <c r="G439" s="5">
        <v>0.85899999999999999</v>
      </c>
      <c r="H439" s="4">
        <f>69.5/1440</f>
        <v>4.8263888888888891E-2</v>
      </c>
      <c r="I439" s="5">
        <v>0.12</v>
      </c>
      <c r="J439" s="11" t="s">
        <v>1073</v>
      </c>
    </row>
    <row r="440" spans="1:10" x14ac:dyDescent="0.25">
      <c r="A440">
        <f t="shared" si="37"/>
        <v>435</v>
      </c>
      <c r="B440" t="s">
        <v>1230</v>
      </c>
      <c r="C440" s="2">
        <v>0.48888888888888887</v>
      </c>
      <c r="D440" s="4">
        <f t="shared" si="39"/>
        <v>0.14513888888888887</v>
      </c>
      <c r="E440" s="6">
        <v>0.34375</v>
      </c>
      <c r="F440" s="5">
        <f t="shared" si="38"/>
        <v>0.703125</v>
      </c>
      <c r="G440" s="5">
        <v>0.68400000000000005</v>
      </c>
      <c r="H440" s="4">
        <f>88.2/1440</f>
        <v>6.1249999999999999E-2</v>
      </c>
      <c r="I440" s="5">
        <v>0.122</v>
      </c>
      <c r="J440" s="11" t="s">
        <v>1231</v>
      </c>
    </row>
    <row r="441" spans="1:10" x14ac:dyDescent="0.25">
      <c r="A441">
        <f t="shared" si="37"/>
        <v>436</v>
      </c>
      <c r="B441" t="s">
        <v>813</v>
      </c>
      <c r="C441" s="2">
        <v>0.46319444444444446</v>
      </c>
      <c r="D441" s="4">
        <f t="shared" si="39"/>
        <v>0.12013888888888891</v>
      </c>
      <c r="E441" s="6">
        <v>0.34305555555555556</v>
      </c>
      <c r="F441" s="5">
        <f t="shared" si="38"/>
        <v>0.74062968515742122</v>
      </c>
      <c r="G441" s="5">
        <v>0.83499999999999996</v>
      </c>
      <c r="H441" s="4">
        <f>68.8/1440</f>
        <v>4.7777777777777773E-2</v>
      </c>
      <c r="I441" s="5">
        <v>0.11600000000000001</v>
      </c>
      <c r="J441" s="11" t="s">
        <v>814</v>
      </c>
    </row>
    <row r="442" spans="1:10" x14ac:dyDescent="0.25">
      <c r="A442">
        <f t="shared" si="37"/>
        <v>437</v>
      </c>
      <c r="B442" t="s">
        <v>892</v>
      </c>
      <c r="C442" s="2">
        <v>0.46944444444444444</v>
      </c>
      <c r="D442" s="4">
        <f t="shared" si="39"/>
        <v>0.12638888888888888</v>
      </c>
      <c r="E442" s="6">
        <v>0.34305555555555556</v>
      </c>
      <c r="F442" s="5">
        <f t="shared" si="38"/>
        <v>0.73076923076923073</v>
      </c>
      <c r="G442" s="5">
        <v>0.80900000000000005</v>
      </c>
      <c r="H442" s="4">
        <f>63.7/1440</f>
        <v>4.4236111111111115E-2</v>
      </c>
      <c r="I442" s="5">
        <v>0.104</v>
      </c>
      <c r="J442" s="11" t="s">
        <v>896</v>
      </c>
    </row>
    <row r="443" spans="1:10" x14ac:dyDescent="0.25">
      <c r="A443">
        <f t="shared" si="37"/>
        <v>438</v>
      </c>
      <c r="B443" t="s">
        <v>902</v>
      </c>
      <c r="C443" s="2">
        <v>0.4826388888888889</v>
      </c>
      <c r="D443" s="4">
        <f t="shared" si="39"/>
        <v>0.13958333333333334</v>
      </c>
      <c r="E443" s="6">
        <v>0.34305555555555556</v>
      </c>
      <c r="F443" s="5">
        <f t="shared" si="38"/>
        <v>0.71079136690647482</v>
      </c>
      <c r="G443" s="5">
        <v>0.77600000000000002</v>
      </c>
      <c r="H443" s="4">
        <f>55.4/1440</f>
        <v>3.847222222222222E-2</v>
      </c>
      <c r="I443" s="5">
        <v>8.6999999999999994E-2</v>
      </c>
      <c r="J443" s="11" t="s">
        <v>897</v>
      </c>
    </row>
    <row r="444" spans="1:10" x14ac:dyDescent="0.25">
      <c r="A444">
        <f t="shared" si="37"/>
        <v>439</v>
      </c>
      <c r="B444" t="s">
        <v>1120</v>
      </c>
      <c r="C444" s="2">
        <v>0.47013888888888888</v>
      </c>
      <c r="D444" s="4">
        <f t="shared" si="39"/>
        <v>0.12708333333333333</v>
      </c>
      <c r="E444" s="6">
        <v>0.34305555555555556</v>
      </c>
      <c r="F444" s="5">
        <f t="shared" si="38"/>
        <v>0.72968980797636629</v>
      </c>
      <c r="G444" s="5">
        <v>0.88200000000000001</v>
      </c>
      <c r="H444" s="4">
        <f>70.9/1440</f>
        <v>4.9236111111111112E-2</v>
      </c>
      <c r="I444" s="5">
        <v>0.126</v>
      </c>
      <c r="J444" s="11" t="s">
        <v>1102</v>
      </c>
    </row>
    <row r="445" spans="1:10" x14ac:dyDescent="0.25">
      <c r="A445">
        <f t="shared" si="37"/>
        <v>440</v>
      </c>
      <c r="B445" t="s">
        <v>1133</v>
      </c>
      <c r="C445" s="2">
        <v>0.43819444444444444</v>
      </c>
      <c r="D445" s="4">
        <f t="shared" si="39"/>
        <v>9.5138888888888884E-2</v>
      </c>
      <c r="E445" s="6">
        <v>0.34305555555555556</v>
      </c>
      <c r="F445" s="5">
        <f t="shared" si="38"/>
        <v>0.78288431061806663</v>
      </c>
      <c r="G445" s="5">
        <v>0.80900000000000005</v>
      </c>
      <c r="H445" s="4">
        <f>58.3/1440</f>
        <v>4.0486111111111112E-2</v>
      </c>
      <c r="I445" s="5">
        <v>9.5000000000000001E-2</v>
      </c>
      <c r="J445" s="11" t="s">
        <v>1125</v>
      </c>
    </row>
    <row r="446" spans="1:10" x14ac:dyDescent="0.25">
      <c r="A446">
        <f t="shared" si="37"/>
        <v>441</v>
      </c>
      <c r="B446" t="s">
        <v>1167</v>
      </c>
      <c r="C446" s="2">
        <v>0.46180555555555558</v>
      </c>
      <c r="D446" s="4">
        <f t="shared" si="39"/>
        <v>0.11875000000000002</v>
      </c>
      <c r="E446" s="6">
        <v>0.34305555555555556</v>
      </c>
      <c r="F446" s="5">
        <f t="shared" si="38"/>
        <v>0.74285714285714277</v>
      </c>
      <c r="G446" s="5">
        <v>0.872</v>
      </c>
      <c r="H446" s="4">
        <f>66/1440</f>
        <v>4.583333333333333E-2</v>
      </c>
      <c r="I446" s="5">
        <v>0.11600000000000001</v>
      </c>
      <c r="J446" s="11" t="s">
        <v>1149</v>
      </c>
    </row>
    <row r="447" spans="1:10" x14ac:dyDescent="0.25">
      <c r="A447">
        <f t="shared" si="37"/>
        <v>442</v>
      </c>
      <c r="B447" t="s">
        <v>1239</v>
      </c>
      <c r="C447" s="2">
        <v>0.45208333333333334</v>
      </c>
      <c r="D447" s="4">
        <f t="shared" si="39"/>
        <v>0.10902777777777778</v>
      </c>
      <c r="E447" s="6">
        <v>0.34305555555555556</v>
      </c>
      <c r="F447" s="5">
        <f t="shared" si="38"/>
        <v>0.7588325652841782</v>
      </c>
      <c r="G447" s="5">
        <v>0.88</v>
      </c>
      <c r="H447" s="4">
        <f>69.8/1440</f>
        <v>4.8472222222222222E-2</v>
      </c>
      <c r="I447" s="5">
        <v>0.124</v>
      </c>
      <c r="J447" s="11" t="s">
        <v>1237</v>
      </c>
    </row>
    <row r="448" spans="1:10" x14ac:dyDescent="0.25">
      <c r="A448">
        <f t="shared" si="37"/>
        <v>443</v>
      </c>
      <c r="B448" t="s">
        <v>1280</v>
      </c>
      <c r="C448" s="2">
        <v>0.43611111111111112</v>
      </c>
      <c r="D448" s="4">
        <f t="shared" si="39"/>
        <v>9.3055555555555558E-2</v>
      </c>
      <c r="E448" s="6">
        <v>0.34305555555555556</v>
      </c>
      <c r="F448" s="5">
        <f t="shared" si="38"/>
        <v>0.7866242038216561</v>
      </c>
      <c r="G448" s="5">
        <v>0.82299999999999995</v>
      </c>
      <c r="H448" s="4">
        <f>66.2/1440</f>
        <v>4.5972222222222227E-2</v>
      </c>
      <c r="I448" s="5">
        <v>0.11</v>
      </c>
      <c r="J448" s="11" t="s">
        <v>1268</v>
      </c>
    </row>
    <row r="449" spans="1:10" x14ac:dyDescent="0.25">
      <c r="A449">
        <f t="shared" si="37"/>
        <v>444</v>
      </c>
      <c r="B449" t="s">
        <v>1665</v>
      </c>
      <c r="C449" s="2">
        <v>0.44722222222222224</v>
      </c>
      <c r="D449" s="4">
        <f t="shared" si="39"/>
        <v>0.10416666666666669</v>
      </c>
      <c r="E449" s="6">
        <v>0.34305555555555556</v>
      </c>
      <c r="F449" s="5">
        <f t="shared" si="38"/>
        <v>0.76708074534161486</v>
      </c>
      <c r="G449" s="5">
        <v>0.81399999999999995</v>
      </c>
      <c r="H449" s="4">
        <f>65.3/1440</f>
        <v>4.5347222222222219E-2</v>
      </c>
      <c r="I449" s="5">
        <v>0.108</v>
      </c>
      <c r="J449" s="11" t="s">
        <v>1661</v>
      </c>
    </row>
    <row r="450" spans="1:10" x14ac:dyDescent="0.25">
      <c r="A450">
        <f t="shared" si="37"/>
        <v>445</v>
      </c>
      <c r="B450" t="s">
        <v>1747</v>
      </c>
      <c r="C450" s="2">
        <v>0.45763888888888887</v>
      </c>
      <c r="D450" s="4">
        <f t="shared" si="39"/>
        <v>0.11458333333333331</v>
      </c>
      <c r="E450" s="6">
        <v>0.34305555555555556</v>
      </c>
      <c r="F450" s="5">
        <f t="shared" si="38"/>
        <v>0.74962063732928685</v>
      </c>
      <c r="G450" s="5">
        <v>1</v>
      </c>
      <c r="H450" s="4">
        <f>79.8/1440</f>
        <v>5.5416666666666663E-2</v>
      </c>
      <c r="I450" s="5">
        <v>0.161</v>
      </c>
      <c r="J450" s="11" t="s">
        <v>1749</v>
      </c>
    </row>
    <row r="451" spans="1:10" x14ac:dyDescent="0.25">
      <c r="A451">
        <f t="shared" si="37"/>
        <v>446</v>
      </c>
      <c r="B451" t="s">
        <v>702</v>
      </c>
      <c r="C451" s="2">
        <v>0.47638888888888892</v>
      </c>
      <c r="D451" s="4">
        <f t="shared" si="39"/>
        <v>0.13333333333333341</v>
      </c>
      <c r="E451" s="6">
        <v>0.3430555555555555</v>
      </c>
      <c r="F451" s="5">
        <f t="shared" si="38"/>
        <v>0.72011661807580163</v>
      </c>
      <c r="G451" s="5">
        <v>0.86099999999999999</v>
      </c>
      <c r="H451" s="4">
        <f>55.2/1440</f>
        <v>3.8333333333333337E-2</v>
      </c>
      <c r="I451" s="5">
        <v>9.6000000000000002E-2</v>
      </c>
      <c r="J451" s="11" t="s">
        <v>704</v>
      </c>
    </row>
    <row r="452" spans="1:10" x14ac:dyDescent="0.25">
      <c r="A452">
        <f t="shared" si="37"/>
        <v>447</v>
      </c>
      <c r="B452" t="s">
        <v>277</v>
      </c>
      <c r="C452" s="2">
        <v>0.4826388888888889</v>
      </c>
      <c r="D452" s="4">
        <f t="shared" si="39"/>
        <v>0.14027777777777778</v>
      </c>
      <c r="E452" s="6">
        <v>0.34236111111111112</v>
      </c>
      <c r="F452" s="5">
        <f t="shared" si="38"/>
        <v>0.7093525179856115</v>
      </c>
      <c r="G452" s="5">
        <v>0.83299999999999996</v>
      </c>
      <c r="H452" s="4">
        <f>89.5/1440</f>
        <v>6.2152777777777779E-2</v>
      </c>
      <c r="I452" s="5">
        <v>0.151</v>
      </c>
      <c r="J452" s="11" t="s">
        <v>278</v>
      </c>
    </row>
    <row r="453" spans="1:10" x14ac:dyDescent="0.25">
      <c r="A453">
        <f t="shared" si="37"/>
        <v>448</v>
      </c>
      <c r="B453" t="s">
        <v>925</v>
      </c>
      <c r="C453" s="2">
        <v>0.4</v>
      </c>
      <c r="D453" s="4">
        <f t="shared" si="39"/>
        <v>5.7638888888888906E-2</v>
      </c>
      <c r="E453" s="6">
        <v>0.34236111111111112</v>
      </c>
      <c r="F453" s="5">
        <f t="shared" si="38"/>
        <v>0.85590277777777779</v>
      </c>
      <c r="G453" s="5">
        <v>0.755</v>
      </c>
      <c r="H453" s="4">
        <f>40.7/1440</f>
        <v>2.826388888888889E-2</v>
      </c>
      <c r="I453" s="5">
        <v>6.2E-2</v>
      </c>
      <c r="J453" s="11" t="s">
        <v>929</v>
      </c>
    </row>
    <row r="454" spans="1:10" x14ac:dyDescent="0.25">
      <c r="A454">
        <f t="shared" si="37"/>
        <v>449</v>
      </c>
      <c r="B454" t="s">
        <v>927</v>
      </c>
      <c r="C454" s="2">
        <v>0.44374999999999998</v>
      </c>
      <c r="D454" s="4">
        <f t="shared" si="39"/>
        <v>0.10138888888888886</v>
      </c>
      <c r="E454" s="6">
        <v>0.34236111111111112</v>
      </c>
      <c r="F454" s="5">
        <f t="shared" si="38"/>
        <v>0.77151799687010958</v>
      </c>
      <c r="G454" s="5">
        <v>0.85299999999999998</v>
      </c>
      <c r="H454" s="4">
        <f>67/1440</f>
        <v>4.6527777777777779E-2</v>
      </c>
      <c r="I454" s="5">
        <v>0.11600000000000001</v>
      </c>
      <c r="J454" s="11" t="s">
        <v>929</v>
      </c>
    </row>
    <row r="455" spans="1:10" x14ac:dyDescent="0.25">
      <c r="A455">
        <f t="shared" si="37"/>
        <v>450</v>
      </c>
      <c r="B455" t="s">
        <v>959</v>
      </c>
      <c r="C455" s="2">
        <v>0.47430555555555554</v>
      </c>
      <c r="D455" s="4">
        <f t="shared" si="39"/>
        <v>0.13194444444444442</v>
      </c>
      <c r="E455" s="6">
        <v>0.34236111111111112</v>
      </c>
      <c r="F455" s="5">
        <f t="shared" si="38"/>
        <v>0.72181551976573943</v>
      </c>
      <c r="G455" s="5">
        <v>0.82299999999999995</v>
      </c>
      <c r="H455" s="4">
        <f>63.5/1440</f>
        <v>4.4097222222222225E-2</v>
      </c>
      <c r="I455" s="5">
        <v>0.106</v>
      </c>
      <c r="J455" s="11" t="s">
        <v>955</v>
      </c>
    </row>
    <row r="456" spans="1:10" x14ac:dyDescent="0.25">
      <c r="A456">
        <f t="shared" si="37"/>
        <v>451</v>
      </c>
      <c r="B456" t="s">
        <v>968</v>
      </c>
      <c r="C456" s="2">
        <v>0.46319444444444446</v>
      </c>
      <c r="D456" s="4">
        <f t="shared" si="39"/>
        <v>0.12083333333333335</v>
      </c>
      <c r="E456" s="6">
        <v>0.34236111111111112</v>
      </c>
      <c r="F456" s="5">
        <f t="shared" si="38"/>
        <v>0.73913043478260865</v>
      </c>
      <c r="G456" s="5">
        <v>0.82299999999999995</v>
      </c>
      <c r="H456" s="4">
        <f>65.7/1440</f>
        <v>4.5624999999999999E-2</v>
      </c>
      <c r="I456" s="5">
        <v>0.11</v>
      </c>
      <c r="J456" s="11" t="s">
        <v>967</v>
      </c>
    </row>
    <row r="457" spans="1:10" x14ac:dyDescent="0.25">
      <c r="A457">
        <f t="shared" si="37"/>
        <v>452</v>
      </c>
      <c r="B457" t="s">
        <v>1018</v>
      </c>
      <c r="C457" s="2">
        <v>0.46805555555555556</v>
      </c>
      <c r="D457" s="4">
        <f t="shared" si="39"/>
        <v>0.12569444444444444</v>
      </c>
      <c r="E457" s="6">
        <v>0.34236111111111112</v>
      </c>
      <c r="F457" s="5">
        <f t="shared" si="38"/>
        <v>0.7314540059347181</v>
      </c>
      <c r="G457" s="5">
        <v>0.85299999999999998</v>
      </c>
      <c r="H457" s="4">
        <f>65/1440</f>
        <v>4.5138888888888888E-2</v>
      </c>
      <c r="I457" s="5">
        <v>0.112</v>
      </c>
      <c r="J457" s="11" t="s">
        <v>1016</v>
      </c>
    </row>
    <row r="458" spans="1:10" x14ac:dyDescent="0.25">
      <c r="A458">
        <f t="shared" si="37"/>
        <v>453</v>
      </c>
      <c r="B458" t="s">
        <v>1087</v>
      </c>
      <c r="C458" s="2">
        <v>0.43958333333333333</v>
      </c>
      <c r="D458" s="4">
        <f t="shared" si="39"/>
        <v>9.722222222222221E-2</v>
      </c>
      <c r="E458" s="6">
        <v>0.34236111111111112</v>
      </c>
      <c r="F458" s="5">
        <f t="shared" si="38"/>
        <v>0.77883096366508686</v>
      </c>
      <c r="G458" s="5">
        <v>0.80200000000000005</v>
      </c>
      <c r="H458" s="4">
        <f>59.1/1440</f>
        <v>4.1041666666666671E-2</v>
      </c>
      <c r="I458" s="5">
        <v>9.6000000000000002E-2</v>
      </c>
      <c r="J458" s="11" t="s">
        <v>1075</v>
      </c>
    </row>
    <row r="459" spans="1:10" x14ac:dyDescent="0.25">
      <c r="A459">
        <f t="shared" si="37"/>
        <v>454</v>
      </c>
      <c r="B459" t="s">
        <v>1606</v>
      </c>
      <c r="C459" s="2">
        <v>0.4548611111111111</v>
      </c>
      <c r="D459" s="4">
        <f t="shared" si="39"/>
        <v>0.11249999999999999</v>
      </c>
      <c r="E459" s="6">
        <v>0.34236111111111112</v>
      </c>
      <c r="F459" s="5">
        <f t="shared" ref="F459:F469" si="40">E459/C459</f>
        <v>0.75267175572519085</v>
      </c>
      <c r="G459" s="5">
        <v>0.80800000000000005</v>
      </c>
      <c r="H459" s="4">
        <f>57/1440</f>
        <v>3.9583333333333331E-2</v>
      </c>
      <c r="I459" s="5">
        <v>9.2999999999999999E-2</v>
      </c>
      <c r="J459" s="11" t="s">
        <v>1600</v>
      </c>
    </row>
    <row r="460" spans="1:10" x14ac:dyDescent="0.25">
      <c r="A460">
        <f t="shared" si="37"/>
        <v>455</v>
      </c>
      <c r="B460" t="s">
        <v>831</v>
      </c>
      <c r="C460" s="2">
        <v>0.4597222222222222</v>
      </c>
      <c r="D460" s="4">
        <f t="shared" si="39"/>
        <v>0.11805555555555552</v>
      </c>
      <c r="E460" s="6">
        <v>0.34166666666666667</v>
      </c>
      <c r="F460" s="5">
        <f t="shared" si="40"/>
        <v>0.74320241691842903</v>
      </c>
      <c r="G460" s="5">
        <v>0.80700000000000005</v>
      </c>
      <c r="H460" s="4">
        <f>74.2/1440</f>
        <v>5.1527777777777777E-2</v>
      </c>
      <c r="I460" s="5">
        <v>0.122</v>
      </c>
      <c r="J460" s="11" t="s">
        <v>839</v>
      </c>
    </row>
    <row r="461" spans="1:10" x14ac:dyDescent="0.25">
      <c r="A461">
        <f t="shared" si="37"/>
        <v>456</v>
      </c>
      <c r="B461" t="s">
        <v>1026</v>
      </c>
      <c r="C461" s="2">
        <v>0.45624999999999999</v>
      </c>
      <c r="D461" s="4">
        <f t="shared" si="39"/>
        <v>0.11458333333333331</v>
      </c>
      <c r="E461" s="6">
        <v>0.34166666666666667</v>
      </c>
      <c r="F461" s="5">
        <f t="shared" si="40"/>
        <v>0.74885844748858454</v>
      </c>
      <c r="G461" s="5">
        <v>0.82499999999999996</v>
      </c>
      <c r="H461" s="4">
        <f>67.3/1440</f>
        <v>4.673611111111111E-2</v>
      </c>
      <c r="I461" s="5">
        <v>0.113</v>
      </c>
      <c r="J461" s="11" t="s">
        <v>1021</v>
      </c>
    </row>
    <row r="462" spans="1:10" x14ac:dyDescent="0.25">
      <c r="A462">
        <f t="shared" si="37"/>
        <v>457</v>
      </c>
      <c r="B462" t="s">
        <v>1146</v>
      </c>
      <c r="C462" s="2">
        <v>0.46944444444444444</v>
      </c>
      <c r="D462" s="4">
        <f t="shared" si="39"/>
        <v>0.12777777777777777</v>
      </c>
      <c r="E462" s="6">
        <v>0.34166666666666667</v>
      </c>
      <c r="F462" s="5">
        <f t="shared" si="40"/>
        <v>0.72781065088757402</v>
      </c>
      <c r="G462" s="5">
        <v>0.81699999999999995</v>
      </c>
      <c r="H462" s="4">
        <f>63.7/1440</f>
        <v>4.4236111111111115E-2</v>
      </c>
      <c r="I462" s="5">
        <v>0.106</v>
      </c>
      <c r="J462" s="11" t="s">
        <v>1127</v>
      </c>
    </row>
    <row r="463" spans="1:10" x14ac:dyDescent="0.25">
      <c r="A463">
        <f t="shared" si="37"/>
        <v>458</v>
      </c>
      <c r="B463" t="s">
        <v>1485</v>
      </c>
      <c r="C463" s="2">
        <v>0.48055555555555557</v>
      </c>
      <c r="D463" s="4">
        <f t="shared" si="39"/>
        <v>0.1388888888888889</v>
      </c>
      <c r="E463" s="6">
        <v>0.34166666666666667</v>
      </c>
      <c r="F463" s="5">
        <f t="shared" si="40"/>
        <v>0.71098265895953761</v>
      </c>
      <c r="G463" s="5">
        <v>0.91700000000000004</v>
      </c>
      <c r="H463" s="4">
        <f>66.4/1440</f>
        <v>4.6111111111111117E-2</v>
      </c>
      <c r="I463" s="5">
        <v>0.124</v>
      </c>
      <c r="J463" s="11" t="s">
        <v>1480</v>
      </c>
    </row>
    <row r="464" spans="1:10" x14ac:dyDescent="0.25">
      <c r="A464">
        <f t="shared" si="37"/>
        <v>459</v>
      </c>
      <c r="B464" t="s">
        <v>1743</v>
      </c>
      <c r="C464" s="2">
        <v>0.48125000000000001</v>
      </c>
      <c r="D464" s="4">
        <f t="shared" si="39"/>
        <v>0.13958333333333334</v>
      </c>
      <c r="E464" s="6">
        <v>0.34166666666666667</v>
      </c>
      <c r="F464" s="5">
        <f t="shared" si="40"/>
        <v>0.70995670995671001</v>
      </c>
      <c r="G464" s="5">
        <v>0.77</v>
      </c>
      <c r="H464" s="4">
        <f>60.4/1440</f>
        <v>4.1944444444444444E-2</v>
      </c>
      <c r="I464" s="5">
        <v>9.4E-2</v>
      </c>
      <c r="J464" s="11" t="s">
        <v>1748</v>
      </c>
    </row>
    <row r="465" spans="1:10" x14ac:dyDescent="0.25">
      <c r="A465">
        <f t="shared" si="37"/>
        <v>460</v>
      </c>
      <c r="B465" t="s">
        <v>64</v>
      </c>
      <c r="C465" s="2">
        <v>0.4604166666666667</v>
      </c>
      <c r="D465" s="4">
        <f t="shared" si="39"/>
        <v>0.11944444444444446</v>
      </c>
      <c r="E465" s="6">
        <v>0.34097222222222223</v>
      </c>
      <c r="F465" s="5">
        <f t="shared" si="40"/>
        <v>0.74057315233785814</v>
      </c>
      <c r="G465" s="5">
        <v>0.84899999999999998</v>
      </c>
      <c r="H465" s="4">
        <f>72.7/1440</f>
        <v>5.0486111111111114E-2</v>
      </c>
      <c r="I465" s="5">
        <v>0.126</v>
      </c>
      <c r="J465" s="11" t="s">
        <v>123</v>
      </c>
    </row>
    <row r="466" spans="1:10" x14ac:dyDescent="0.25">
      <c r="A466">
        <f t="shared" si="37"/>
        <v>461</v>
      </c>
      <c r="B466" t="s">
        <v>459</v>
      </c>
      <c r="C466" s="2">
        <v>0.45</v>
      </c>
      <c r="D466" s="4">
        <f t="shared" si="39"/>
        <v>0.10902777777777778</v>
      </c>
      <c r="E466" s="6">
        <v>0.34097222222222223</v>
      </c>
      <c r="F466" s="5">
        <f t="shared" si="40"/>
        <v>0.75771604938271608</v>
      </c>
      <c r="G466" s="5">
        <v>0.85599999999999998</v>
      </c>
      <c r="H466" s="4">
        <f>59.9/1440</f>
        <v>4.1597222222222223E-2</v>
      </c>
      <c r="I466" s="5">
        <v>0.104</v>
      </c>
      <c r="J466" s="11" t="s">
        <v>460</v>
      </c>
    </row>
    <row r="467" spans="1:10" x14ac:dyDescent="0.25">
      <c r="A467">
        <f t="shared" ref="A467:A530" si="41">A466+1</f>
        <v>462</v>
      </c>
      <c r="B467" t="s">
        <v>717</v>
      </c>
      <c r="C467" s="2">
        <v>0.47361111111111109</v>
      </c>
      <c r="D467" s="4">
        <f t="shared" si="39"/>
        <v>0.13263888888888886</v>
      </c>
      <c r="E467" s="6">
        <v>0.34097222222222223</v>
      </c>
      <c r="F467" s="5">
        <f t="shared" si="40"/>
        <v>0.71994134897360706</v>
      </c>
      <c r="G467" s="5">
        <v>0.84399999999999997</v>
      </c>
      <c r="H467" s="4">
        <f>55.3/1440</f>
        <v>3.8402777777777779E-2</v>
      </c>
      <c r="I467" s="5">
        <v>9.5000000000000001E-2</v>
      </c>
      <c r="J467" s="11" t="s">
        <v>713</v>
      </c>
    </row>
    <row r="468" spans="1:10" x14ac:dyDescent="0.25">
      <c r="A468">
        <f t="shared" si="41"/>
        <v>463</v>
      </c>
      <c r="B468" t="s">
        <v>830</v>
      </c>
      <c r="C468" s="2">
        <v>0.44791666666666669</v>
      </c>
      <c r="D468" s="4">
        <f t="shared" si="39"/>
        <v>0.10694444444444445</v>
      </c>
      <c r="E468" s="6">
        <v>0.34097222222222223</v>
      </c>
      <c r="F468" s="5">
        <f t="shared" si="40"/>
        <v>0.76124031007751936</v>
      </c>
      <c r="G468" s="5">
        <v>0.82399999999999995</v>
      </c>
      <c r="H468" s="4">
        <f>73.4/1440</f>
        <v>5.0972222222222224E-2</v>
      </c>
      <c r="I468" s="5">
        <v>0.123</v>
      </c>
      <c r="J468" s="11" t="s">
        <v>839</v>
      </c>
    </row>
    <row r="469" spans="1:10" x14ac:dyDescent="0.25">
      <c r="A469">
        <f t="shared" si="41"/>
        <v>464</v>
      </c>
      <c r="B469" t="s">
        <v>1198</v>
      </c>
      <c r="C469" s="2">
        <v>0.49166666666666664</v>
      </c>
      <c r="D469" s="4">
        <f t="shared" si="39"/>
        <v>0.15069444444444441</v>
      </c>
      <c r="E469" s="6">
        <v>0.34097222222222223</v>
      </c>
      <c r="F469" s="5">
        <f t="shared" si="40"/>
        <v>0.69350282485875714</v>
      </c>
      <c r="G469" s="5">
        <v>0.80300000000000005</v>
      </c>
      <c r="H469" s="4">
        <f>57.9/1440</f>
        <v>4.0208333333333332E-2</v>
      </c>
      <c r="I469" s="5">
        <v>9.5000000000000001E-2</v>
      </c>
      <c r="J469" s="11" t="s">
        <v>1182</v>
      </c>
    </row>
    <row r="470" spans="1:10" x14ac:dyDescent="0.25">
      <c r="A470">
        <f t="shared" si="41"/>
        <v>465</v>
      </c>
      <c r="B470" t="s">
        <v>1248</v>
      </c>
      <c r="C470" s="2">
        <v>0.46388888888888891</v>
      </c>
      <c r="D470" s="4">
        <v>0.12291666666666667</v>
      </c>
      <c r="E470" s="6">
        <v>0.34097222222222223</v>
      </c>
      <c r="F470" s="5">
        <v>0.73502994011976053</v>
      </c>
      <c r="G470" s="5">
        <v>0.79300000000000004</v>
      </c>
      <c r="H470" s="4">
        <v>3.8124999999999999E-2</v>
      </c>
      <c r="I470" s="5">
        <v>8.7999999999999995E-2</v>
      </c>
      <c r="J470" s="11" t="s">
        <v>1242</v>
      </c>
    </row>
    <row r="471" spans="1:10" x14ac:dyDescent="0.25">
      <c r="A471">
        <f t="shared" si="41"/>
        <v>466</v>
      </c>
      <c r="B471" t="s">
        <v>1452</v>
      </c>
      <c r="C471" s="2">
        <v>0.46527777777777779</v>
      </c>
      <c r="D471" s="4">
        <f t="shared" ref="D471:D483" si="42">C471-E471</f>
        <v>0.12430555555555556</v>
      </c>
      <c r="E471" s="6">
        <v>0.34097222222222223</v>
      </c>
      <c r="F471" s="5">
        <f t="shared" ref="F471:F483" si="43">E471/C471</f>
        <v>0.73283582089552235</v>
      </c>
      <c r="G471" s="5">
        <v>0.755</v>
      </c>
      <c r="H471" s="4">
        <f>51.1/1440</f>
        <v>3.5486111111111114E-2</v>
      </c>
      <c r="I471" s="5">
        <v>7.9000000000000001E-2</v>
      </c>
      <c r="J471" s="11" t="s">
        <v>1440</v>
      </c>
    </row>
    <row r="472" spans="1:10" x14ac:dyDescent="0.25">
      <c r="A472">
        <f t="shared" si="41"/>
        <v>467</v>
      </c>
      <c r="B472" t="s">
        <v>1466</v>
      </c>
      <c r="C472" s="2">
        <v>0.4201388888888889</v>
      </c>
      <c r="D472" s="4">
        <f t="shared" si="42"/>
        <v>7.9166666666666663E-2</v>
      </c>
      <c r="E472" s="6">
        <v>0.34097222222222223</v>
      </c>
      <c r="F472" s="5">
        <f t="shared" si="43"/>
        <v>0.81157024793388433</v>
      </c>
      <c r="G472" s="5">
        <v>0.90300000000000002</v>
      </c>
      <c r="H472" s="4">
        <f>73.1/1440</f>
        <v>5.0763888888888886E-2</v>
      </c>
      <c r="I472" s="5">
        <v>0.13400000000000001</v>
      </c>
      <c r="J472" s="11" t="s">
        <v>1463</v>
      </c>
    </row>
    <row r="473" spans="1:10" x14ac:dyDescent="0.25">
      <c r="A473">
        <f t="shared" si="41"/>
        <v>468</v>
      </c>
      <c r="B473" t="s">
        <v>1537</v>
      </c>
      <c r="C473" s="2">
        <v>0.44861111111111113</v>
      </c>
      <c r="D473" s="4">
        <f t="shared" si="42"/>
        <v>0.1076388888888889</v>
      </c>
      <c r="E473" s="6">
        <v>0.34097222222222223</v>
      </c>
      <c r="F473" s="5">
        <f t="shared" si="43"/>
        <v>0.76006191950464397</v>
      </c>
      <c r="G473" s="5">
        <v>0.871</v>
      </c>
      <c r="H473" s="4">
        <f>73.3/1440</f>
        <v>5.0902777777777776E-2</v>
      </c>
      <c r="I473" s="5">
        <v>0.13</v>
      </c>
      <c r="J473" s="11" t="s">
        <v>1528</v>
      </c>
    </row>
    <row r="474" spans="1:10" x14ac:dyDescent="0.25">
      <c r="A474">
        <f t="shared" si="41"/>
        <v>469</v>
      </c>
      <c r="B474" t="s">
        <v>1631</v>
      </c>
      <c r="C474" s="2">
        <v>0.45</v>
      </c>
      <c r="D474" s="4">
        <f t="shared" si="42"/>
        <v>0.10902777777777778</v>
      </c>
      <c r="E474" s="6">
        <v>0.34097222222222223</v>
      </c>
      <c r="F474" s="5">
        <f t="shared" si="43"/>
        <v>0.75771604938271608</v>
      </c>
      <c r="G474" s="5">
        <v>0.84099999999999997</v>
      </c>
      <c r="H474" s="4">
        <f>69.9/1440</f>
        <v>4.854166666666667E-2</v>
      </c>
      <c r="I474" s="5">
        <v>0.12</v>
      </c>
      <c r="J474" s="11" t="s">
        <v>1624</v>
      </c>
    </row>
    <row r="475" spans="1:10" ht="13.15" customHeight="1" x14ac:dyDescent="0.25">
      <c r="A475">
        <f t="shared" si="41"/>
        <v>470</v>
      </c>
      <c r="B475" t="s">
        <v>1077</v>
      </c>
      <c r="C475" s="2">
        <v>0.45763888888888887</v>
      </c>
      <c r="D475" s="4">
        <f t="shared" si="42"/>
        <v>0.11736111111111108</v>
      </c>
      <c r="E475" s="6">
        <v>0.34027777777777779</v>
      </c>
      <c r="F475" s="5">
        <f t="shared" si="43"/>
        <v>0.74355083459787563</v>
      </c>
      <c r="G475" s="5">
        <v>0.78900000000000003</v>
      </c>
      <c r="H475" s="4">
        <f>58.2/1440</f>
        <v>4.041666666666667E-2</v>
      </c>
      <c r="I475" s="5">
        <v>9.4E-2</v>
      </c>
      <c r="J475" s="11" t="s">
        <v>1073</v>
      </c>
    </row>
    <row r="476" spans="1:10" ht="13.15" customHeight="1" x14ac:dyDescent="0.25">
      <c r="A476">
        <f t="shared" si="41"/>
        <v>471</v>
      </c>
      <c r="B476" t="s">
        <v>1166</v>
      </c>
      <c r="C476" s="2">
        <v>0.43680555555555556</v>
      </c>
      <c r="D476" s="4">
        <f t="shared" si="42"/>
        <v>9.6527777777777768E-2</v>
      </c>
      <c r="E476" s="6">
        <v>0.34027777777777779</v>
      </c>
      <c r="F476" s="5">
        <f t="shared" si="43"/>
        <v>0.77901430842607311</v>
      </c>
      <c r="G476" s="5">
        <v>0.84599999999999997</v>
      </c>
      <c r="H476" s="4">
        <f>71.5/1440</f>
        <v>4.9652777777777775E-2</v>
      </c>
      <c r="I476" s="5">
        <v>0.123</v>
      </c>
      <c r="J476" s="11" t="s">
        <v>1149</v>
      </c>
    </row>
    <row r="477" spans="1:10" ht="13.15" customHeight="1" x14ac:dyDescent="0.25">
      <c r="A477">
        <f t="shared" si="41"/>
        <v>472</v>
      </c>
      <c r="B477" t="s">
        <v>1404</v>
      </c>
      <c r="C477" s="2">
        <v>0.45208333333333334</v>
      </c>
      <c r="D477" s="4">
        <f t="shared" si="42"/>
        <v>0.11180555555555555</v>
      </c>
      <c r="E477" s="6">
        <v>0.34027777777777779</v>
      </c>
      <c r="F477" s="5">
        <f t="shared" si="43"/>
        <v>0.75268817204301075</v>
      </c>
      <c r="G477" s="5">
        <v>0.83199999999999996</v>
      </c>
      <c r="H477" s="4">
        <f>65/1440</f>
        <v>4.5138888888888888E-2</v>
      </c>
      <c r="I477" s="5">
        <v>0.11</v>
      </c>
      <c r="J477" s="11" t="s">
        <v>1400</v>
      </c>
    </row>
    <row r="478" spans="1:10" ht="13.15" customHeight="1" x14ac:dyDescent="0.25">
      <c r="A478">
        <f t="shared" si="41"/>
        <v>473</v>
      </c>
      <c r="B478" t="s">
        <v>1656</v>
      </c>
      <c r="C478" s="2">
        <v>0.44513888888888886</v>
      </c>
      <c r="D478" s="4">
        <f t="shared" si="42"/>
        <v>0.10486111111111107</v>
      </c>
      <c r="E478" s="6">
        <v>0.34027777777777779</v>
      </c>
      <c r="F478" s="5">
        <f t="shared" si="43"/>
        <v>0.76443057722308905</v>
      </c>
      <c r="G478" s="5">
        <v>0.84699999999999998</v>
      </c>
      <c r="H478" s="4">
        <f>75.2/1440</f>
        <v>5.2222222222222225E-2</v>
      </c>
      <c r="I478" s="5">
        <v>0.13</v>
      </c>
      <c r="J478" s="11" t="s">
        <v>1650</v>
      </c>
    </row>
    <row r="479" spans="1:10" ht="13.15" customHeight="1" x14ac:dyDescent="0.25">
      <c r="A479">
        <f t="shared" si="41"/>
        <v>474</v>
      </c>
      <c r="B479" t="s">
        <v>1677</v>
      </c>
      <c r="C479" s="2">
        <v>0.45208333333333334</v>
      </c>
      <c r="D479" s="4">
        <f t="shared" si="42"/>
        <v>0.11180555555555555</v>
      </c>
      <c r="E479" s="6">
        <v>0.34027777777777779</v>
      </c>
      <c r="F479" s="5">
        <f t="shared" si="43"/>
        <v>0.75268817204301075</v>
      </c>
      <c r="G479" s="5">
        <v>1</v>
      </c>
      <c r="H479" s="4">
        <f>124.4/1440</f>
        <v>8.638888888888889E-2</v>
      </c>
      <c r="I479" s="5">
        <v>0.254</v>
      </c>
      <c r="J479" s="11" t="s">
        <v>1672</v>
      </c>
    </row>
    <row r="480" spans="1:10" ht="13.15" customHeight="1" x14ac:dyDescent="0.25">
      <c r="A480">
        <f t="shared" si="41"/>
        <v>475</v>
      </c>
      <c r="B480" t="s">
        <v>133</v>
      </c>
      <c r="C480" s="2">
        <v>0.45902777777777781</v>
      </c>
      <c r="D480" s="4">
        <f t="shared" si="42"/>
        <v>0.11875000000000008</v>
      </c>
      <c r="E480" s="6">
        <v>0.34027777777777773</v>
      </c>
      <c r="F480" s="5">
        <f t="shared" si="43"/>
        <v>0.74130105900151266</v>
      </c>
      <c r="G480" s="5">
        <v>0.746</v>
      </c>
      <c r="H480" s="4">
        <f>88.3/1440</f>
        <v>6.131944444444444E-2</v>
      </c>
      <c r="I480" s="5">
        <v>0.13400000000000001</v>
      </c>
      <c r="J480" s="11" t="s">
        <v>134</v>
      </c>
    </row>
    <row r="481" spans="1:10" ht="13.15" customHeight="1" x14ac:dyDescent="0.25">
      <c r="A481">
        <f t="shared" si="41"/>
        <v>476</v>
      </c>
      <c r="B481" t="s">
        <v>237</v>
      </c>
      <c r="C481" s="2">
        <v>0.4680555555555555</v>
      </c>
      <c r="D481" s="4">
        <f t="shared" si="42"/>
        <v>0.12777777777777777</v>
      </c>
      <c r="E481" s="6">
        <v>0.34027777777777773</v>
      </c>
      <c r="F481" s="5">
        <f t="shared" si="43"/>
        <v>0.72700296735905046</v>
      </c>
      <c r="G481" s="5">
        <v>0.84399999999999997</v>
      </c>
      <c r="H481" s="4">
        <f>74.11/1440</f>
        <v>5.1465277777777776E-2</v>
      </c>
      <c r="I481" s="5">
        <v>0.127</v>
      </c>
      <c r="J481" s="11" t="s">
        <v>239</v>
      </c>
    </row>
    <row r="482" spans="1:10" ht="13.15" customHeight="1" x14ac:dyDescent="0.25">
      <c r="A482">
        <f t="shared" si="41"/>
        <v>477</v>
      </c>
      <c r="B482" t="s">
        <v>400</v>
      </c>
      <c r="C482" s="2">
        <v>0.47013888888888888</v>
      </c>
      <c r="D482" s="4">
        <f t="shared" si="42"/>
        <v>0.12986111111111115</v>
      </c>
      <c r="E482" s="6">
        <v>0.34027777777777773</v>
      </c>
      <c r="F482" s="5">
        <f t="shared" si="43"/>
        <v>0.72378138847858187</v>
      </c>
      <c r="G482" s="5">
        <v>0.85499999999999998</v>
      </c>
      <c r="H482" s="4">
        <f>78.6/1440</f>
        <v>5.4583333333333331E-2</v>
      </c>
      <c r="I482" s="5">
        <v>0.13700000000000001</v>
      </c>
      <c r="J482" s="11" t="s">
        <v>402</v>
      </c>
    </row>
    <row r="483" spans="1:10" ht="13.15" customHeight="1" x14ac:dyDescent="0.25">
      <c r="A483">
        <f t="shared" si="41"/>
        <v>478</v>
      </c>
      <c r="B483" t="s">
        <v>210</v>
      </c>
      <c r="C483" s="2">
        <v>0.46666666666666662</v>
      </c>
      <c r="D483" s="4">
        <f t="shared" si="42"/>
        <v>0.12708333333333327</v>
      </c>
      <c r="E483" s="6">
        <v>0.33958333333333335</v>
      </c>
      <c r="F483" s="5">
        <f t="shared" si="43"/>
        <v>0.72767857142857151</v>
      </c>
      <c r="G483" s="5">
        <v>0.79500000000000004</v>
      </c>
      <c r="H483" s="4">
        <f>75.4/1440</f>
        <v>5.2361111111111115E-2</v>
      </c>
      <c r="I483" s="5">
        <v>0.123</v>
      </c>
      <c r="J483" s="11" t="s">
        <v>211</v>
      </c>
    </row>
    <row r="484" spans="1:10" ht="13.15" customHeight="1" x14ac:dyDescent="0.25">
      <c r="A484">
        <f t="shared" si="41"/>
        <v>479</v>
      </c>
      <c r="B484" t="s">
        <v>328</v>
      </c>
      <c r="C484" s="2">
        <v>0.47847222222222219</v>
      </c>
      <c r="D484" s="4">
        <v>0.11805555555555555</v>
      </c>
      <c r="E484" s="6">
        <v>0.33958333333333335</v>
      </c>
      <c r="F484" s="5">
        <v>0.66666666666666674</v>
      </c>
      <c r="G484" s="5">
        <v>0.90300000000000002</v>
      </c>
      <c r="H484" s="4">
        <f>78.4/1440</f>
        <v>5.4444444444444448E-2</v>
      </c>
      <c r="I484" s="5">
        <v>0.14499999999999999</v>
      </c>
      <c r="J484" s="11" t="s">
        <v>329</v>
      </c>
    </row>
    <row r="485" spans="1:10" ht="13.15" customHeight="1" x14ac:dyDescent="0.25">
      <c r="A485">
        <f t="shared" si="41"/>
        <v>480</v>
      </c>
      <c r="B485" t="s">
        <v>778</v>
      </c>
      <c r="C485" s="2">
        <v>0.46805555555555556</v>
      </c>
      <c r="D485" s="4">
        <f t="shared" ref="D485:D502" si="44">C485-E485</f>
        <v>0.12847222222222221</v>
      </c>
      <c r="E485" s="6">
        <v>0.33958333333333335</v>
      </c>
      <c r="F485" s="5">
        <f t="shared" ref="F485:F502" si="45">E485/C485</f>
        <v>0.72551928783382791</v>
      </c>
      <c r="G485" s="5">
        <v>0.86</v>
      </c>
      <c r="H485" s="4">
        <f>67.6/1440</f>
        <v>4.6944444444444441E-2</v>
      </c>
      <c r="I485" s="5">
        <v>0.11899999999999999</v>
      </c>
      <c r="J485" s="11" t="s">
        <v>782</v>
      </c>
    </row>
    <row r="486" spans="1:10" ht="13.15" customHeight="1" x14ac:dyDescent="0.25">
      <c r="A486">
        <f t="shared" si="41"/>
        <v>481</v>
      </c>
      <c r="B486" t="s">
        <v>815</v>
      </c>
      <c r="C486" s="2">
        <v>0.46944444444444444</v>
      </c>
      <c r="D486" s="4">
        <f t="shared" si="44"/>
        <v>0.12986111111111109</v>
      </c>
      <c r="E486" s="6">
        <v>0.33958333333333335</v>
      </c>
      <c r="F486" s="5">
        <f t="shared" si="45"/>
        <v>0.72337278106508884</v>
      </c>
      <c r="G486" s="5">
        <v>0.83399999999999996</v>
      </c>
      <c r="H486" s="4">
        <f>62.1/1440</f>
        <v>4.3125000000000004E-2</v>
      </c>
      <c r="I486" s="5">
        <v>0.106</v>
      </c>
      <c r="J486" s="11" t="s">
        <v>814</v>
      </c>
    </row>
    <row r="487" spans="1:10" ht="13.15" customHeight="1" x14ac:dyDescent="0.25">
      <c r="A487">
        <f t="shared" si="41"/>
        <v>482</v>
      </c>
      <c r="B487" t="s">
        <v>1071</v>
      </c>
      <c r="C487" s="2">
        <v>0.41805555555555557</v>
      </c>
      <c r="D487" s="4">
        <f t="shared" si="44"/>
        <v>7.8472222222222221E-2</v>
      </c>
      <c r="E487" s="6">
        <v>0.33958333333333335</v>
      </c>
      <c r="F487" s="5">
        <f t="shared" si="45"/>
        <v>0.81229235880398676</v>
      </c>
      <c r="G487" s="5">
        <v>0.76500000000000001</v>
      </c>
      <c r="H487" s="4">
        <f>74.2/1440</f>
        <v>5.1527777777777777E-2</v>
      </c>
      <c r="I487" s="5">
        <v>0.11600000000000001</v>
      </c>
      <c r="J487" s="11" t="s">
        <v>1052</v>
      </c>
    </row>
    <row r="488" spans="1:10" ht="13.15" customHeight="1" x14ac:dyDescent="0.25">
      <c r="A488">
        <f t="shared" si="41"/>
        <v>483</v>
      </c>
      <c r="B488" t="s">
        <v>1464</v>
      </c>
      <c r="C488" s="2">
        <v>0.45</v>
      </c>
      <c r="D488" s="4">
        <f t="shared" si="44"/>
        <v>0.11041666666666666</v>
      </c>
      <c r="E488" s="6">
        <v>0.33958333333333335</v>
      </c>
      <c r="F488" s="5">
        <f t="shared" si="45"/>
        <v>0.75462962962962965</v>
      </c>
      <c r="G488" s="5">
        <v>0.83</v>
      </c>
      <c r="H488" s="4">
        <f>59.8/1440</f>
        <v>4.1527777777777775E-2</v>
      </c>
      <c r="I488" s="5">
        <v>0.10100000000000001</v>
      </c>
      <c r="J488" s="11" t="s">
        <v>1463</v>
      </c>
    </row>
    <row r="489" spans="1:10" ht="13.15" customHeight="1" x14ac:dyDescent="0.25">
      <c r="A489">
        <f t="shared" si="41"/>
        <v>484</v>
      </c>
      <c r="B489" t="s">
        <v>1691</v>
      </c>
      <c r="C489" s="2">
        <v>0.45416666666666666</v>
      </c>
      <c r="D489" s="4">
        <f t="shared" si="44"/>
        <v>0.11458333333333331</v>
      </c>
      <c r="E489" s="6">
        <v>0.33958333333333335</v>
      </c>
      <c r="F489" s="5">
        <f t="shared" si="45"/>
        <v>0.74770642201834869</v>
      </c>
      <c r="G489" s="5">
        <v>0.71499999999999997</v>
      </c>
      <c r="H489" s="4">
        <f>47.1/1440</f>
        <v>3.2708333333333332E-2</v>
      </c>
      <c r="I489" s="5">
        <v>6.9000000000000006E-2</v>
      </c>
      <c r="J489" s="11" t="s">
        <v>1685</v>
      </c>
    </row>
    <row r="490" spans="1:10" ht="13.15" customHeight="1" x14ac:dyDescent="0.25">
      <c r="A490">
        <f t="shared" si="41"/>
        <v>485</v>
      </c>
      <c r="B490" t="s">
        <v>836</v>
      </c>
      <c r="C490" s="2">
        <v>0.47361111111111109</v>
      </c>
      <c r="D490" s="4">
        <f t="shared" si="44"/>
        <v>0.13472222222222219</v>
      </c>
      <c r="E490" s="6">
        <v>0.33888888888888891</v>
      </c>
      <c r="F490" s="5">
        <f t="shared" si="45"/>
        <v>0.71554252199413493</v>
      </c>
      <c r="G490" s="5">
        <v>0.81899999999999995</v>
      </c>
      <c r="H490" s="4">
        <f>70.2/1440</f>
        <v>4.8750000000000002E-2</v>
      </c>
      <c r="I490" s="5">
        <v>0.11799999999999999</v>
      </c>
      <c r="J490" s="11" t="s">
        <v>840</v>
      </c>
    </row>
    <row r="491" spans="1:10" ht="13.15" customHeight="1" x14ac:dyDescent="0.25">
      <c r="A491">
        <f t="shared" si="41"/>
        <v>486</v>
      </c>
      <c r="B491" t="s">
        <v>1025</v>
      </c>
      <c r="C491" s="2">
        <v>0.4548611111111111</v>
      </c>
      <c r="D491" s="4">
        <f t="shared" si="44"/>
        <v>0.1159722222222222</v>
      </c>
      <c r="E491" s="6">
        <v>0.33888888888888891</v>
      </c>
      <c r="F491" s="5">
        <f t="shared" si="45"/>
        <v>0.74503816793893129</v>
      </c>
      <c r="G491" s="5">
        <v>0.82399999999999995</v>
      </c>
      <c r="H491" s="4">
        <f>63.3/1440</f>
        <v>4.3958333333333328E-2</v>
      </c>
      <c r="I491" s="5">
        <v>0.107</v>
      </c>
      <c r="J491" s="11" t="s">
        <v>1021</v>
      </c>
    </row>
    <row r="492" spans="1:10" ht="13.15" customHeight="1" x14ac:dyDescent="0.25">
      <c r="A492">
        <f t="shared" si="41"/>
        <v>487</v>
      </c>
      <c r="B492" t="s">
        <v>1082</v>
      </c>
      <c r="C492" s="2">
        <v>0.44305555555555554</v>
      </c>
      <c r="D492" s="4">
        <f t="shared" si="44"/>
        <v>0.10416666666666663</v>
      </c>
      <c r="E492" s="6">
        <v>0.33888888888888891</v>
      </c>
      <c r="F492" s="5">
        <f t="shared" si="45"/>
        <v>0.76489028213166155</v>
      </c>
      <c r="G492" s="5">
        <v>0.83099999999999996</v>
      </c>
      <c r="H492" s="4">
        <f>69.9/1440</f>
        <v>4.854166666666667E-2</v>
      </c>
      <c r="I492" s="5">
        <v>0.11899999999999999</v>
      </c>
      <c r="J492" s="11" t="s">
        <v>1074</v>
      </c>
    </row>
    <row r="493" spans="1:10" ht="13.15" customHeight="1" x14ac:dyDescent="0.25">
      <c r="A493">
        <f t="shared" si="41"/>
        <v>488</v>
      </c>
      <c r="B493" t="s">
        <v>1137</v>
      </c>
      <c r="C493" s="2">
        <v>0.46180555555555558</v>
      </c>
      <c r="D493" s="4">
        <f t="shared" si="44"/>
        <v>0.12291666666666667</v>
      </c>
      <c r="E493" s="6">
        <v>0.33888888888888891</v>
      </c>
      <c r="F493" s="5">
        <f t="shared" si="45"/>
        <v>0.7338345864661654</v>
      </c>
      <c r="G493" s="5">
        <v>0.78</v>
      </c>
      <c r="H493" s="4">
        <f>57.8/1440</f>
        <v>4.0138888888888884E-2</v>
      </c>
      <c r="I493" s="5">
        <v>9.1999999999999998E-2</v>
      </c>
      <c r="J493" s="11" t="s">
        <v>1125</v>
      </c>
    </row>
    <row r="494" spans="1:10" ht="13.15" customHeight="1" x14ac:dyDescent="0.25">
      <c r="A494">
        <f t="shared" si="41"/>
        <v>489</v>
      </c>
      <c r="B494" t="s">
        <v>1229</v>
      </c>
      <c r="C494" s="2">
        <v>0.48541666666666666</v>
      </c>
      <c r="D494" s="4">
        <f t="shared" si="44"/>
        <v>0.14652777777777776</v>
      </c>
      <c r="E494" s="6">
        <v>0.33888888888888891</v>
      </c>
      <c r="F494" s="5">
        <f t="shared" si="45"/>
        <v>0.69814020028612311</v>
      </c>
      <c r="G494" s="5">
        <v>0.85699999999999998</v>
      </c>
      <c r="H494" s="4">
        <f>63.7/1440</f>
        <v>4.4236111111111115E-2</v>
      </c>
      <c r="I494" s="5">
        <v>0.112</v>
      </c>
      <c r="J494" s="11" t="s">
        <v>1225</v>
      </c>
    </row>
    <row r="495" spans="1:10" ht="13.15" customHeight="1" x14ac:dyDescent="0.25">
      <c r="A495">
        <f t="shared" si="41"/>
        <v>490</v>
      </c>
      <c r="B495" t="s">
        <v>1295</v>
      </c>
      <c r="C495" s="2">
        <v>0.44444444444444442</v>
      </c>
      <c r="D495" s="4">
        <f t="shared" si="44"/>
        <v>0.10555555555555551</v>
      </c>
      <c r="E495" s="6">
        <v>0.33888888888888891</v>
      </c>
      <c r="F495" s="5">
        <f t="shared" si="45"/>
        <v>0.76250000000000007</v>
      </c>
      <c r="G495" s="5">
        <v>0.83899999999999997</v>
      </c>
      <c r="H495" s="4">
        <f>68.5/1440</f>
        <v>4.7569444444444442E-2</v>
      </c>
      <c r="I495" s="5">
        <v>0.11799999999999999</v>
      </c>
      <c r="J495" s="11" t="s">
        <v>1288</v>
      </c>
    </row>
    <row r="496" spans="1:10" ht="13.15" customHeight="1" x14ac:dyDescent="0.25">
      <c r="A496">
        <f t="shared" si="41"/>
        <v>491</v>
      </c>
      <c r="B496" t="s">
        <v>1652</v>
      </c>
      <c r="C496" s="2">
        <v>0.41805555555555557</v>
      </c>
      <c r="D496" s="4">
        <f t="shared" si="44"/>
        <v>7.9166666666666663E-2</v>
      </c>
      <c r="E496" s="6">
        <v>0.33888888888888891</v>
      </c>
      <c r="F496" s="5">
        <f t="shared" si="45"/>
        <v>0.81063122923588038</v>
      </c>
      <c r="G496" s="5">
        <v>0.78700000000000003</v>
      </c>
      <c r="H496" s="4">
        <f>59.2/1440</f>
        <v>4.1111111111111112E-2</v>
      </c>
      <c r="I496" s="5">
        <v>9.5000000000000001E-2</v>
      </c>
      <c r="J496" s="11" t="s">
        <v>1649</v>
      </c>
    </row>
    <row r="497" spans="1:10" ht="13.15" customHeight="1" x14ac:dyDescent="0.25">
      <c r="A497">
        <f t="shared" si="41"/>
        <v>492</v>
      </c>
      <c r="B497" t="s">
        <v>61</v>
      </c>
      <c r="C497" s="2">
        <v>0.45069444444444445</v>
      </c>
      <c r="D497" s="4">
        <f t="shared" si="44"/>
        <v>0.1118055555555556</v>
      </c>
      <c r="E497" s="6">
        <v>0.33888888888888885</v>
      </c>
      <c r="F497" s="5">
        <f t="shared" si="45"/>
        <v>0.75192604006163322</v>
      </c>
      <c r="G497" s="5">
        <v>0.87</v>
      </c>
      <c r="H497" s="4">
        <f>73.3/1440</f>
        <v>5.0902777777777776E-2</v>
      </c>
      <c r="I497" s="5">
        <v>0.13100000000000001</v>
      </c>
      <c r="J497" s="11" t="s">
        <v>125</v>
      </c>
    </row>
    <row r="498" spans="1:10" ht="13.15" customHeight="1" x14ac:dyDescent="0.25">
      <c r="A498">
        <f t="shared" si="41"/>
        <v>493</v>
      </c>
      <c r="B498" t="s">
        <v>182</v>
      </c>
      <c r="C498" s="2">
        <v>0.46111111111111108</v>
      </c>
      <c r="D498" s="4">
        <f t="shared" si="44"/>
        <v>0.12222222222222223</v>
      </c>
      <c r="E498" s="6">
        <v>0.33888888888888885</v>
      </c>
      <c r="F498" s="5">
        <f t="shared" si="45"/>
        <v>0.7349397590361445</v>
      </c>
      <c r="G498" s="5">
        <v>0.85399999999999998</v>
      </c>
      <c r="H498" s="4">
        <f>72/1440</f>
        <v>0.05</v>
      </c>
      <c r="I498" s="5">
        <v>0.126</v>
      </c>
      <c r="J498" s="11" t="s">
        <v>183</v>
      </c>
    </row>
    <row r="499" spans="1:10" ht="13.15" customHeight="1" x14ac:dyDescent="0.25">
      <c r="A499">
        <f t="shared" si="41"/>
        <v>494</v>
      </c>
      <c r="B499" t="s">
        <v>512</v>
      </c>
      <c r="C499" s="2">
        <v>0.50486111111111109</v>
      </c>
      <c r="D499" s="4">
        <f t="shared" si="44"/>
        <v>0.16597222222222224</v>
      </c>
      <c r="E499" s="6">
        <v>0.33888888888888885</v>
      </c>
      <c r="F499" s="5">
        <f t="shared" si="45"/>
        <v>0.67125171939477302</v>
      </c>
      <c r="G499" s="5">
        <v>0.91200000000000003</v>
      </c>
      <c r="H499" s="4">
        <f>74/1440</f>
        <v>5.1388888888888887E-2</v>
      </c>
      <c r="I499" s="5">
        <v>0.13800000000000001</v>
      </c>
      <c r="J499" s="11" t="s">
        <v>519</v>
      </c>
    </row>
    <row r="500" spans="1:10" ht="13.15" customHeight="1" x14ac:dyDescent="0.25">
      <c r="A500">
        <f t="shared" si="41"/>
        <v>495</v>
      </c>
      <c r="B500" t="s">
        <v>66</v>
      </c>
      <c r="C500" s="2">
        <v>0.47847222222222219</v>
      </c>
      <c r="D500" s="4">
        <f t="shared" si="44"/>
        <v>0.14027777777777772</v>
      </c>
      <c r="E500" s="6">
        <v>0.33819444444444446</v>
      </c>
      <c r="F500" s="5">
        <f t="shared" si="45"/>
        <v>0.70682148040638615</v>
      </c>
      <c r="G500" s="5">
        <v>0.80100000000000005</v>
      </c>
      <c r="H500" s="4">
        <f>78/1440</f>
        <v>5.4166666666666669E-2</v>
      </c>
      <c r="I500" s="5">
        <v>0.128</v>
      </c>
      <c r="J500" s="11" t="s">
        <v>130</v>
      </c>
    </row>
    <row r="501" spans="1:10" ht="13.15" customHeight="1" x14ac:dyDescent="0.25">
      <c r="A501">
        <f t="shared" si="41"/>
        <v>496</v>
      </c>
      <c r="B501" t="s">
        <v>707</v>
      </c>
      <c r="C501" s="2">
        <v>0.47013888888888888</v>
      </c>
      <c r="D501" s="4">
        <f t="shared" si="44"/>
        <v>0.13194444444444442</v>
      </c>
      <c r="E501" s="6">
        <v>0.33819444444444446</v>
      </c>
      <c r="F501" s="5">
        <f t="shared" si="45"/>
        <v>0.71935007385524374</v>
      </c>
      <c r="G501" s="5">
        <v>0.81100000000000005</v>
      </c>
      <c r="H501" s="4">
        <f>65/1440</f>
        <v>4.5138888888888888E-2</v>
      </c>
      <c r="I501" s="5">
        <v>0.109</v>
      </c>
      <c r="J501" s="11" t="s">
        <v>712</v>
      </c>
    </row>
    <row r="502" spans="1:10" ht="13.15" customHeight="1" x14ac:dyDescent="0.25">
      <c r="A502">
        <f t="shared" si="41"/>
        <v>497</v>
      </c>
      <c r="B502" t="s">
        <v>1112</v>
      </c>
      <c r="C502" s="2">
        <v>0.46180555555555558</v>
      </c>
      <c r="D502" s="4">
        <f t="shared" si="44"/>
        <v>0.12361111111111112</v>
      </c>
      <c r="E502" s="6">
        <v>0.33819444444444446</v>
      </c>
      <c r="F502" s="5">
        <f t="shared" si="45"/>
        <v>0.73233082706766917</v>
      </c>
      <c r="G502" s="5">
        <v>0.82599999999999996</v>
      </c>
      <c r="H502" s="4">
        <f>67/1440</f>
        <v>4.6527777777777779E-2</v>
      </c>
      <c r="I502" s="5">
        <v>0.113</v>
      </c>
      <c r="J502" s="11" t="s">
        <v>1100</v>
      </c>
    </row>
    <row r="503" spans="1:10" ht="13.15" customHeight="1" x14ac:dyDescent="0.25">
      <c r="A503">
        <f t="shared" si="41"/>
        <v>498</v>
      </c>
      <c r="B503" t="s">
        <v>1253</v>
      </c>
      <c r="C503" s="2">
        <v>0.45</v>
      </c>
      <c r="D503" s="4">
        <v>0.11180555555555555</v>
      </c>
      <c r="E503" s="6">
        <v>0.33819444444444446</v>
      </c>
      <c r="F503" s="5">
        <v>0.75154320987654322</v>
      </c>
      <c r="G503" s="5">
        <v>0.85699999999999998</v>
      </c>
      <c r="H503" s="4">
        <v>4.8750000000000002E-2</v>
      </c>
      <c r="I503" s="5">
        <v>0.124</v>
      </c>
      <c r="J503" s="11" t="s">
        <v>1243</v>
      </c>
    </row>
    <row r="504" spans="1:10" ht="13.15" customHeight="1" x14ac:dyDescent="0.25">
      <c r="A504">
        <f t="shared" si="41"/>
        <v>499</v>
      </c>
      <c r="B504" t="s">
        <v>1271</v>
      </c>
      <c r="C504" s="2">
        <v>0.43680555555555556</v>
      </c>
      <c r="D504" s="4">
        <f t="shared" ref="D504:D523" si="46">C504-E504</f>
        <v>9.8611111111111094E-2</v>
      </c>
      <c r="E504" s="6">
        <v>0.33819444444444446</v>
      </c>
      <c r="F504" s="5">
        <f t="shared" ref="F504:F537" si="47">E504/C504</f>
        <v>0.77424483306836256</v>
      </c>
      <c r="G504" s="5">
        <v>0.84799999999999998</v>
      </c>
      <c r="H504" s="4">
        <f>73/1440</f>
        <v>5.0694444444444445E-2</v>
      </c>
      <c r="I504" s="5">
        <v>0.127</v>
      </c>
      <c r="J504" s="11" t="s">
        <v>1266</v>
      </c>
    </row>
    <row r="505" spans="1:10" ht="13.15" customHeight="1" x14ac:dyDescent="0.25">
      <c r="A505">
        <f t="shared" si="41"/>
        <v>500</v>
      </c>
      <c r="B505" t="s">
        <v>1705</v>
      </c>
      <c r="C505" s="2">
        <v>0.44027777777777777</v>
      </c>
      <c r="D505" s="4">
        <f t="shared" si="46"/>
        <v>0.1020833333333333</v>
      </c>
      <c r="E505" s="6">
        <v>0.33819444444444446</v>
      </c>
      <c r="F505" s="5">
        <f t="shared" si="47"/>
        <v>0.76813880126182976</v>
      </c>
      <c r="G505" s="5">
        <v>0.86199999999999999</v>
      </c>
      <c r="H505" s="4">
        <f>75.1/1440</f>
        <v>5.2152777777777777E-2</v>
      </c>
      <c r="I505" s="5">
        <v>0.13300000000000001</v>
      </c>
      <c r="J505" s="11" t="s">
        <v>1696</v>
      </c>
    </row>
    <row r="506" spans="1:10" ht="13.15" customHeight="1" x14ac:dyDescent="0.25">
      <c r="A506">
        <f t="shared" si="41"/>
        <v>501</v>
      </c>
      <c r="B506" t="s">
        <v>1751</v>
      </c>
      <c r="C506" s="2">
        <v>0.4513888888888889</v>
      </c>
      <c r="D506" s="4">
        <f t="shared" si="46"/>
        <v>0.11319444444444443</v>
      </c>
      <c r="E506" s="6">
        <v>0.33819444444444446</v>
      </c>
      <c r="F506" s="5">
        <f t="shared" si="47"/>
        <v>0.74923076923076926</v>
      </c>
      <c r="G506" s="5">
        <v>0.82699999999999996</v>
      </c>
      <c r="H506" s="4">
        <f>50.9/1440</f>
        <v>3.5347222222222224E-2</v>
      </c>
      <c r="I506" s="5">
        <v>8.5999999999999993E-2</v>
      </c>
      <c r="J506" s="11" t="s">
        <v>1752</v>
      </c>
    </row>
    <row r="507" spans="1:10" ht="13.15" customHeight="1" x14ac:dyDescent="0.25">
      <c r="A507">
        <f t="shared" si="41"/>
        <v>502</v>
      </c>
      <c r="B507" t="s">
        <v>843</v>
      </c>
      <c r="C507" s="2">
        <v>0.48749999999999999</v>
      </c>
      <c r="D507" s="4">
        <f t="shared" si="46"/>
        <v>0.14999999999999997</v>
      </c>
      <c r="E507" s="6">
        <v>0.33750000000000002</v>
      </c>
      <c r="F507" s="5">
        <f t="shared" si="47"/>
        <v>0.6923076923076924</v>
      </c>
      <c r="G507" s="5">
        <v>0.83399999999999996</v>
      </c>
      <c r="H507" s="4">
        <f>67.2/1440</f>
        <v>4.6666666666666669E-2</v>
      </c>
      <c r="I507" s="5">
        <v>0.115</v>
      </c>
      <c r="J507" s="11" t="s">
        <v>848</v>
      </c>
    </row>
    <row r="508" spans="1:10" ht="13.15" customHeight="1" x14ac:dyDescent="0.25">
      <c r="A508">
        <f t="shared" si="41"/>
        <v>503</v>
      </c>
      <c r="B508" t="s">
        <v>898</v>
      </c>
      <c r="C508" s="2">
        <v>0.44236111111111109</v>
      </c>
      <c r="D508" s="4">
        <f t="shared" si="46"/>
        <v>0.10486111111111107</v>
      </c>
      <c r="E508" s="6">
        <v>0.33750000000000002</v>
      </c>
      <c r="F508" s="5">
        <f t="shared" si="47"/>
        <v>0.76295133437990592</v>
      </c>
      <c r="G508" s="5">
        <v>0.83499999999999996</v>
      </c>
      <c r="H508" s="4">
        <f>64.5/1440</f>
        <v>4.4791666666666667E-2</v>
      </c>
      <c r="I508" s="5">
        <v>0.111</v>
      </c>
      <c r="J508" s="11" t="s">
        <v>897</v>
      </c>
    </row>
    <row r="509" spans="1:10" ht="13.15" customHeight="1" x14ac:dyDescent="0.25">
      <c r="A509">
        <f t="shared" si="41"/>
        <v>504</v>
      </c>
      <c r="B509" t="s">
        <v>899</v>
      </c>
      <c r="C509" s="2">
        <v>0.49166666666666664</v>
      </c>
      <c r="D509" s="4">
        <f t="shared" si="46"/>
        <v>0.15416666666666662</v>
      </c>
      <c r="E509" s="6">
        <v>0.33750000000000002</v>
      </c>
      <c r="F509" s="5">
        <f t="shared" si="47"/>
        <v>0.68644067796610175</v>
      </c>
      <c r="G509" s="5">
        <v>0.79700000000000004</v>
      </c>
      <c r="H509" s="4">
        <f>67/1440</f>
        <v>4.6527777777777779E-2</v>
      </c>
      <c r="I509" s="5">
        <v>9.8000000000000004E-2</v>
      </c>
      <c r="J509" s="11" t="s">
        <v>897</v>
      </c>
    </row>
    <row r="510" spans="1:10" ht="13.15" customHeight="1" x14ac:dyDescent="0.25">
      <c r="A510">
        <f t="shared" si="41"/>
        <v>505</v>
      </c>
      <c r="B510" t="s">
        <v>1160</v>
      </c>
      <c r="C510" s="2">
        <v>0.44444444444444442</v>
      </c>
      <c r="D510" s="4">
        <f t="shared" si="46"/>
        <v>0.1069444444444444</v>
      </c>
      <c r="E510" s="6">
        <v>0.33750000000000002</v>
      </c>
      <c r="F510" s="5">
        <f t="shared" si="47"/>
        <v>0.75937500000000013</v>
      </c>
      <c r="G510" s="5">
        <v>0.80100000000000005</v>
      </c>
      <c r="H510" s="4">
        <f>61.1/1440</f>
        <v>4.2430555555555555E-2</v>
      </c>
      <c r="I510" s="5">
        <v>0.10100000000000001</v>
      </c>
      <c r="J510" s="11" t="s">
        <v>1148</v>
      </c>
    </row>
    <row r="511" spans="1:10" ht="13.15" customHeight="1" x14ac:dyDescent="0.25">
      <c r="A511">
        <f t="shared" si="41"/>
        <v>506</v>
      </c>
      <c r="B511" t="s">
        <v>1458</v>
      </c>
      <c r="C511" s="2">
        <v>0.44166666666666665</v>
      </c>
      <c r="D511" s="4">
        <f t="shared" si="46"/>
        <v>0.10416666666666663</v>
      </c>
      <c r="E511" s="6">
        <v>0.33750000000000002</v>
      </c>
      <c r="F511" s="5">
        <f t="shared" si="47"/>
        <v>0.76415094339622647</v>
      </c>
      <c r="G511" s="5">
        <v>0.85199999999999998</v>
      </c>
      <c r="H511" s="4">
        <f>64.9/1440</f>
        <v>4.5069444444444447E-2</v>
      </c>
      <c r="I511" s="5">
        <v>0.114</v>
      </c>
      <c r="J511" s="11" t="s">
        <v>1442</v>
      </c>
    </row>
    <row r="512" spans="1:10" ht="13.15" customHeight="1" x14ac:dyDescent="0.25">
      <c r="A512">
        <f t="shared" si="41"/>
        <v>507</v>
      </c>
      <c r="B512" t="s">
        <v>1525</v>
      </c>
      <c r="C512" s="2">
        <v>0.40763888888888888</v>
      </c>
      <c r="D512" s="4">
        <f t="shared" si="46"/>
        <v>7.0138888888888862E-2</v>
      </c>
      <c r="E512" s="6">
        <v>0.33750000000000002</v>
      </c>
      <c r="F512" s="5">
        <f t="shared" si="47"/>
        <v>0.82793867120954012</v>
      </c>
      <c r="G512" s="5">
        <v>0.78200000000000003</v>
      </c>
      <c r="H512" s="4">
        <f>61.4/1440</f>
        <v>4.2638888888888886E-2</v>
      </c>
      <c r="I512" s="5">
        <v>9.9000000000000005E-2</v>
      </c>
      <c r="J512" s="11" t="s">
        <v>1521</v>
      </c>
    </row>
    <row r="513" spans="1:10" ht="13.15" customHeight="1" x14ac:dyDescent="0.25">
      <c r="A513">
        <f t="shared" si="41"/>
        <v>508</v>
      </c>
      <c r="B513" t="s">
        <v>175</v>
      </c>
      <c r="C513" s="2">
        <v>0.46527777777777773</v>
      </c>
      <c r="D513" s="4">
        <f t="shared" si="46"/>
        <v>0.12777777777777777</v>
      </c>
      <c r="E513" s="6">
        <v>0.33749999999999997</v>
      </c>
      <c r="F513" s="5">
        <f t="shared" si="47"/>
        <v>0.72537313432835826</v>
      </c>
      <c r="G513" s="5">
        <v>0.84299999999999997</v>
      </c>
      <c r="H513" s="4">
        <f>53.5/1440</f>
        <v>3.7152777777777778E-2</v>
      </c>
      <c r="I513" s="5">
        <v>9.2999999999999999E-2</v>
      </c>
      <c r="J513" s="11" t="s">
        <v>176</v>
      </c>
    </row>
    <row r="514" spans="1:10" ht="13.15" customHeight="1" x14ac:dyDescent="0.25">
      <c r="A514">
        <f t="shared" si="41"/>
        <v>509</v>
      </c>
      <c r="B514" t="s">
        <v>451</v>
      </c>
      <c r="C514" s="2">
        <v>0.49027777777777781</v>
      </c>
      <c r="D514" s="4">
        <f t="shared" si="46"/>
        <v>0.15277777777777785</v>
      </c>
      <c r="E514" s="6">
        <v>0.33749999999999997</v>
      </c>
      <c r="F514" s="5">
        <f t="shared" si="47"/>
        <v>0.68838526912181286</v>
      </c>
      <c r="G514" s="5">
        <v>0.72099999999999997</v>
      </c>
      <c r="H514" s="4">
        <f>75.8/1440</f>
        <v>5.2638888888888888E-2</v>
      </c>
      <c r="I514" s="5">
        <v>0.112</v>
      </c>
      <c r="J514" s="11" t="s">
        <v>454</v>
      </c>
    </row>
    <row r="515" spans="1:10" ht="13.15" customHeight="1" x14ac:dyDescent="0.25">
      <c r="A515">
        <f t="shared" si="41"/>
        <v>510</v>
      </c>
      <c r="B515" t="s">
        <v>588</v>
      </c>
      <c r="C515" s="2">
        <v>0.4548611111111111</v>
      </c>
      <c r="D515" s="4">
        <f t="shared" si="46"/>
        <v>0.11736111111111114</v>
      </c>
      <c r="E515" s="6">
        <v>0.33749999999999997</v>
      </c>
      <c r="F515" s="5">
        <f t="shared" si="47"/>
        <v>0.74198473282442745</v>
      </c>
      <c r="G515" s="5">
        <v>0.80900000000000005</v>
      </c>
      <c r="H515" s="4">
        <f>69.72/1440</f>
        <v>4.8416666666666663E-2</v>
      </c>
      <c r="I515" s="5">
        <v>0.11600000000000001</v>
      </c>
      <c r="J515" s="11" t="s">
        <v>594</v>
      </c>
    </row>
    <row r="516" spans="1:10" ht="13.15" customHeight="1" x14ac:dyDescent="0.25">
      <c r="A516">
        <f t="shared" si="41"/>
        <v>511</v>
      </c>
      <c r="B516" t="s">
        <v>233</v>
      </c>
      <c r="C516" s="2">
        <v>0.45902777777777781</v>
      </c>
      <c r="D516" s="4">
        <f t="shared" si="46"/>
        <v>0.12222222222222223</v>
      </c>
      <c r="E516" s="6">
        <v>0.33680555555555558</v>
      </c>
      <c r="F516" s="5">
        <f t="shared" si="47"/>
        <v>0.73373676248108921</v>
      </c>
      <c r="G516" s="5">
        <v>0.77</v>
      </c>
      <c r="H516" s="4">
        <f>78.9/1440</f>
        <v>5.4791666666666669E-2</v>
      </c>
      <c r="I516" s="5">
        <v>0.125</v>
      </c>
      <c r="J516" s="11" t="s">
        <v>234</v>
      </c>
    </row>
    <row r="517" spans="1:10" ht="13.15" customHeight="1" x14ac:dyDescent="0.25">
      <c r="A517">
        <f t="shared" si="41"/>
        <v>512</v>
      </c>
      <c r="B517" t="s">
        <v>246</v>
      </c>
      <c r="C517" s="2">
        <v>0.49652777777777773</v>
      </c>
      <c r="D517" s="4">
        <f t="shared" si="46"/>
        <v>0.15972222222222215</v>
      </c>
      <c r="E517" s="6">
        <v>0.33680555555555558</v>
      </c>
      <c r="F517" s="5">
        <f t="shared" si="47"/>
        <v>0.67832167832167845</v>
      </c>
      <c r="G517" s="5">
        <v>0.78600000000000003</v>
      </c>
      <c r="H517" s="4">
        <f>81.5/1440</f>
        <v>5.6597222222222222E-2</v>
      </c>
      <c r="I517" s="5">
        <v>0.13200000000000001</v>
      </c>
      <c r="J517" s="11" t="s">
        <v>247</v>
      </c>
    </row>
    <row r="518" spans="1:10" ht="13.15" customHeight="1" x14ac:dyDescent="0.25">
      <c r="A518">
        <f t="shared" si="41"/>
        <v>513</v>
      </c>
      <c r="B518" t="s">
        <v>256</v>
      </c>
      <c r="C518" s="2">
        <v>0.4597222222222222</v>
      </c>
      <c r="D518" s="4">
        <f t="shared" si="46"/>
        <v>0.12291666666666662</v>
      </c>
      <c r="E518" s="6">
        <v>0.33680555555555558</v>
      </c>
      <c r="F518" s="5">
        <f t="shared" si="47"/>
        <v>0.73262839879154085</v>
      </c>
      <c r="G518" s="5">
        <v>0.94499999999999995</v>
      </c>
      <c r="H518" s="4">
        <f>83/1440</f>
        <v>5.7638888888888892E-2</v>
      </c>
      <c r="I518" s="5">
        <v>0.16200000000000001</v>
      </c>
      <c r="J518" s="11" t="s">
        <v>257</v>
      </c>
    </row>
    <row r="519" spans="1:10" ht="13.15" customHeight="1" x14ac:dyDescent="0.25">
      <c r="A519">
        <f t="shared" si="41"/>
        <v>514</v>
      </c>
      <c r="B519" t="s">
        <v>302</v>
      </c>
      <c r="C519" s="2">
        <v>0.50277777777777777</v>
      </c>
      <c r="D519" s="4">
        <f t="shared" si="46"/>
        <v>0.16597222222222219</v>
      </c>
      <c r="E519" s="6">
        <v>0.33680555555555558</v>
      </c>
      <c r="F519" s="5">
        <f t="shared" si="47"/>
        <v>0.66988950276243098</v>
      </c>
      <c r="G519" s="5">
        <v>0.878</v>
      </c>
      <c r="H519" s="4">
        <f>84.8/1440</f>
        <v>5.8888888888888886E-2</v>
      </c>
      <c r="I519" s="5">
        <v>0.153</v>
      </c>
      <c r="J519" s="11" t="s">
        <v>303</v>
      </c>
    </row>
    <row r="520" spans="1:10" ht="13.15" customHeight="1" x14ac:dyDescent="0.25">
      <c r="A520">
        <f t="shared" si="41"/>
        <v>515</v>
      </c>
      <c r="B520" t="s">
        <v>1135</v>
      </c>
      <c r="C520" s="2">
        <v>0.45069444444444445</v>
      </c>
      <c r="D520" s="4">
        <f t="shared" si="46"/>
        <v>0.11388888888888887</v>
      </c>
      <c r="E520" s="6">
        <v>0.33680555555555558</v>
      </c>
      <c r="F520" s="5">
        <f t="shared" si="47"/>
        <v>0.74730354391371345</v>
      </c>
      <c r="G520" s="5">
        <v>0.82</v>
      </c>
      <c r="H520" s="4">
        <f>67.9/1440</f>
        <v>4.715277777777778E-2</v>
      </c>
      <c r="I520" s="5">
        <v>0.115</v>
      </c>
      <c r="J520" s="11" t="s">
        <v>1125</v>
      </c>
    </row>
    <row r="521" spans="1:10" ht="13.15" customHeight="1" x14ac:dyDescent="0.25">
      <c r="A521">
        <f t="shared" si="41"/>
        <v>516</v>
      </c>
      <c r="B521" t="s">
        <v>1279</v>
      </c>
      <c r="C521" s="2">
        <v>0.44583333333333336</v>
      </c>
      <c r="D521" s="4">
        <f t="shared" si="46"/>
        <v>0.10902777777777778</v>
      </c>
      <c r="E521" s="6">
        <v>0.33680555555555558</v>
      </c>
      <c r="F521" s="5">
        <f t="shared" si="47"/>
        <v>0.75545171339563866</v>
      </c>
      <c r="G521" s="5">
        <v>0.83399999999999996</v>
      </c>
      <c r="H521" s="4">
        <f>71.3/1440</f>
        <v>4.9513888888888885E-2</v>
      </c>
      <c r="I521" s="5">
        <v>0.123</v>
      </c>
      <c r="J521" s="11" t="s">
        <v>1268</v>
      </c>
    </row>
    <row r="522" spans="1:10" ht="13.15" customHeight="1" x14ac:dyDescent="0.25">
      <c r="A522">
        <f t="shared" si="41"/>
        <v>517</v>
      </c>
      <c r="B522" t="s">
        <v>1323</v>
      </c>
      <c r="C522" s="2">
        <v>0.46666666666666667</v>
      </c>
      <c r="D522" s="4">
        <f t="shared" si="46"/>
        <v>0.12986111111111109</v>
      </c>
      <c r="E522" s="6">
        <v>0.33680555555555558</v>
      </c>
      <c r="F522" s="5">
        <f t="shared" si="47"/>
        <v>0.72172619047619047</v>
      </c>
      <c r="G522" s="5">
        <v>0.84199999999999997</v>
      </c>
      <c r="H522" s="4">
        <f>87.2/1440</f>
        <v>6.0555555555555557E-2</v>
      </c>
      <c r="I522" s="5">
        <v>0.151</v>
      </c>
      <c r="J522" s="11" t="s">
        <v>1293</v>
      </c>
    </row>
    <row r="523" spans="1:10" ht="13.15" customHeight="1" x14ac:dyDescent="0.25">
      <c r="A523">
        <f t="shared" si="41"/>
        <v>518</v>
      </c>
      <c r="B523" t="s">
        <v>1402</v>
      </c>
      <c r="C523" s="2">
        <v>0.45</v>
      </c>
      <c r="D523" s="4">
        <f t="shared" si="46"/>
        <v>0.11319444444444443</v>
      </c>
      <c r="E523" s="6">
        <v>0.33680555555555558</v>
      </c>
      <c r="F523" s="5">
        <f t="shared" si="47"/>
        <v>0.74845679012345678</v>
      </c>
      <c r="G523" s="5">
        <v>0.80500000000000005</v>
      </c>
      <c r="H523" s="4">
        <f>62.9/1440</f>
        <v>4.3680555555555556E-2</v>
      </c>
      <c r="I523" s="5">
        <v>0.104</v>
      </c>
      <c r="J523" s="11" t="s">
        <v>1400</v>
      </c>
    </row>
    <row r="524" spans="1:10" ht="13.15" customHeight="1" x14ac:dyDescent="0.25">
      <c r="A524">
        <f t="shared" si="41"/>
        <v>519</v>
      </c>
      <c r="B524" t="s">
        <v>1426</v>
      </c>
      <c r="C524" s="2">
        <v>0.46111111111111114</v>
      </c>
      <c r="D524" s="4">
        <v>0.10347222222222222</v>
      </c>
      <c r="E524" s="6">
        <v>0.33680555555555558</v>
      </c>
      <c r="F524" s="5">
        <f t="shared" si="47"/>
        <v>0.73042168674698793</v>
      </c>
      <c r="G524" s="5">
        <v>0.82499999999999996</v>
      </c>
      <c r="H524" s="4">
        <f>67/1440</f>
        <v>4.6527777777777779E-2</v>
      </c>
      <c r="I524" s="5">
        <v>0.114</v>
      </c>
      <c r="J524" s="11" t="s">
        <v>1417</v>
      </c>
    </row>
    <row r="525" spans="1:10" ht="13.15" customHeight="1" x14ac:dyDescent="0.25">
      <c r="A525">
        <f t="shared" si="41"/>
        <v>520</v>
      </c>
      <c r="B525" t="s">
        <v>1297</v>
      </c>
      <c r="C525" s="2">
        <v>0.45624999999999999</v>
      </c>
      <c r="D525" s="4">
        <f t="shared" ref="D525:D537" si="48">C525-E525</f>
        <v>0.12013888888888885</v>
      </c>
      <c r="E525" s="6">
        <v>0.33611111111111114</v>
      </c>
      <c r="F525" s="5">
        <f t="shared" si="47"/>
        <v>0.73668188736681894</v>
      </c>
      <c r="G525" s="5">
        <v>0.85099999999999998</v>
      </c>
      <c r="H525" s="4">
        <f>70.5/1440</f>
        <v>4.8958333333333333E-2</v>
      </c>
      <c r="I525" s="5">
        <v>0.124</v>
      </c>
      <c r="J525" s="11" t="s">
        <v>1288</v>
      </c>
    </row>
    <row r="526" spans="1:10" ht="13.15" customHeight="1" x14ac:dyDescent="0.25">
      <c r="A526">
        <f t="shared" si="41"/>
        <v>521</v>
      </c>
      <c r="B526" t="s">
        <v>1371</v>
      </c>
      <c r="C526" s="2">
        <v>0.44444444444444442</v>
      </c>
      <c r="D526" s="4">
        <f t="shared" si="48"/>
        <v>0.10833333333333328</v>
      </c>
      <c r="E526" s="6">
        <v>0.33611111111111114</v>
      </c>
      <c r="F526" s="5">
        <f t="shared" si="47"/>
        <v>0.75625000000000009</v>
      </c>
      <c r="G526" s="5">
        <v>0.8</v>
      </c>
      <c r="H526" s="4">
        <f>63.9/1440</f>
        <v>4.4374999999999998E-2</v>
      </c>
      <c r="I526" s="5">
        <v>0.106</v>
      </c>
      <c r="J526" s="11" t="s">
        <v>1365</v>
      </c>
    </row>
    <row r="527" spans="1:10" ht="13.15" customHeight="1" x14ac:dyDescent="0.25">
      <c r="A527">
        <f t="shared" si="41"/>
        <v>522</v>
      </c>
      <c r="B527" t="s">
        <v>1753</v>
      </c>
      <c r="C527" s="2">
        <v>0.43541666666666667</v>
      </c>
      <c r="D527" s="4">
        <f t="shared" si="48"/>
        <v>9.9305555555555536E-2</v>
      </c>
      <c r="E527" s="6">
        <v>0.33611111111111114</v>
      </c>
      <c r="F527" s="5">
        <f t="shared" si="47"/>
        <v>0.77192982456140358</v>
      </c>
      <c r="G527" s="5">
        <v>0.754</v>
      </c>
      <c r="H527" s="4">
        <f>62.3/1440</f>
        <v>4.3263888888888886E-2</v>
      </c>
      <c r="I527" s="5">
        <v>9.7000000000000003E-2</v>
      </c>
      <c r="J527" s="11" t="s">
        <v>1752</v>
      </c>
    </row>
    <row r="528" spans="1:10" ht="13.15" customHeight="1" x14ac:dyDescent="0.25">
      <c r="A528">
        <f t="shared" si="41"/>
        <v>523</v>
      </c>
      <c r="B528" t="s">
        <v>653</v>
      </c>
      <c r="C528" s="2">
        <v>0.46597222222222223</v>
      </c>
      <c r="D528" s="4">
        <f t="shared" si="48"/>
        <v>0.12986111111111115</v>
      </c>
      <c r="E528" s="6">
        <v>0.33611111111111108</v>
      </c>
      <c r="F528" s="5">
        <f t="shared" si="47"/>
        <v>0.72131147540983598</v>
      </c>
      <c r="G528" s="5">
        <v>0.81200000000000006</v>
      </c>
      <c r="H528" s="4">
        <f>59.7/1440</f>
        <v>4.1458333333333333E-2</v>
      </c>
      <c r="I528" s="5">
        <v>0.1</v>
      </c>
      <c r="J528" s="11" t="s">
        <v>655</v>
      </c>
    </row>
    <row r="529" spans="1:10" ht="13.15" customHeight="1" x14ac:dyDescent="0.25">
      <c r="A529">
        <f t="shared" si="41"/>
        <v>524</v>
      </c>
      <c r="B529" t="s">
        <v>279</v>
      </c>
      <c r="C529" s="2">
        <v>0.50347222222222221</v>
      </c>
      <c r="D529" s="4">
        <f t="shared" si="48"/>
        <v>0.16805555555555551</v>
      </c>
      <c r="E529" s="6">
        <v>0.3354166666666667</v>
      </c>
      <c r="F529" s="5">
        <f t="shared" si="47"/>
        <v>0.66620689655172416</v>
      </c>
      <c r="G529" s="5">
        <v>0.88300000000000001</v>
      </c>
      <c r="H529" s="4">
        <f>75.4/1440</f>
        <v>5.2361111111111115E-2</v>
      </c>
      <c r="I529" s="5">
        <v>0.13800000000000001</v>
      </c>
      <c r="J529" s="11" t="s">
        <v>280</v>
      </c>
    </row>
    <row r="530" spans="1:10" ht="13.15" customHeight="1" x14ac:dyDescent="0.25">
      <c r="A530">
        <f t="shared" si="41"/>
        <v>525</v>
      </c>
      <c r="B530" t="s">
        <v>289</v>
      </c>
      <c r="C530" s="2">
        <v>0.50208333333333333</v>
      </c>
      <c r="D530" s="4">
        <f t="shared" si="48"/>
        <v>0.16666666666666663</v>
      </c>
      <c r="E530" s="6">
        <v>0.3354166666666667</v>
      </c>
      <c r="F530" s="5">
        <f t="shared" si="47"/>
        <v>0.6680497925311204</v>
      </c>
      <c r="G530" s="5">
        <v>0.81499999999999995</v>
      </c>
      <c r="H530" s="4">
        <f>70.1/1440</f>
        <v>4.8680555555555553E-2</v>
      </c>
      <c r="I530" s="5">
        <v>0.11799999999999999</v>
      </c>
      <c r="J530" s="11" t="s">
        <v>290</v>
      </c>
    </row>
    <row r="531" spans="1:10" ht="13.15" customHeight="1" x14ac:dyDescent="0.25">
      <c r="A531">
        <f t="shared" ref="A531:A594" si="49">A530+1</f>
        <v>526</v>
      </c>
      <c r="B531" t="s">
        <v>443</v>
      </c>
      <c r="C531" s="2">
        <v>0.47013888888888888</v>
      </c>
      <c r="D531" s="4">
        <f t="shared" si="48"/>
        <v>0.13472222222222219</v>
      </c>
      <c r="E531" s="6">
        <v>0.3354166666666667</v>
      </c>
      <c r="F531" s="5">
        <f t="shared" si="47"/>
        <v>0.71344165435745943</v>
      </c>
      <c r="G531" s="5">
        <v>0.78</v>
      </c>
      <c r="H531" s="4">
        <f>63/1440</f>
        <v>4.3749999999999997E-2</v>
      </c>
      <c r="I531" s="5">
        <v>0.10199999999999999</v>
      </c>
      <c r="J531" s="11" t="s">
        <v>444</v>
      </c>
    </row>
    <row r="532" spans="1:10" ht="13.15" customHeight="1" x14ac:dyDescent="0.25">
      <c r="A532">
        <f t="shared" si="49"/>
        <v>527</v>
      </c>
      <c r="B532" t="s">
        <v>767</v>
      </c>
      <c r="C532" s="2">
        <v>0.46180555555555558</v>
      </c>
      <c r="D532" s="4">
        <f t="shared" si="48"/>
        <v>0.12638888888888894</v>
      </c>
      <c r="E532" s="6">
        <v>0.33541666666666664</v>
      </c>
      <c r="F532" s="5">
        <f t="shared" si="47"/>
        <v>0.72631578947368414</v>
      </c>
      <c r="G532" s="5">
        <v>0.81599999999999995</v>
      </c>
      <c r="H532" s="4">
        <f>72.1/1440</f>
        <v>5.0069444444444437E-2</v>
      </c>
      <c r="I532" s="5">
        <v>0.122</v>
      </c>
      <c r="J532" s="11" t="s">
        <v>776</v>
      </c>
    </row>
    <row r="533" spans="1:10" ht="13.15" customHeight="1" x14ac:dyDescent="0.25">
      <c r="A533">
        <f t="shared" si="49"/>
        <v>528</v>
      </c>
      <c r="B533" t="s">
        <v>772</v>
      </c>
      <c r="C533" s="2">
        <v>0.4548611111111111</v>
      </c>
      <c r="D533" s="4">
        <f t="shared" si="48"/>
        <v>0.11944444444444446</v>
      </c>
      <c r="E533" s="6">
        <v>0.33541666666666664</v>
      </c>
      <c r="F533" s="5">
        <f t="shared" si="47"/>
        <v>0.73740458015267174</v>
      </c>
      <c r="G533" s="5">
        <v>0.80600000000000005</v>
      </c>
      <c r="H533" s="4">
        <f>63.5/1440</f>
        <v>4.4097222222222225E-2</v>
      </c>
      <c r="I533" s="5">
        <v>0.106</v>
      </c>
      <c r="J533" s="11" t="s">
        <v>775</v>
      </c>
    </row>
    <row r="534" spans="1:10" ht="13.15" customHeight="1" x14ac:dyDescent="0.25">
      <c r="A534">
        <f t="shared" si="49"/>
        <v>529</v>
      </c>
      <c r="B534" t="s">
        <v>941</v>
      </c>
      <c r="C534" s="2">
        <v>0.45694444444444443</v>
      </c>
      <c r="D534" s="4">
        <f t="shared" si="48"/>
        <v>0.12152777777777779</v>
      </c>
      <c r="E534" s="6">
        <v>0.33541666666666664</v>
      </c>
      <c r="F534" s="5">
        <f t="shared" si="47"/>
        <v>0.73404255319148937</v>
      </c>
      <c r="G534" s="5">
        <v>0.83299999999999996</v>
      </c>
      <c r="H534" s="4">
        <f>65.2/1440</f>
        <v>4.5277777777777778E-2</v>
      </c>
      <c r="I534" s="5">
        <v>0.112</v>
      </c>
      <c r="J534" s="11" t="s">
        <v>937</v>
      </c>
    </row>
    <row r="535" spans="1:10" ht="13.15" customHeight="1" x14ac:dyDescent="0.25">
      <c r="A535">
        <f t="shared" si="49"/>
        <v>530</v>
      </c>
      <c r="B535" t="s">
        <v>942</v>
      </c>
      <c r="C535" s="2">
        <v>0.44583333333333336</v>
      </c>
      <c r="D535" s="4">
        <f t="shared" si="48"/>
        <v>0.11041666666666672</v>
      </c>
      <c r="E535" s="6">
        <v>0.33541666666666664</v>
      </c>
      <c r="F535" s="5">
        <f t="shared" si="47"/>
        <v>0.75233644859813076</v>
      </c>
      <c r="G535" s="5">
        <v>0.83299999999999996</v>
      </c>
      <c r="H535" s="4">
        <f>67.2/1440</f>
        <v>4.6666666666666669E-2</v>
      </c>
      <c r="I535" s="5">
        <v>0.11600000000000001</v>
      </c>
      <c r="J535" s="11" t="s">
        <v>947</v>
      </c>
    </row>
    <row r="536" spans="1:10" ht="13.15" customHeight="1" x14ac:dyDescent="0.25">
      <c r="A536">
        <f t="shared" si="49"/>
        <v>531</v>
      </c>
      <c r="B536" t="s">
        <v>952</v>
      </c>
      <c r="C536" s="2">
        <v>0.45208333333333334</v>
      </c>
      <c r="D536" s="4">
        <f t="shared" si="48"/>
        <v>0.1166666666666667</v>
      </c>
      <c r="E536" s="6">
        <v>0.33541666666666664</v>
      </c>
      <c r="F536" s="5">
        <f t="shared" si="47"/>
        <v>0.74193548387096764</v>
      </c>
      <c r="G536" s="5">
        <v>0.82499999999999996</v>
      </c>
      <c r="H536" s="4">
        <f>56/1440</f>
        <v>3.888888888888889E-2</v>
      </c>
      <c r="I536" s="5">
        <v>9.5000000000000001E-2</v>
      </c>
      <c r="J536" s="11" t="s">
        <v>953</v>
      </c>
    </row>
    <row r="537" spans="1:10" ht="13.15" customHeight="1" x14ac:dyDescent="0.25">
      <c r="A537">
        <f t="shared" si="49"/>
        <v>532</v>
      </c>
      <c r="B537" t="s">
        <v>1211</v>
      </c>
      <c r="C537" s="2">
        <v>0.46041666666666664</v>
      </c>
      <c r="D537" s="4">
        <f t="shared" si="48"/>
        <v>0.125</v>
      </c>
      <c r="E537" s="6">
        <v>0.33541666666666664</v>
      </c>
      <c r="F537" s="5">
        <f t="shared" si="47"/>
        <v>0.72850678733031671</v>
      </c>
      <c r="G537" s="5">
        <v>0.85699999999999998</v>
      </c>
      <c r="H537" s="4">
        <f>76.9/1440</f>
        <v>5.3402777777777785E-2</v>
      </c>
      <c r="I537" s="5">
        <v>0.13600000000000001</v>
      </c>
      <c r="J537" s="11" t="s">
        <v>1186</v>
      </c>
    </row>
    <row r="538" spans="1:10" ht="13.15" customHeight="1" x14ac:dyDescent="0.25">
      <c r="A538">
        <f t="shared" si="49"/>
        <v>533</v>
      </c>
      <c r="B538" t="s">
        <v>1251</v>
      </c>
      <c r="C538" s="2">
        <v>0.43611111111111112</v>
      </c>
      <c r="D538" s="4">
        <v>0.10069444444444448</v>
      </c>
      <c r="E538" s="6">
        <v>0.33541666666666664</v>
      </c>
      <c r="F538" s="5">
        <v>0.76910828025477695</v>
      </c>
      <c r="G538" s="5">
        <v>0.85899999999999999</v>
      </c>
      <c r="H538" s="4">
        <v>4.5972222222222227E-2</v>
      </c>
      <c r="I538" s="5">
        <v>0.11799999999999999</v>
      </c>
      <c r="J538" s="11" t="s">
        <v>1243</v>
      </c>
    </row>
    <row r="539" spans="1:10" ht="13.15" customHeight="1" x14ac:dyDescent="0.25">
      <c r="A539">
        <f t="shared" si="49"/>
        <v>534</v>
      </c>
      <c r="B539" t="s">
        <v>1503</v>
      </c>
      <c r="C539" s="2">
        <v>0.45069444444444445</v>
      </c>
      <c r="D539" s="4">
        <f t="shared" ref="D539:D569" si="50">C539-E539</f>
        <v>0.11527777777777781</v>
      </c>
      <c r="E539" s="6">
        <v>0.33541666666666664</v>
      </c>
      <c r="F539" s="5">
        <f t="shared" ref="F539:F569" si="51">E539/C539</f>
        <v>0.74422187981510013</v>
      </c>
      <c r="G539" s="5">
        <v>0.81200000000000006</v>
      </c>
      <c r="H539" s="4">
        <f>67.4/1440</f>
        <v>4.6805555555555559E-2</v>
      </c>
      <c r="I539" s="5">
        <v>0.113</v>
      </c>
      <c r="J539" s="11" t="s">
        <v>1498</v>
      </c>
    </row>
    <row r="540" spans="1:10" ht="13.15" customHeight="1" x14ac:dyDescent="0.25">
      <c r="A540">
        <f t="shared" si="49"/>
        <v>535</v>
      </c>
      <c r="B540" t="s">
        <v>1509</v>
      </c>
      <c r="C540" s="2">
        <v>0.4465277777777778</v>
      </c>
      <c r="D540" s="4">
        <f t="shared" si="50"/>
        <v>0.11111111111111116</v>
      </c>
      <c r="E540" s="6">
        <v>0.33541666666666664</v>
      </c>
      <c r="F540" s="5">
        <f t="shared" si="51"/>
        <v>0.75116640746500762</v>
      </c>
      <c r="G540" s="5">
        <v>0.86499999999999999</v>
      </c>
      <c r="H540" s="4">
        <f>69.4/1440</f>
        <v>4.8194444444444449E-2</v>
      </c>
      <c r="I540" s="5">
        <v>0.124</v>
      </c>
      <c r="J540" s="11" t="s">
        <v>1504</v>
      </c>
    </row>
    <row r="541" spans="1:10" ht="13.15" customHeight="1" x14ac:dyDescent="0.25">
      <c r="A541">
        <f t="shared" si="49"/>
        <v>536</v>
      </c>
      <c r="B541" t="s">
        <v>1603</v>
      </c>
      <c r="C541" s="2">
        <v>0.4465277777777778</v>
      </c>
      <c r="D541" s="4">
        <f t="shared" si="50"/>
        <v>0.11111111111111116</v>
      </c>
      <c r="E541" s="6">
        <v>0.33541666666666664</v>
      </c>
      <c r="F541" s="5">
        <f t="shared" si="51"/>
        <v>0.75116640746500762</v>
      </c>
      <c r="G541" s="5">
        <v>0.77800000000000002</v>
      </c>
      <c r="H541" s="4">
        <f>65/1440</f>
        <v>4.5138888888888888E-2</v>
      </c>
      <c r="I541" s="5">
        <v>0.105</v>
      </c>
      <c r="J541" s="11" t="s">
        <v>1600</v>
      </c>
    </row>
    <row r="542" spans="1:10" ht="13.15" customHeight="1" x14ac:dyDescent="0.25">
      <c r="A542">
        <f t="shared" si="49"/>
        <v>537</v>
      </c>
      <c r="B542" t="s">
        <v>1803</v>
      </c>
      <c r="C542" s="2">
        <v>0.4236111111111111</v>
      </c>
      <c r="D542" s="4">
        <f t="shared" si="50"/>
        <v>8.8194444444444464E-2</v>
      </c>
      <c r="E542" s="6">
        <v>0.33541666666666664</v>
      </c>
      <c r="F542" s="5">
        <f t="shared" si="51"/>
        <v>0.79180327868852451</v>
      </c>
      <c r="G542" s="5">
        <v>1</v>
      </c>
      <c r="H542" s="4">
        <f>95/1440</f>
        <v>6.5972222222222224E-2</v>
      </c>
      <c r="I542" s="5">
        <v>0.19600000000000001</v>
      </c>
      <c r="J542" s="11" t="s">
        <v>1812</v>
      </c>
    </row>
    <row r="543" spans="1:10" ht="13.15" customHeight="1" x14ac:dyDescent="0.25">
      <c r="A543">
        <f t="shared" si="49"/>
        <v>538</v>
      </c>
      <c r="B543" t="s">
        <v>705</v>
      </c>
      <c r="C543" s="2">
        <v>0.46875</v>
      </c>
      <c r="D543" s="4">
        <f t="shared" si="50"/>
        <v>0.1340277777777778</v>
      </c>
      <c r="E543" s="6">
        <v>0.3347222222222222</v>
      </c>
      <c r="F543" s="5">
        <f t="shared" si="51"/>
        <v>0.71407407407407397</v>
      </c>
      <c r="G543" s="5">
        <v>0.84699999999999998</v>
      </c>
      <c r="H543" s="4">
        <f>61.4/1440</f>
        <v>4.2638888888888886E-2</v>
      </c>
      <c r="I543" s="5" t="s">
        <v>706</v>
      </c>
      <c r="J543" s="11" t="s">
        <v>704</v>
      </c>
    </row>
    <row r="544" spans="1:10" ht="13.15" customHeight="1" x14ac:dyDescent="0.25">
      <c r="A544">
        <f t="shared" si="49"/>
        <v>539</v>
      </c>
      <c r="B544" t="s">
        <v>798</v>
      </c>
      <c r="C544" s="2">
        <v>0.48472222222222222</v>
      </c>
      <c r="D544" s="4">
        <f t="shared" si="50"/>
        <v>0.15000000000000002</v>
      </c>
      <c r="E544" s="6">
        <v>0.3347222222222222</v>
      </c>
      <c r="F544" s="5">
        <f t="shared" si="51"/>
        <v>0.69054441260744981</v>
      </c>
      <c r="G544" s="5">
        <v>0.64300000000000002</v>
      </c>
      <c r="H544" s="4">
        <f>48.5/1440</f>
        <v>3.3680555555555554E-2</v>
      </c>
      <c r="I544" s="5">
        <v>6.5000000000000002E-2</v>
      </c>
      <c r="J544" s="11" t="s">
        <v>800</v>
      </c>
    </row>
    <row r="545" spans="1:10" ht="13.15" customHeight="1" x14ac:dyDescent="0.25">
      <c r="A545">
        <f t="shared" si="49"/>
        <v>540</v>
      </c>
      <c r="B545" t="s">
        <v>869</v>
      </c>
      <c r="C545" s="2">
        <v>0.4465277777777778</v>
      </c>
      <c r="D545" s="4">
        <f t="shared" si="50"/>
        <v>0.1118055555555556</v>
      </c>
      <c r="E545" s="6">
        <v>0.3347222222222222</v>
      </c>
      <c r="F545" s="5">
        <f t="shared" si="51"/>
        <v>0.74961119751166394</v>
      </c>
      <c r="G545" s="5">
        <v>0.873</v>
      </c>
      <c r="H545" s="4">
        <f>65.8/1440</f>
        <v>4.569444444444444E-2</v>
      </c>
      <c r="I545" s="5">
        <v>0.11899999999999999</v>
      </c>
      <c r="J545" s="11" t="s">
        <v>877</v>
      </c>
    </row>
    <row r="546" spans="1:10" ht="13.15" customHeight="1" x14ac:dyDescent="0.25">
      <c r="A546">
        <f t="shared" si="49"/>
        <v>541</v>
      </c>
      <c r="B546" t="s">
        <v>944</v>
      </c>
      <c r="C546" s="2">
        <v>0.43472222222222223</v>
      </c>
      <c r="D546" s="4">
        <f t="shared" si="50"/>
        <v>0.10000000000000003</v>
      </c>
      <c r="E546" s="6">
        <v>0.3347222222222222</v>
      </c>
      <c r="F546" s="5">
        <f t="shared" si="51"/>
        <v>0.76996805111821076</v>
      </c>
      <c r="G546" s="5">
        <v>0.85899999999999999</v>
      </c>
      <c r="H546" s="4">
        <f>72.8/1440</f>
        <v>5.0555555555555555E-2</v>
      </c>
      <c r="I546" s="5">
        <v>0.129</v>
      </c>
      <c r="J546" s="11" t="s">
        <v>947</v>
      </c>
    </row>
    <row r="547" spans="1:10" ht="13.15" customHeight="1" x14ac:dyDescent="0.25">
      <c r="A547">
        <f t="shared" si="49"/>
        <v>542</v>
      </c>
      <c r="B547" t="s">
        <v>965</v>
      </c>
      <c r="C547" s="2">
        <v>0.46180555555555558</v>
      </c>
      <c r="D547" s="4">
        <f t="shared" si="50"/>
        <v>0.12708333333333338</v>
      </c>
      <c r="E547" s="6">
        <v>0.3347222222222222</v>
      </c>
      <c r="F547" s="5">
        <f t="shared" si="51"/>
        <v>0.72481203007518791</v>
      </c>
      <c r="G547" s="5">
        <v>0.75</v>
      </c>
      <c r="H547" s="4">
        <f>65.1/1440</f>
        <v>4.520833333333333E-2</v>
      </c>
      <c r="I547" s="5">
        <v>0.10100000000000001</v>
      </c>
      <c r="J547" s="11" t="s">
        <v>961</v>
      </c>
    </row>
    <row r="548" spans="1:10" ht="13.15" customHeight="1" x14ac:dyDescent="0.25">
      <c r="A548">
        <f t="shared" si="49"/>
        <v>543</v>
      </c>
      <c r="B548" t="s">
        <v>1017</v>
      </c>
      <c r="C548" s="2">
        <v>0.4513888888888889</v>
      </c>
      <c r="D548" s="4">
        <f t="shared" si="50"/>
        <v>0.1166666666666667</v>
      </c>
      <c r="E548" s="6">
        <v>0.3347222222222222</v>
      </c>
      <c r="F548" s="5">
        <f t="shared" si="51"/>
        <v>0.74153846153846148</v>
      </c>
      <c r="G548" s="5">
        <v>0.84399999999999997</v>
      </c>
      <c r="H548" s="4">
        <f>67.9/1440</f>
        <v>4.715277777777778E-2</v>
      </c>
      <c r="I548" s="5">
        <v>0.11899999999999999</v>
      </c>
      <c r="J548" s="11" t="s">
        <v>1016</v>
      </c>
    </row>
    <row r="549" spans="1:10" ht="13.15" customHeight="1" x14ac:dyDescent="0.25">
      <c r="A549">
        <f t="shared" si="49"/>
        <v>544</v>
      </c>
      <c r="B549" t="s">
        <v>1086</v>
      </c>
      <c r="C549" s="2">
        <v>0.43958333333333333</v>
      </c>
      <c r="D549" s="4">
        <f t="shared" si="50"/>
        <v>0.10486111111111113</v>
      </c>
      <c r="E549" s="6">
        <v>0.3347222222222222</v>
      </c>
      <c r="F549" s="5">
        <f t="shared" si="51"/>
        <v>0.76145339652448651</v>
      </c>
      <c r="G549" s="5">
        <v>0.81699999999999995</v>
      </c>
      <c r="H549" s="4">
        <f>67.4/1440</f>
        <v>4.6805555555555559E-2</v>
      </c>
      <c r="I549" s="5">
        <v>0.114</v>
      </c>
      <c r="J549" s="11" t="s">
        <v>1074</v>
      </c>
    </row>
    <row r="550" spans="1:10" ht="13.15" customHeight="1" x14ac:dyDescent="0.25">
      <c r="A550">
        <f t="shared" si="49"/>
        <v>545</v>
      </c>
      <c r="B550" t="s">
        <v>1218</v>
      </c>
      <c r="C550" s="2">
        <v>0.40277777777777779</v>
      </c>
      <c r="D550" s="4">
        <f t="shared" si="50"/>
        <v>6.8055555555555591E-2</v>
      </c>
      <c r="E550" s="6">
        <v>0.3347222222222222</v>
      </c>
      <c r="F550" s="5">
        <f t="shared" si="51"/>
        <v>0.83103448275862057</v>
      </c>
      <c r="G550" s="5">
        <v>0.79800000000000004</v>
      </c>
      <c r="H550" s="4">
        <f>58/1440</f>
        <v>4.027777777777778E-2</v>
      </c>
      <c r="I550" s="5">
        <v>9.6000000000000002E-2</v>
      </c>
      <c r="J550" s="11" t="s">
        <v>1219</v>
      </c>
    </row>
    <row r="551" spans="1:10" ht="13.15" customHeight="1" x14ac:dyDescent="0.25">
      <c r="A551">
        <f t="shared" si="49"/>
        <v>546</v>
      </c>
      <c r="B551" t="s">
        <v>1392</v>
      </c>
      <c r="C551" s="2">
        <v>0.44930555555555557</v>
      </c>
      <c r="D551" s="4">
        <f t="shared" si="50"/>
        <v>0.11458333333333337</v>
      </c>
      <c r="E551" s="6">
        <v>0.3347222222222222</v>
      </c>
      <c r="F551" s="5">
        <f t="shared" si="51"/>
        <v>0.74497681607418853</v>
      </c>
      <c r="G551" s="5">
        <v>0.78</v>
      </c>
      <c r="H551" s="4">
        <f>75.4/1440</f>
        <v>5.2361111111111115E-2</v>
      </c>
      <c r="I551" s="5">
        <v>0.122</v>
      </c>
      <c r="J551" s="11" t="s">
        <v>1388</v>
      </c>
    </row>
    <row r="552" spans="1:10" ht="13.15" customHeight="1" x14ac:dyDescent="0.25">
      <c r="A552">
        <f t="shared" si="49"/>
        <v>547</v>
      </c>
      <c r="B552" t="s">
        <v>1468</v>
      </c>
      <c r="C552" s="2">
        <v>0.41319444444444442</v>
      </c>
      <c r="D552" s="4">
        <f t="shared" si="50"/>
        <v>7.8472222222222221E-2</v>
      </c>
      <c r="E552" s="6">
        <v>0.3347222222222222</v>
      </c>
      <c r="F552" s="5">
        <f t="shared" si="51"/>
        <v>0.81008403361344539</v>
      </c>
      <c r="G552" s="5">
        <v>0.81599999999999995</v>
      </c>
      <c r="H552" s="4">
        <f>64.3/1440</f>
        <v>4.4652777777777777E-2</v>
      </c>
      <c r="I552" s="5">
        <v>0.109</v>
      </c>
      <c r="J552" s="11" t="s">
        <v>1463</v>
      </c>
    </row>
    <row r="553" spans="1:10" ht="13.15" customHeight="1" x14ac:dyDescent="0.25">
      <c r="A553">
        <f t="shared" si="49"/>
        <v>548</v>
      </c>
      <c r="B553" t="s">
        <v>1630</v>
      </c>
      <c r="C553" s="2">
        <v>0.43611111111111112</v>
      </c>
      <c r="D553" s="4">
        <f t="shared" si="50"/>
        <v>0.10138888888888892</v>
      </c>
      <c r="E553" s="6">
        <v>0.3347222222222222</v>
      </c>
      <c r="F553" s="5">
        <f t="shared" si="51"/>
        <v>0.76751592356687892</v>
      </c>
      <c r="G553" s="5">
        <v>0.86</v>
      </c>
      <c r="H553" s="4">
        <f>68.1/1440</f>
        <v>4.7291666666666662E-2</v>
      </c>
      <c r="I553" s="5">
        <v>0.121</v>
      </c>
      <c r="J553" s="11" t="s">
        <v>1624</v>
      </c>
    </row>
    <row r="554" spans="1:10" ht="13.15" customHeight="1" x14ac:dyDescent="0.25">
      <c r="A554">
        <f t="shared" si="49"/>
        <v>549</v>
      </c>
      <c r="B554" t="s">
        <v>3</v>
      </c>
      <c r="C554" s="2">
        <v>0.48541666666666666</v>
      </c>
      <c r="D554" s="4">
        <f t="shared" si="50"/>
        <v>0.15138888888888885</v>
      </c>
      <c r="E554" s="6">
        <v>0.33402777777777781</v>
      </c>
      <c r="F554" s="5">
        <f t="shared" si="51"/>
        <v>0.68812589413447789</v>
      </c>
      <c r="G554" s="5">
        <v>0.82699999999999996</v>
      </c>
      <c r="H554" s="4">
        <f>77.5/1440</f>
        <v>5.3819444444444448E-2</v>
      </c>
      <c r="I554" s="5">
        <v>0.13300000000000001</v>
      </c>
      <c r="J554" s="11" t="s">
        <v>76</v>
      </c>
    </row>
    <row r="555" spans="1:10" ht="13.15" customHeight="1" x14ac:dyDescent="0.25">
      <c r="A555">
        <f t="shared" si="49"/>
        <v>550</v>
      </c>
      <c r="B555" t="s">
        <v>32</v>
      </c>
      <c r="C555" s="2">
        <v>0.46597222222222223</v>
      </c>
      <c r="D555" s="4">
        <f t="shared" si="50"/>
        <v>0.13194444444444442</v>
      </c>
      <c r="E555" s="6">
        <v>0.33402777777777781</v>
      </c>
      <c r="F555" s="5">
        <f t="shared" si="51"/>
        <v>0.71684053651266777</v>
      </c>
      <c r="G555" s="5">
        <v>0.77800000000000002</v>
      </c>
      <c r="H555" s="4">
        <f>72.9/1440</f>
        <v>5.0625000000000003E-2</v>
      </c>
      <c r="I555" s="5">
        <v>0.11799999999999999</v>
      </c>
      <c r="J555" s="11" t="s">
        <v>100</v>
      </c>
    </row>
    <row r="556" spans="1:10" ht="13.15" customHeight="1" x14ac:dyDescent="0.25">
      <c r="A556">
        <f t="shared" si="49"/>
        <v>551</v>
      </c>
      <c r="B556" t="s">
        <v>560</v>
      </c>
      <c r="C556" s="2">
        <v>0.43888888888888888</v>
      </c>
      <c r="D556" s="4">
        <f t="shared" si="50"/>
        <v>0.10486111111111107</v>
      </c>
      <c r="E556" s="6">
        <v>0.33402777777777781</v>
      </c>
      <c r="F556" s="5">
        <f t="shared" si="51"/>
        <v>0.76107594936708867</v>
      </c>
      <c r="G556" s="5">
        <v>0.88700000000000001</v>
      </c>
      <c r="H556" s="4">
        <f>54.6/1440</f>
        <v>3.7916666666666668E-2</v>
      </c>
      <c r="I556" s="5">
        <v>0.10100000000000001</v>
      </c>
      <c r="J556" s="11" t="s">
        <v>561</v>
      </c>
    </row>
    <row r="557" spans="1:10" ht="13.15" customHeight="1" x14ac:dyDescent="0.25">
      <c r="A557">
        <f t="shared" si="49"/>
        <v>552</v>
      </c>
      <c r="B557" t="s">
        <v>590</v>
      </c>
      <c r="C557" s="2">
        <v>0.46180555555555558</v>
      </c>
      <c r="D557" s="4">
        <f t="shared" si="50"/>
        <v>0.12777777777777777</v>
      </c>
      <c r="E557" s="6">
        <v>0.33402777777777781</v>
      </c>
      <c r="F557" s="5">
        <f t="shared" si="51"/>
        <v>0.72330827067669179</v>
      </c>
      <c r="G557" s="5">
        <v>0.82</v>
      </c>
      <c r="H557" s="4">
        <f>69.9/1440</f>
        <v>4.854166666666667E-2</v>
      </c>
      <c r="I557" s="5">
        <v>0.11899999999999999</v>
      </c>
      <c r="J557" s="11" t="s">
        <v>594</v>
      </c>
    </row>
    <row r="558" spans="1:10" ht="13.15" customHeight="1" x14ac:dyDescent="0.25">
      <c r="A558">
        <f t="shared" si="49"/>
        <v>553</v>
      </c>
      <c r="B558" t="s">
        <v>735</v>
      </c>
      <c r="C558" s="2">
        <v>0.4777777777777778</v>
      </c>
      <c r="D558" s="4">
        <f t="shared" si="50"/>
        <v>0.14375000000000004</v>
      </c>
      <c r="E558" s="6">
        <v>0.33402777777777776</v>
      </c>
      <c r="F558" s="5">
        <f t="shared" si="51"/>
        <v>0.6991279069767441</v>
      </c>
      <c r="G558" s="5">
        <v>0.86399999999999999</v>
      </c>
      <c r="H558" s="4">
        <f>79/1440</f>
        <v>5.486111111111111E-2</v>
      </c>
      <c r="I558" s="5">
        <v>0.14199999999999999</v>
      </c>
      <c r="J558" s="11" t="s">
        <v>737</v>
      </c>
    </row>
    <row r="559" spans="1:10" ht="13.15" customHeight="1" x14ac:dyDescent="0.25">
      <c r="A559">
        <f t="shared" si="49"/>
        <v>554</v>
      </c>
      <c r="B559" t="s">
        <v>894</v>
      </c>
      <c r="C559" s="2">
        <v>0.46319444444444446</v>
      </c>
      <c r="D559" s="4">
        <f t="shared" si="50"/>
        <v>0.12916666666666671</v>
      </c>
      <c r="E559" s="6">
        <v>0.33402777777777776</v>
      </c>
      <c r="F559" s="5">
        <f t="shared" si="51"/>
        <v>0.7211394302848575</v>
      </c>
      <c r="G559" s="5">
        <v>0.79900000000000004</v>
      </c>
      <c r="H559" s="4">
        <f>63.8/1440</f>
        <v>4.4305555555555556E-2</v>
      </c>
      <c r="I559" s="5">
        <v>0.106</v>
      </c>
      <c r="J559" s="11" t="s">
        <v>896</v>
      </c>
    </row>
    <row r="560" spans="1:10" ht="13.15" customHeight="1" x14ac:dyDescent="0.25">
      <c r="A560">
        <f t="shared" si="49"/>
        <v>555</v>
      </c>
      <c r="B560" t="s">
        <v>966</v>
      </c>
      <c r="C560" s="2">
        <v>0.44305555555555554</v>
      </c>
      <c r="D560" s="4">
        <f t="shared" si="50"/>
        <v>0.10902777777777778</v>
      </c>
      <c r="E560" s="6">
        <v>0.33402777777777776</v>
      </c>
      <c r="F560" s="5">
        <f t="shared" si="51"/>
        <v>0.75391849529780564</v>
      </c>
      <c r="G560" s="5">
        <v>0.80600000000000005</v>
      </c>
      <c r="H560" s="4">
        <f>63.2/1440</f>
        <v>4.3888888888888894E-2</v>
      </c>
      <c r="I560" s="5">
        <v>0.106</v>
      </c>
      <c r="J560" s="11" t="s">
        <v>967</v>
      </c>
    </row>
    <row r="561" spans="1:10" ht="13.15" customHeight="1" x14ac:dyDescent="0.25">
      <c r="A561">
        <f t="shared" si="49"/>
        <v>556</v>
      </c>
      <c r="B561" t="s">
        <v>994</v>
      </c>
      <c r="C561" s="2">
        <v>0.44097222222222221</v>
      </c>
      <c r="D561" s="4">
        <f t="shared" si="50"/>
        <v>0.10694444444444445</v>
      </c>
      <c r="E561" s="6">
        <v>0.33402777777777776</v>
      </c>
      <c r="F561" s="5">
        <f t="shared" si="51"/>
        <v>0.75748031496062984</v>
      </c>
      <c r="G561" s="5">
        <v>0.83699999999999997</v>
      </c>
      <c r="H561" s="4">
        <f>68.2/1440</f>
        <v>4.7361111111111111E-2</v>
      </c>
      <c r="I561" s="5">
        <v>0.11899999999999999</v>
      </c>
      <c r="J561" s="11" t="s">
        <v>990</v>
      </c>
    </row>
    <row r="562" spans="1:10" ht="13.15" customHeight="1" x14ac:dyDescent="0.25">
      <c r="A562">
        <f t="shared" si="49"/>
        <v>557</v>
      </c>
      <c r="B562" t="s">
        <v>1054</v>
      </c>
      <c r="C562" s="2">
        <v>0.49583333333333335</v>
      </c>
      <c r="D562" s="4">
        <f t="shared" si="50"/>
        <v>0.16180555555555559</v>
      </c>
      <c r="E562" s="6">
        <v>0.33402777777777776</v>
      </c>
      <c r="F562" s="5">
        <f t="shared" si="51"/>
        <v>0.67366946778711478</v>
      </c>
      <c r="G562" s="5">
        <v>0.69699999999999995</v>
      </c>
      <c r="H562" s="4">
        <f>47.5/1440</f>
        <v>3.2986111111111112E-2</v>
      </c>
      <c r="I562" s="5">
        <v>6.9000000000000006E-2</v>
      </c>
      <c r="J562" s="11" t="s">
        <v>1049</v>
      </c>
    </row>
    <row r="563" spans="1:10" ht="13.15" customHeight="1" x14ac:dyDescent="0.25">
      <c r="A563">
        <f t="shared" si="49"/>
        <v>558</v>
      </c>
      <c r="B563" t="s">
        <v>1094</v>
      </c>
      <c r="C563" s="2">
        <v>0.42638888888888887</v>
      </c>
      <c r="D563" s="4">
        <f t="shared" si="50"/>
        <v>9.2361111111111116E-2</v>
      </c>
      <c r="E563" s="6">
        <v>0.33402777777777776</v>
      </c>
      <c r="F563" s="5">
        <f t="shared" si="51"/>
        <v>0.78338762214983715</v>
      </c>
      <c r="G563" s="5">
        <v>0.83</v>
      </c>
      <c r="H563" s="4">
        <f>68.3/1440</f>
        <v>4.7430555555555552E-2</v>
      </c>
      <c r="I563" s="5">
        <v>0.11799999999999999</v>
      </c>
      <c r="J563" s="11" t="s">
        <v>1076</v>
      </c>
    </row>
    <row r="564" spans="1:10" ht="13.15" customHeight="1" x14ac:dyDescent="0.25">
      <c r="A564">
        <f t="shared" si="49"/>
        <v>559</v>
      </c>
      <c r="B564" t="s">
        <v>1530</v>
      </c>
      <c r="C564" s="2">
        <v>0.42499999999999999</v>
      </c>
      <c r="D564" s="4">
        <f t="shared" si="50"/>
        <v>9.0972222222222232E-2</v>
      </c>
      <c r="E564" s="6">
        <v>0.33402777777777776</v>
      </c>
      <c r="F564" s="5">
        <f t="shared" si="51"/>
        <v>0.78594771241830064</v>
      </c>
      <c r="G564" s="5">
        <v>0.91400000000000003</v>
      </c>
      <c r="H564" s="4">
        <f>83.3/1440</f>
        <v>5.7847222222222223E-2</v>
      </c>
      <c r="I564" s="5">
        <v>0.158</v>
      </c>
      <c r="J564" s="11" t="s">
        <v>1527</v>
      </c>
    </row>
    <row r="565" spans="1:10" ht="13.15" customHeight="1" x14ac:dyDescent="0.25">
      <c r="A565">
        <f t="shared" si="49"/>
        <v>560</v>
      </c>
      <c r="B565" t="s">
        <v>1574</v>
      </c>
      <c r="C565" s="2">
        <v>0.44722222222222224</v>
      </c>
      <c r="D565" s="4">
        <f t="shared" si="50"/>
        <v>0.11319444444444449</v>
      </c>
      <c r="E565" s="6">
        <v>0.33402777777777776</v>
      </c>
      <c r="F565" s="5">
        <f t="shared" si="51"/>
        <v>0.74689440993788814</v>
      </c>
      <c r="G565" s="5">
        <v>0.85499999999999998</v>
      </c>
      <c r="H565" s="4">
        <f>70.8/1440</f>
        <v>4.9166666666666664E-2</v>
      </c>
      <c r="I565" s="5">
        <v>0.126</v>
      </c>
      <c r="J565" s="11" t="s">
        <v>1570</v>
      </c>
    </row>
    <row r="566" spans="1:10" ht="13.15" customHeight="1" x14ac:dyDescent="0.25">
      <c r="A566">
        <f t="shared" si="49"/>
        <v>561</v>
      </c>
      <c r="B566" t="s">
        <v>1676</v>
      </c>
      <c r="C566" s="2">
        <v>0.44166666666666665</v>
      </c>
      <c r="D566" s="4">
        <f t="shared" si="50"/>
        <v>0.1076388888888889</v>
      </c>
      <c r="E566" s="6">
        <v>0.33402777777777776</v>
      </c>
      <c r="F566" s="5">
        <f t="shared" si="51"/>
        <v>0.75628930817610063</v>
      </c>
      <c r="G566" s="5">
        <v>1</v>
      </c>
      <c r="H566" s="4">
        <f>75/1440</f>
        <v>5.2083333333333336E-2</v>
      </c>
      <c r="I566" s="5">
        <v>0.156</v>
      </c>
      <c r="J566" s="11" t="s">
        <v>1672</v>
      </c>
    </row>
    <row r="567" spans="1:10" ht="13.15" customHeight="1" x14ac:dyDescent="0.25">
      <c r="A567">
        <f t="shared" si="49"/>
        <v>562</v>
      </c>
      <c r="B567" t="s">
        <v>441</v>
      </c>
      <c r="C567" s="2">
        <v>0.4993055555555555</v>
      </c>
      <c r="D567" s="4">
        <f t="shared" si="50"/>
        <v>0.16597222222222219</v>
      </c>
      <c r="E567" s="6">
        <v>0.33333333333333331</v>
      </c>
      <c r="F567" s="5">
        <f t="shared" si="51"/>
        <v>0.66759388038942979</v>
      </c>
      <c r="G567" s="5">
        <v>0.86</v>
      </c>
      <c r="H567" s="4">
        <f>69.2/1440</f>
        <v>4.805555555555556E-2</v>
      </c>
      <c r="I567" s="5">
        <v>0.124</v>
      </c>
      <c r="J567" s="11" t="s">
        <v>442</v>
      </c>
    </row>
    <row r="568" spans="1:10" ht="13.15" customHeight="1" x14ac:dyDescent="0.25">
      <c r="A568">
        <f t="shared" si="49"/>
        <v>563</v>
      </c>
      <c r="B568" t="s">
        <v>770</v>
      </c>
      <c r="C568" s="2">
        <v>0.4513888888888889</v>
      </c>
      <c r="D568" s="4">
        <f t="shared" si="50"/>
        <v>0.11805555555555558</v>
      </c>
      <c r="E568" s="6">
        <v>0.33333333333333331</v>
      </c>
      <c r="F568" s="5">
        <f t="shared" si="51"/>
        <v>0.73846153846153839</v>
      </c>
      <c r="G568" s="5">
        <v>0.86</v>
      </c>
      <c r="H568" s="4">
        <f>71.9/1440</f>
        <v>4.9930555555555561E-2</v>
      </c>
      <c r="I568" s="5">
        <v>0.129</v>
      </c>
      <c r="J568" s="11" t="s">
        <v>776</v>
      </c>
    </row>
    <row r="569" spans="1:10" ht="13.15" customHeight="1" x14ac:dyDescent="0.25">
      <c r="A569">
        <f t="shared" si="49"/>
        <v>564</v>
      </c>
      <c r="B569" t="s">
        <v>982</v>
      </c>
      <c r="C569" s="2">
        <v>0.44930555555555557</v>
      </c>
      <c r="D569" s="4">
        <f t="shared" si="50"/>
        <v>0.11597222222222225</v>
      </c>
      <c r="E569" s="6">
        <v>0.33333333333333331</v>
      </c>
      <c r="F569" s="5">
        <f t="shared" si="51"/>
        <v>0.74188562596599683</v>
      </c>
      <c r="G569" s="5">
        <v>0.83499999999999996</v>
      </c>
      <c r="H569" s="4">
        <f>66.7/1440</f>
        <v>4.6319444444444448E-2</v>
      </c>
      <c r="I569" s="5">
        <v>0.11600000000000001</v>
      </c>
      <c r="J569" s="11" t="s">
        <v>983</v>
      </c>
    </row>
    <row r="570" spans="1:10" ht="13.15" customHeight="1" x14ac:dyDescent="0.25">
      <c r="A570">
        <f t="shared" si="49"/>
        <v>565</v>
      </c>
      <c r="B570" t="s">
        <v>1258</v>
      </c>
      <c r="C570" s="2">
        <v>0.47986111111111113</v>
      </c>
      <c r="D570" s="4">
        <v>0.14652777777777781</v>
      </c>
      <c r="E570" s="6">
        <v>0.33333333333333331</v>
      </c>
      <c r="F570" s="5">
        <v>0.69464544138929085</v>
      </c>
      <c r="G570" s="5">
        <v>0.85199999999999998</v>
      </c>
      <c r="H570" s="4">
        <v>5.7430555555555554E-2</v>
      </c>
      <c r="I570" s="5">
        <v>0.14699999999999999</v>
      </c>
      <c r="J570" s="11" t="s">
        <v>1244</v>
      </c>
    </row>
    <row r="571" spans="1:10" ht="13.15" customHeight="1" x14ac:dyDescent="0.25">
      <c r="A571">
        <f t="shared" si="49"/>
        <v>566</v>
      </c>
      <c r="B571" t="s">
        <v>1461</v>
      </c>
      <c r="C571" s="2">
        <v>0.45555555555555555</v>
      </c>
      <c r="D571" s="4">
        <f t="shared" ref="D571:D602" si="52">C571-E571</f>
        <v>0.12222222222222223</v>
      </c>
      <c r="E571" s="6">
        <v>0.33333333333333331</v>
      </c>
      <c r="F571" s="5">
        <f t="shared" ref="F571:F602" si="53">E571/C571</f>
        <v>0.73170731707317072</v>
      </c>
      <c r="G571" s="5">
        <v>0.71699999999999997</v>
      </c>
      <c r="H571" s="4">
        <f>46.7/1440</f>
        <v>3.243055555555556E-2</v>
      </c>
      <c r="I571" s="5">
        <v>7.0000000000000007E-2</v>
      </c>
      <c r="J571" s="11" t="s">
        <v>1442</v>
      </c>
    </row>
    <row r="572" spans="1:10" ht="13.15" customHeight="1" x14ac:dyDescent="0.25">
      <c r="A572">
        <f t="shared" si="49"/>
        <v>567</v>
      </c>
      <c r="B572" t="s">
        <v>1697</v>
      </c>
      <c r="C572" s="2">
        <v>0.44444444444444442</v>
      </c>
      <c r="D572" s="4">
        <f t="shared" si="52"/>
        <v>0.1111111111111111</v>
      </c>
      <c r="E572" s="6">
        <v>0.33333333333333331</v>
      </c>
      <c r="F572" s="5">
        <f t="shared" si="53"/>
        <v>0.75</v>
      </c>
      <c r="G572" s="5">
        <v>0.79900000000000004</v>
      </c>
      <c r="H572" s="4">
        <f>63.8/1440</f>
        <v>4.4305555555555556E-2</v>
      </c>
      <c r="I572" s="5">
        <v>0.106</v>
      </c>
      <c r="J572" s="11" t="s">
        <v>1695</v>
      </c>
    </row>
    <row r="573" spans="1:10" ht="13.15" customHeight="1" x14ac:dyDescent="0.25">
      <c r="A573">
        <f t="shared" si="49"/>
        <v>568</v>
      </c>
      <c r="B573" t="s">
        <v>38</v>
      </c>
      <c r="C573" s="2">
        <v>0.44930555555555557</v>
      </c>
      <c r="D573" s="4">
        <f t="shared" si="52"/>
        <v>0.1166666666666667</v>
      </c>
      <c r="E573" s="6">
        <v>0.33263888888888887</v>
      </c>
      <c r="F573" s="5">
        <f t="shared" si="53"/>
        <v>0.74034003091190104</v>
      </c>
      <c r="G573" s="5">
        <v>0.88300000000000001</v>
      </c>
      <c r="H573" s="4">
        <f>74.4/1440</f>
        <v>5.1666666666666673E-2</v>
      </c>
      <c r="I573" s="5">
        <v>0.13700000000000001</v>
      </c>
      <c r="J573" s="11" t="s">
        <v>106</v>
      </c>
    </row>
    <row r="574" spans="1:10" ht="13.15" customHeight="1" x14ac:dyDescent="0.25">
      <c r="A574">
        <f t="shared" si="49"/>
        <v>569</v>
      </c>
      <c r="B574" t="s">
        <v>291</v>
      </c>
      <c r="C574" s="2">
        <v>0.47569444444444442</v>
      </c>
      <c r="D574" s="4">
        <f t="shared" si="52"/>
        <v>0.14305555555555555</v>
      </c>
      <c r="E574" s="6">
        <v>0.33263888888888887</v>
      </c>
      <c r="F574" s="5">
        <f t="shared" si="53"/>
        <v>0.69927007299270072</v>
      </c>
      <c r="G574" s="5">
        <v>0.80800000000000005</v>
      </c>
      <c r="H574" s="4">
        <f>80.7/1440</f>
        <v>5.604166666666667E-2</v>
      </c>
      <c r="I574" s="5">
        <v>0.13600000000000001</v>
      </c>
      <c r="J574" s="11" t="s">
        <v>294</v>
      </c>
    </row>
    <row r="575" spans="1:10" ht="13.15" customHeight="1" x14ac:dyDescent="0.25">
      <c r="A575">
        <f t="shared" si="49"/>
        <v>570</v>
      </c>
      <c r="B575" t="s">
        <v>481</v>
      </c>
      <c r="C575" s="2">
        <v>0.41388888888888892</v>
      </c>
      <c r="D575" s="4">
        <f t="shared" si="52"/>
        <v>8.1250000000000044E-2</v>
      </c>
      <c r="E575" s="6">
        <v>0.33263888888888887</v>
      </c>
      <c r="F575" s="5">
        <f t="shared" si="53"/>
        <v>0.80369127516778516</v>
      </c>
      <c r="G575" s="5">
        <v>0.77900000000000003</v>
      </c>
      <c r="H575" s="4">
        <f>53.9/1440</f>
        <v>3.7430555555555557E-2</v>
      </c>
      <c r="I575" s="5">
        <v>8.7999999999999995E-2</v>
      </c>
      <c r="J575" s="11" t="s">
        <v>482</v>
      </c>
    </row>
    <row r="576" spans="1:10" ht="13.15" customHeight="1" x14ac:dyDescent="0.25">
      <c r="A576">
        <f t="shared" si="49"/>
        <v>571</v>
      </c>
      <c r="B576" t="s">
        <v>609</v>
      </c>
      <c r="C576" s="2">
        <v>0.46388888888888885</v>
      </c>
      <c r="D576" s="4">
        <f t="shared" si="52"/>
        <v>0.13124999999999998</v>
      </c>
      <c r="E576" s="6">
        <v>0.33263888888888887</v>
      </c>
      <c r="F576" s="5">
        <f t="shared" si="53"/>
        <v>0.71706586826347307</v>
      </c>
      <c r="G576" s="5">
        <v>0.89600000000000002</v>
      </c>
      <c r="H576" s="4">
        <f>73.2/1440</f>
        <v>5.0833333333333335E-2</v>
      </c>
      <c r="I576" s="5">
        <v>0.14799999999999999</v>
      </c>
      <c r="J576" s="11" t="s">
        <v>612</v>
      </c>
    </row>
    <row r="577" spans="1:10" ht="13.15" customHeight="1" x14ac:dyDescent="0.25">
      <c r="A577">
        <f t="shared" si="49"/>
        <v>572</v>
      </c>
      <c r="B577" t="s">
        <v>636</v>
      </c>
      <c r="C577" s="2">
        <v>0.45347222222222222</v>
      </c>
      <c r="D577" s="4">
        <f t="shared" si="52"/>
        <v>0.12083333333333335</v>
      </c>
      <c r="E577" s="6">
        <v>0.33263888888888887</v>
      </c>
      <c r="F577" s="5">
        <f t="shared" si="53"/>
        <v>0.7335375191424196</v>
      </c>
      <c r="G577" s="5">
        <v>0.86399999999999999</v>
      </c>
      <c r="H577" s="4">
        <f>87.1/1440</f>
        <v>6.0486111111111109E-2</v>
      </c>
      <c r="I577" s="5">
        <v>0.157</v>
      </c>
    </row>
    <row r="578" spans="1:10" ht="13.15" customHeight="1" x14ac:dyDescent="0.25">
      <c r="A578">
        <f t="shared" si="49"/>
        <v>573</v>
      </c>
      <c r="B578" t="s">
        <v>645</v>
      </c>
      <c r="C578" s="2">
        <v>0.46597222222222223</v>
      </c>
      <c r="D578" s="4">
        <f t="shared" si="52"/>
        <v>0.13333333333333336</v>
      </c>
      <c r="E578" s="6">
        <v>0.33263888888888887</v>
      </c>
      <c r="F578" s="5">
        <f t="shared" si="53"/>
        <v>0.713859910581222</v>
      </c>
      <c r="G578" s="5">
        <v>0.78800000000000003</v>
      </c>
      <c r="H578" s="4">
        <f>56.6/1440</f>
        <v>3.9305555555555559E-2</v>
      </c>
      <c r="I578" s="5">
        <v>9.2999999999999999E-2</v>
      </c>
      <c r="J578" s="11" t="s">
        <v>646</v>
      </c>
    </row>
    <row r="579" spans="1:10" ht="13.15" customHeight="1" x14ac:dyDescent="0.25">
      <c r="A579">
        <f t="shared" si="49"/>
        <v>574</v>
      </c>
      <c r="B579" t="s">
        <v>946</v>
      </c>
      <c r="C579" s="2">
        <v>0.45416666666666666</v>
      </c>
      <c r="D579" s="4">
        <f t="shared" si="52"/>
        <v>0.12152777777777779</v>
      </c>
      <c r="E579" s="6">
        <v>0.33263888888888887</v>
      </c>
      <c r="F579" s="5">
        <f t="shared" si="53"/>
        <v>0.73241590214067276</v>
      </c>
      <c r="G579" s="5">
        <v>0.83299999999999996</v>
      </c>
      <c r="H579" s="4">
        <f>66.9/1440</f>
        <v>4.6458333333333338E-2</v>
      </c>
      <c r="I579" s="5">
        <v>0.11600000000000001</v>
      </c>
      <c r="J579" s="11" t="s">
        <v>947</v>
      </c>
    </row>
    <row r="580" spans="1:10" ht="13.15" customHeight="1" x14ac:dyDescent="0.25">
      <c r="A580">
        <f t="shared" si="49"/>
        <v>575</v>
      </c>
      <c r="B580" t="s">
        <v>986</v>
      </c>
      <c r="C580" s="2">
        <v>0.46250000000000002</v>
      </c>
      <c r="D580" s="4">
        <f t="shared" si="52"/>
        <v>0.12986111111111115</v>
      </c>
      <c r="E580" s="6">
        <v>0.33263888888888887</v>
      </c>
      <c r="F580" s="5">
        <f t="shared" si="53"/>
        <v>0.71921921921921916</v>
      </c>
      <c r="G580" s="5">
        <v>0.78500000000000003</v>
      </c>
      <c r="H580" s="4">
        <f>63.3/1440</f>
        <v>4.3958333333333328E-2</v>
      </c>
      <c r="I580" s="5">
        <v>0.104</v>
      </c>
      <c r="J580" s="11" t="s">
        <v>985</v>
      </c>
    </row>
    <row r="581" spans="1:10" ht="13.15" customHeight="1" x14ac:dyDescent="0.25">
      <c r="A581">
        <f t="shared" si="49"/>
        <v>576</v>
      </c>
      <c r="B581" t="s">
        <v>1312</v>
      </c>
      <c r="C581" s="2">
        <v>0.4152777777777778</v>
      </c>
      <c r="D581" s="4">
        <f t="shared" si="52"/>
        <v>8.2638888888888928E-2</v>
      </c>
      <c r="E581" s="6">
        <v>0.33263888888888887</v>
      </c>
      <c r="F581" s="5">
        <f t="shared" si="53"/>
        <v>0.80100334448160526</v>
      </c>
      <c r="G581" s="5">
        <v>0.872</v>
      </c>
      <c r="H581" s="4">
        <f>73.6/1440</f>
        <v>5.1111111111111107E-2</v>
      </c>
      <c r="I581" s="5">
        <v>0.13400000000000001</v>
      </c>
      <c r="J581" s="11" t="s">
        <v>1291</v>
      </c>
    </row>
    <row r="582" spans="1:10" ht="13.15" customHeight="1" x14ac:dyDescent="0.25">
      <c r="A582">
        <f t="shared" si="49"/>
        <v>577</v>
      </c>
      <c r="B582" t="s">
        <v>1508</v>
      </c>
      <c r="C582" s="2">
        <v>0.44722222222222224</v>
      </c>
      <c r="D582" s="4">
        <f t="shared" si="52"/>
        <v>0.11458333333333337</v>
      </c>
      <c r="E582" s="6">
        <v>0.33263888888888887</v>
      </c>
      <c r="F582" s="5">
        <f t="shared" si="53"/>
        <v>0.74378881987577627</v>
      </c>
      <c r="G582" s="5">
        <v>0.80400000000000005</v>
      </c>
      <c r="H582" s="4">
        <f>61.6/1440</f>
        <v>4.2777777777777776E-2</v>
      </c>
      <c r="I582" s="5">
        <v>0.10299999999999999</v>
      </c>
      <c r="J582" s="11" t="s">
        <v>1504</v>
      </c>
    </row>
    <row r="583" spans="1:10" ht="13.15" customHeight="1" x14ac:dyDescent="0.25">
      <c r="A583">
        <f t="shared" si="49"/>
        <v>578</v>
      </c>
      <c r="B583" t="s">
        <v>1659</v>
      </c>
      <c r="C583" s="2">
        <v>0.4777777777777778</v>
      </c>
      <c r="D583" s="4">
        <f t="shared" si="52"/>
        <v>0.14513888888888893</v>
      </c>
      <c r="E583" s="6">
        <v>0.33263888888888887</v>
      </c>
      <c r="F583" s="5">
        <f t="shared" si="53"/>
        <v>0.69622093023255804</v>
      </c>
      <c r="G583" s="5">
        <v>0.85399999999999998</v>
      </c>
      <c r="H583" s="4">
        <f>83.7/1440</f>
        <v>5.8125000000000003E-2</v>
      </c>
      <c r="I583" s="5">
        <v>0.14899999999999999</v>
      </c>
      <c r="J583" s="11" t="s">
        <v>1650</v>
      </c>
    </row>
    <row r="584" spans="1:10" ht="13.15" customHeight="1" x14ac:dyDescent="0.25">
      <c r="A584">
        <f t="shared" si="49"/>
        <v>579</v>
      </c>
      <c r="B584" t="s">
        <v>471</v>
      </c>
      <c r="C584" s="2">
        <v>0.46736111111111112</v>
      </c>
      <c r="D584" s="4">
        <f t="shared" si="52"/>
        <v>0.13541666666666669</v>
      </c>
      <c r="E584" s="6">
        <v>0.33194444444444443</v>
      </c>
      <c r="F584" s="5">
        <f t="shared" si="53"/>
        <v>0.71025260029717674</v>
      </c>
      <c r="G584" s="5">
        <v>0.89600000000000002</v>
      </c>
      <c r="H584" s="4">
        <f>79.1/1440</f>
        <v>5.4930555555555552E-2</v>
      </c>
      <c r="I584" s="5">
        <v>0.14799999999999999</v>
      </c>
      <c r="J584" s="11" t="s">
        <v>475</v>
      </c>
    </row>
    <row r="585" spans="1:10" ht="13.15" customHeight="1" x14ac:dyDescent="0.25">
      <c r="A585">
        <f t="shared" si="49"/>
        <v>580</v>
      </c>
      <c r="B585" t="s">
        <v>1002</v>
      </c>
      <c r="C585" s="2">
        <v>0.44930555555555557</v>
      </c>
      <c r="D585" s="4">
        <f t="shared" si="52"/>
        <v>0.11736111111111114</v>
      </c>
      <c r="E585" s="6">
        <v>0.33194444444444443</v>
      </c>
      <c r="F585" s="5">
        <f t="shared" si="53"/>
        <v>0.73879443585780524</v>
      </c>
      <c r="G585" s="5">
        <v>0.79500000000000004</v>
      </c>
      <c r="H585" s="4">
        <f>57.8/1440</f>
        <v>4.0138888888888884E-2</v>
      </c>
      <c r="I585" s="5">
        <v>9.6000000000000002E-2</v>
      </c>
      <c r="J585" s="11" t="s">
        <v>998</v>
      </c>
    </row>
    <row r="586" spans="1:10" ht="13.15" customHeight="1" x14ac:dyDescent="0.25">
      <c r="A586">
        <f t="shared" si="49"/>
        <v>581</v>
      </c>
      <c r="B586" t="s">
        <v>1347</v>
      </c>
      <c r="C586" s="2">
        <v>0.43402777777777779</v>
      </c>
      <c r="D586" s="4">
        <f t="shared" si="52"/>
        <v>0.10208333333333336</v>
      </c>
      <c r="E586" s="6">
        <v>0.33194444444444443</v>
      </c>
      <c r="F586" s="5">
        <f t="shared" si="53"/>
        <v>0.76479999999999992</v>
      </c>
      <c r="G586" s="5">
        <v>0.84599999999999997</v>
      </c>
      <c r="H586" s="4">
        <f>64.8/1440</f>
        <v>4.4999999999999998E-2</v>
      </c>
      <c r="I586" s="5">
        <v>0.115</v>
      </c>
      <c r="J586" s="11" t="s">
        <v>1346</v>
      </c>
    </row>
    <row r="587" spans="1:10" ht="13.15" customHeight="1" x14ac:dyDescent="0.25">
      <c r="A587">
        <f t="shared" si="49"/>
        <v>582</v>
      </c>
      <c r="B587" t="s">
        <v>1700</v>
      </c>
      <c r="C587" s="2">
        <v>0.43333333333333335</v>
      </c>
      <c r="D587" s="4">
        <f t="shared" si="52"/>
        <v>0.10138888888888892</v>
      </c>
      <c r="E587" s="6">
        <v>0.33194444444444443</v>
      </c>
      <c r="F587" s="5">
        <f t="shared" si="53"/>
        <v>0.76602564102564097</v>
      </c>
      <c r="G587" s="5">
        <v>0.82499999999999996</v>
      </c>
      <c r="H587" s="4">
        <f>64.1/1440</f>
        <v>4.4513888888888888E-2</v>
      </c>
      <c r="I587" s="5">
        <v>0.111</v>
      </c>
      <c r="J587" s="11" t="s">
        <v>1695</v>
      </c>
    </row>
    <row r="588" spans="1:10" ht="13.15" customHeight="1" x14ac:dyDescent="0.25">
      <c r="A588">
        <f t="shared" si="49"/>
        <v>583</v>
      </c>
      <c r="B588" t="s">
        <v>1730</v>
      </c>
      <c r="C588" s="2">
        <v>0.42291666666666666</v>
      </c>
      <c r="D588" s="4">
        <f t="shared" si="52"/>
        <v>9.0972222222222232E-2</v>
      </c>
      <c r="E588" s="6">
        <v>0.33194444444444443</v>
      </c>
      <c r="F588" s="5">
        <f t="shared" si="53"/>
        <v>0.78489326765188827</v>
      </c>
      <c r="G588" s="5">
        <v>0.876</v>
      </c>
      <c r="H588" s="4">
        <f>75.8/1440</f>
        <v>5.2638888888888888E-2</v>
      </c>
      <c r="I588" s="5">
        <v>0.13900000000000001</v>
      </c>
      <c r="J588" s="11" t="s">
        <v>1727</v>
      </c>
    </row>
    <row r="589" spans="1:10" ht="13.15" customHeight="1" x14ac:dyDescent="0.25">
      <c r="A589">
        <f t="shared" si="49"/>
        <v>584</v>
      </c>
      <c r="B589" t="s">
        <v>1787</v>
      </c>
      <c r="C589" s="2">
        <v>0.43194444444444446</v>
      </c>
      <c r="D589" s="4">
        <f t="shared" si="52"/>
        <v>0.10000000000000003</v>
      </c>
      <c r="E589" s="6">
        <v>0.33194444444444443</v>
      </c>
      <c r="F589" s="5">
        <f t="shared" si="53"/>
        <v>0.76848874598070738</v>
      </c>
      <c r="G589" s="5">
        <v>1</v>
      </c>
      <c r="H589" s="4">
        <f>81.9/1440</f>
        <v>5.6875000000000002E-2</v>
      </c>
      <c r="I589" s="5">
        <v>0.17100000000000001</v>
      </c>
      <c r="J589" s="11" t="s">
        <v>1776</v>
      </c>
    </row>
    <row r="590" spans="1:10" ht="13.15" customHeight="1" x14ac:dyDescent="0.25">
      <c r="A590">
        <f t="shared" si="49"/>
        <v>585</v>
      </c>
      <c r="B590" t="s">
        <v>62</v>
      </c>
      <c r="C590" s="2">
        <v>0.44861111111111113</v>
      </c>
      <c r="D590" s="4">
        <f t="shared" si="52"/>
        <v>0.11736111111111114</v>
      </c>
      <c r="E590" s="6">
        <v>0.33124999999999999</v>
      </c>
      <c r="F590" s="5">
        <f t="shared" si="53"/>
        <v>0.73839009287925694</v>
      </c>
      <c r="G590" s="5">
        <v>0.84699999999999998</v>
      </c>
      <c r="H590" s="4">
        <f>73.2/1440</f>
        <v>5.0833333333333335E-2</v>
      </c>
      <c r="I590" s="5">
        <v>0.13</v>
      </c>
      <c r="J590" s="11" t="s">
        <v>124</v>
      </c>
    </row>
    <row r="591" spans="1:10" ht="13.15" customHeight="1" x14ac:dyDescent="0.25">
      <c r="A591">
        <f t="shared" si="49"/>
        <v>586</v>
      </c>
      <c r="B591" t="s">
        <v>150</v>
      </c>
      <c r="C591" s="2">
        <v>0.45416666666666666</v>
      </c>
      <c r="D591" s="4">
        <f t="shared" si="52"/>
        <v>0.12291666666666667</v>
      </c>
      <c r="E591" s="6">
        <v>0.33124999999999999</v>
      </c>
      <c r="F591" s="5">
        <f t="shared" si="53"/>
        <v>0.72935779816513757</v>
      </c>
      <c r="G591" s="5">
        <v>0.86899999999999999</v>
      </c>
      <c r="H591" s="4">
        <f>104.3/1440</f>
        <v>7.2430555555555554E-2</v>
      </c>
      <c r="I591" s="5">
        <v>0.19</v>
      </c>
      <c r="J591" s="11" t="s">
        <v>155</v>
      </c>
    </row>
    <row r="592" spans="1:10" ht="13.15" customHeight="1" x14ac:dyDescent="0.25">
      <c r="A592">
        <f t="shared" si="49"/>
        <v>587</v>
      </c>
      <c r="B592" t="s">
        <v>568</v>
      </c>
      <c r="C592" s="2">
        <v>0.44513888888888892</v>
      </c>
      <c r="D592" s="4">
        <f t="shared" si="52"/>
        <v>0.11388888888888893</v>
      </c>
      <c r="E592" s="6">
        <v>0.33124999999999999</v>
      </c>
      <c r="F592" s="5">
        <f t="shared" si="53"/>
        <v>0.74414976599063953</v>
      </c>
      <c r="G592" s="5">
        <v>0.78300000000000003</v>
      </c>
      <c r="H592" s="4">
        <f>69.2/1440</f>
        <v>4.805555555555556E-2</v>
      </c>
      <c r="I592" s="5">
        <v>0.114</v>
      </c>
      <c r="J592" s="11" t="s">
        <v>575</v>
      </c>
    </row>
    <row r="593" spans="1:10" ht="13.15" customHeight="1" x14ac:dyDescent="0.25">
      <c r="A593">
        <f t="shared" si="49"/>
        <v>588</v>
      </c>
      <c r="B593" t="s">
        <v>1068</v>
      </c>
      <c r="C593" s="2">
        <v>0.43680555555555556</v>
      </c>
      <c r="D593" s="4">
        <f t="shared" si="52"/>
        <v>0.10555555555555557</v>
      </c>
      <c r="E593" s="6">
        <v>0.33124999999999999</v>
      </c>
      <c r="F593" s="5">
        <f t="shared" si="53"/>
        <v>0.75834658187599358</v>
      </c>
      <c r="G593" s="5">
        <v>0.83099999999999996</v>
      </c>
      <c r="H593" s="4">
        <f>68.5/1440</f>
        <v>4.7569444444444442E-2</v>
      </c>
      <c r="I593" s="5">
        <v>0.11899999999999999</v>
      </c>
      <c r="J593" s="11" t="s">
        <v>1052</v>
      </c>
    </row>
    <row r="594" spans="1:10" ht="13.15" customHeight="1" x14ac:dyDescent="0.25">
      <c r="A594">
        <f t="shared" si="49"/>
        <v>589</v>
      </c>
      <c r="B594" t="s">
        <v>1204</v>
      </c>
      <c r="C594" s="2">
        <v>0.45833333333333331</v>
      </c>
      <c r="D594" s="4">
        <f t="shared" si="52"/>
        <v>0.12708333333333333</v>
      </c>
      <c r="E594" s="6">
        <v>0.33124999999999999</v>
      </c>
      <c r="F594" s="5">
        <f t="shared" si="53"/>
        <v>0.72272727272727277</v>
      </c>
      <c r="G594" s="5">
        <v>0.83599999999999997</v>
      </c>
      <c r="H594" s="4">
        <f>68.3/1440</f>
        <v>4.7430555555555552E-2</v>
      </c>
      <c r="I594" s="5">
        <v>0.12</v>
      </c>
      <c r="J594" s="11" t="s">
        <v>1184</v>
      </c>
    </row>
    <row r="595" spans="1:10" ht="13.15" customHeight="1" x14ac:dyDescent="0.25">
      <c r="A595">
        <f t="shared" ref="A595:A658" si="54">A594+1</f>
        <v>590</v>
      </c>
      <c r="B595" t="s">
        <v>1399</v>
      </c>
      <c r="C595" s="2">
        <v>0.43958333333333333</v>
      </c>
      <c r="D595" s="4">
        <f t="shared" si="52"/>
        <v>0.10833333333333334</v>
      </c>
      <c r="E595" s="6">
        <v>0.33124999999999999</v>
      </c>
      <c r="F595" s="5">
        <f t="shared" si="53"/>
        <v>0.75355450236966826</v>
      </c>
      <c r="G595" s="5">
        <v>0.82299999999999995</v>
      </c>
      <c r="H595" s="4">
        <f>67.4/1440</f>
        <v>4.6805555555555559E-2</v>
      </c>
      <c r="I595" s="5">
        <v>0.11600000000000001</v>
      </c>
      <c r="J595" s="11" t="s">
        <v>1400</v>
      </c>
    </row>
    <row r="596" spans="1:10" ht="13.15" customHeight="1" x14ac:dyDescent="0.25">
      <c r="A596">
        <f t="shared" si="54"/>
        <v>591</v>
      </c>
      <c r="B596" t="s">
        <v>275</v>
      </c>
      <c r="C596" s="2">
        <v>0.4548611111111111</v>
      </c>
      <c r="D596" s="4">
        <f t="shared" si="52"/>
        <v>0.12430555555555556</v>
      </c>
      <c r="E596" s="6">
        <v>0.33055555555555555</v>
      </c>
      <c r="F596" s="5">
        <f t="shared" si="53"/>
        <v>0.72671755725190834</v>
      </c>
      <c r="G596" s="5">
        <v>0.77600000000000002</v>
      </c>
      <c r="H596" s="4">
        <f>69.5/1440</f>
        <v>4.8263888888888891E-2</v>
      </c>
      <c r="I596" s="5">
        <v>0.113</v>
      </c>
      <c r="J596" s="11" t="s">
        <v>276</v>
      </c>
    </row>
    <row r="597" spans="1:10" ht="13.15" customHeight="1" x14ac:dyDescent="0.25">
      <c r="A597">
        <f t="shared" si="54"/>
        <v>592</v>
      </c>
      <c r="B597" t="s">
        <v>319</v>
      </c>
      <c r="C597" s="2">
        <v>0.43958333333333338</v>
      </c>
      <c r="D597" s="4">
        <f t="shared" si="52"/>
        <v>0.10902777777777783</v>
      </c>
      <c r="E597" s="6">
        <v>0.33055555555555555</v>
      </c>
      <c r="F597" s="5">
        <f t="shared" si="53"/>
        <v>0.75197472353870443</v>
      </c>
      <c r="G597" s="5">
        <v>0.75700000000000001</v>
      </c>
      <c r="H597" s="4">
        <f>92.9/1440</f>
        <v>6.4513888888888898E-2</v>
      </c>
      <c r="I597" s="5">
        <v>0.14799999999999999</v>
      </c>
      <c r="J597" s="11" t="s">
        <v>323</v>
      </c>
    </row>
    <row r="598" spans="1:10" ht="13.15" customHeight="1" x14ac:dyDescent="0.25">
      <c r="A598">
        <f t="shared" si="54"/>
        <v>593</v>
      </c>
      <c r="B598" t="s">
        <v>445</v>
      </c>
      <c r="C598" s="2">
        <v>0.4513888888888889</v>
      </c>
      <c r="D598" s="4">
        <f t="shared" si="52"/>
        <v>0.12083333333333335</v>
      </c>
      <c r="E598" s="6">
        <v>0.33055555555555555</v>
      </c>
      <c r="F598" s="5">
        <f t="shared" si="53"/>
        <v>0.73230769230769233</v>
      </c>
      <c r="G598" s="5">
        <v>0.80700000000000005</v>
      </c>
      <c r="H598" s="4">
        <f>72.5/1440</f>
        <v>5.0347222222222224E-2</v>
      </c>
      <c r="I598" s="5">
        <v>0.123</v>
      </c>
      <c r="J598" s="11" t="s">
        <v>446</v>
      </c>
    </row>
    <row r="599" spans="1:10" ht="13.15" customHeight="1" x14ac:dyDescent="0.25">
      <c r="A599">
        <f t="shared" si="54"/>
        <v>594</v>
      </c>
      <c r="B599" t="s">
        <v>493</v>
      </c>
      <c r="C599" s="2">
        <v>0.50138888888888888</v>
      </c>
      <c r="D599" s="4">
        <f t="shared" si="52"/>
        <v>0.17083333333333334</v>
      </c>
      <c r="E599" s="6">
        <v>0.33055555555555555</v>
      </c>
      <c r="F599" s="5">
        <f t="shared" si="53"/>
        <v>0.65927977839335183</v>
      </c>
      <c r="G599" s="5">
        <v>0.89300000000000002</v>
      </c>
      <c r="H599" s="4">
        <f>106.7/1440</f>
        <v>7.4097222222222231E-2</v>
      </c>
      <c r="I599" s="5">
        <v>0.10299999999999999</v>
      </c>
      <c r="J599" s="11" t="s">
        <v>494</v>
      </c>
    </row>
    <row r="600" spans="1:10" ht="13.15" customHeight="1" x14ac:dyDescent="0.25">
      <c r="A600">
        <f t="shared" si="54"/>
        <v>595</v>
      </c>
      <c r="B600" t="s">
        <v>578</v>
      </c>
      <c r="C600" s="2">
        <v>0.45277777777777778</v>
      </c>
      <c r="D600" s="4">
        <f t="shared" si="52"/>
        <v>0.12222222222222223</v>
      </c>
      <c r="E600" s="6">
        <v>0.33055555555555555</v>
      </c>
      <c r="F600" s="5">
        <f t="shared" si="53"/>
        <v>0.73006134969325154</v>
      </c>
      <c r="G600" s="5">
        <v>0.82</v>
      </c>
      <c r="H600" s="4">
        <f>69.2/1440</f>
        <v>4.805555555555556E-2</v>
      </c>
      <c r="I600" s="5">
        <v>0.11899999999999999</v>
      </c>
      <c r="J600" s="11" t="s">
        <v>584</v>
      </c>
    </row>
    <row r="601" spans="1:10" ht="13.15" customHeight="1" x14ac:dyDescent="0.25">
      <c r="A601">
        <f t="shared" si="54"/>
        <v>596</v>
      </c>
      <c r="B601" t="s">
        <v>700</v>
      </c>
      <c r="C601" s="2">
        <v>0.46736111111111112</v>
      </c>
      <c r="D601" s="4">
        <f t="shared" si="52"/>
        <v>0.13680555555555557</v>
      </c>
      <c r="E601" s="6">
        <v>0.33055555555555555</v>
      </c>
      <c r="F601" s="5">
        <f t="shared" si="53"/>
        <v>0.70728083209509651</v>
      </c>
      <c r="G601" s="5">
        <v>0.82399999999999995</v>
      </c>
      <c r="H601" s="4">
        <f>69.7/1440</f>
        <v>4.8402777777777781E-2</v>
      </c>
      <c r="I601" s="5">
        <v>0.121</v>
      </c>
      <c r="J601" s="11" t="s">
        <v>704</v>
      </c>
    </row>
    <row r="602" spans="1:10" ht="13.15" customHeight="1" x14ac:dyDescent="0.25">
      <c r="A602">
        <f t="shared" si="54"/>
        <v>597</v>
      </c>
      <c r="B602" t="s">
        <v>1215</v>
      </c>
      <c r="C602" s="2">
        <v>0.43958333333333333</v>
      </c>
      <c r="D602" s="4">
        <f t="shared" si="52"/>
        <v>0.10902777777777778</v>
      </c>
      <c r="E602" s="6">
        <v>0.33055555555555555</v>
      </c>
      <c r="F602" s="5">
        <f t="shared" si="53"/>
        <v>0.75197472353870454</v>
      </c>
      <c r="G602" s="5">
        <v>0.81499999999999995</v>
      </c>
      <c r="H602" s="4">
        <f>66.5/1440</f>
        <v>4.6180555555555558E-2</v>
      </c>
      <c r="I602" s="5">
        <v>0.114</v>
      </c>
      <c r="J602" s="11" t="s">
        <v>1213</v>
      </c>
    </row>
    <row r="603" spans="1:10" ht="13.15" customHeight="1" x14ac:dyDescent="0.25">
      <c r="A603">
        <f t="shared" si="54"/>
        <v>598</v>
      </c>
      <c r="B603" t="s">
        <v>1294</v>
      </c>
      <c r="C603" s="2">
        <v>0.44305555555555554</v>
      </c>
      <c r="D603" s="4">
        <f t="shared" ref="D603:D634" si="55">C603-E603</f>
        <v>0.11249999999999999</v>
      </c>
      <c r="E603" s="6">
        <v>0.33055555555555555</v>
      </c>
      <c r="F603" s="5">
        <f t="shared" ref="F603:F634" si="56">E603/C603</f>
        <v>0.74608150470219436</v>
      </c>
      <c r="G603" s="5">
        <v>0.83</v>
      </c>
      <c r="H603" s="4">
        <f>64.6/1440</f>
        <v>4.4861111111111109E-2</v>
      </c>
      <c r="I603" s="5">
        <v>0.112</v>
      </c>
      <c r="J603" s="11" t="s">
        <v>1288</v>
      </c>
    </row>
    <row r="604" spans="1:10" ht="13.15" customHeight="1" x14ac:dyDescent="0.25">
      <c r="A604">
        <f t="shared" si="54"/>
        <v>599</v>
      </c>
      <c r="B604" t="s">
        <v>1588</v>
      </c>
      <c r="C604" s="2">
        <v>0.41111111111111109</v>
      </c>
      <c r="D604" s="4">
        <f t="shared" si="55"/>
        <v>8.0555555555555547E-2</v>
      </c>
      <c r="E604" s="6">
        <v>0.33055555555555555</v>
      </c>
      <c r="F604" s="5">
        <f t="shared" si="56"/>
        <v>0.80405405405405406</v>
      </c>
      <c r="G604" s="5">
        <v>0.80800000000000005</v>
      </c>
      <c r="H604" s="4">
        <f>63.9/1440</f>
        <v>4.4374999999999998E-2</v>
      </c>
      <c r="I604" s="5">
        <v>0.108</v>
      </c>
      <c r="J604" s="11" t="s">
        <v>1587</v>
      </c>
    </row>
    <row r="605" spans="1:10" ht="13.15" customHeight="1" x14ac:dyDescent="0.25">
      <c r="A605">
        <f t="shared" si="54"/>
        <v>600</v>
      </c>
      <c r="B605" t="s">
        <v>55</v>
      </c>
      <c r="C605" s="2">
        <v>0.47916666666666669</v>
      </c>
      <c r="D605" s="4">
        <f t="shared" si="55"/>
        <v>0.14930555555555558</v>
      </c>
      <c r="E605" s="6">
        <v>0.3298611111111111</v>
      </c>
      <c r="F605" s="5">
        <f t="shared" si="56"/>
        <v>0.68840579710144922</v>
      </c>
      <c r="G605" s="5">
        <v>0.72399999999999998</v>
      </c>
      <c r="H605" s="4">
        <f>62.1/1440</f>
        <v>4.3125000000000004E-2</v>
      </c>
      <c r="I605" s="5">
        <v>9.5000000000000001E-2</v>
      </c>
      <c r="J605" s="11" t="s">
        <v>120</v>
      </c>
    </row>
    <row r="606" spans="1:10" ht="13.15" customHeight="1" x14ac:dyDescent="0.25">
      <c r="A606">
        <f t="shared" si="54"/>
        <v>601</v>
      </c>
      <c r="B606" t="s">
        <v>375</v>
      </c>
      <c r="C606" s="2">
        <v>0.47569444444444442</v>
      </c>
      <c r="D606" s="4">
        <f t="shared" si="55"/>
        <v>0.14583333333333331</v>
      </c>
      <c r="E606" s="6">
        <v>0.3298611111111111</v>
      </c>
      <c r="F606" s="5">
        <f t="shared" si="56"/>
        <v>0.69343065693430661</v>
      </c>
      <c r="G606" s="5">
        <v>0.75900000000000001</v>
      </c>
      <c r="H606" s="4">
        <f>60.8/1440</f>
        <v>4.2222222222222223E-2</v>
      </c>
      <c r="I606" s="5">
        <v>9.7000000000000003E-2</v>
      </c>
      <c r="J606" s="11" t="s">
        <v>376</v>
      </c>
    </row>
    <row r="607" spans="1:10" ht="13.15" customHeight="1" x14ac:dyDescent="0.25">
      <c r="A607">
        <f t="shared" si="54"/>
        <v>602</v>
      </c>
      <c r="B607" t="s">
        <v>478</v>
      </c>
      <c r="C607" s="2">
        <v>0.45</v>
      </c>
      <c r="D607" s="4">
        <f t="shared" si="55"/>
        <v>0.12013888888888891</v>
      </c>
      <c r="E607" s="6">
        <v>0.3298611111111111</v>
      </c>
      <c r="F607" s="5">
        <f t="shared" si="56"/>
        <v>0.73302469135802462</v>
      </c>
      <c r="G607" s="5">
        <v>0.85299999999999998</v>
      </c>
      <c r="H607" s="4">
        <f>78.8/1440</f>
        <v>5.4722222222222221E-2</v>
      </c>
      <c r="I607" s="5">
        <v>0.14099999999999999</v>
      </c>
      <c r="J607" s="11" t="s">
        <v>479</v>
      </c>
    </row>
    <row r="608" spans="1:10" ht="13.15" customHeight="1" x14ac:dyDescent="0.25">
      <c r="A608">
        <f t="shared" si="54"/>
        <v>603</v>
      </c>
      <c r="B608" t="s">
        <v>507</v>
      </c>
      <c r="C608" s="2">
        <v>0.4368055555555555</v>
      </c>
      <c r="D608" s="4">
        <f t="shared" si="55"/>
        <v>0.1069444444444444</v>
      </c>
      <c r="E608" s="6">
        <v>0.3298611111111111</v>
      </c>
      <c r="F608" s="5">
        <f t="shared" si="56"/>
        <v>0.75516693163751991</v>
      </c>
      <c r="G608" s="5">
        <v>0.75</v>
      </c>
      <c r="H608" s="4">
        <f>57.2/1440</f>
        <v>3.9722222222222221E-2</v>
      </c>
      <c r="I608" s="5">
        <v>0.09</v>
      </c>
      <c r="J608" s="11" t="s">
        <v>511</v>
      </c>
    </row>
    <row r="609" spans="1:10" ht="13.15" customHeight="1" x14ac:dyDescent="0.25">
      <c r="A609">
        <f t="shared" si="54"/>
        <v>604</v>
      </c>
      <c r="B609" t="s">
        <v>685</v>
      </c>
      <c r="C609" s="2">
        <v>0.4368055555555555</v>
      </c>
      <c r="D609" s="4">
        <f t="shared" si="55"/>
        <v>0.1069444444444444</v>
      </c>
      <c r="E609" s="6">
        <v>0.3298611111111111</v>
      </c>
      <c r="F609" s="5">
        <f t="shared" si="56"/>
        <v>0.75516693163751991</v>
      </c>
      <c r="G609" s="5">
        <v>0.872</v>
      </c>
      <c r="H609" s="4">
        <f>66.3/1440</f>
        <v>4.6041666666666661E-2</v>
      </c>
      <c r="I609" s="5">
        <v>0.122</v>
      </c>
      <c r="J609" s="11" t="s">
        <v>687</v>
      </c>
    </row>
    <row r="610" spans="1:10" ht="13.15" customHeight="1" x14ac:dyDescent="0.25">
      <c r="A610">
        <f t="shared" si="54"/>
        <v>605</v>
      </c>
      <c r="B610" t="s">
        <v>771</v>
      </c>
      <c r="C610" s="2">
        <v>0.44027777777777777</v>
      </c>
      <c r="D610" s="4">
        <f t="shared" si="55"/>
        <v>0.11041666666666666</v>
      </c>
      <c r="E610" s="6">
        <v>0.3298611111111111</v>
      </c>
      <c r="F610" s="5">
        <f t="shared" si="56"/>
        <v>0.74921135646687698</v>
      </c>
      <c r="G610" s="5">
        <v>0.81200000000000006</v>
      </c>
      <c r="H610" s="4">
        <f>68.7/1440</f>
        <v>4.7708333333333339E-2</v>
      </c>
      <c r="I610" s="5">
        <v>0.11700000000000001</v>
      </c>
      <c r="J610" s="11" t="s">
        <v>775</v>
      </c>
    </row>
    <row r="611" spans="1:10" ht="13.15" customHeight="1" x14ac:dyDescent="0.25">
      <c r="A611">
        <f t="shared" si="54"/>
        <v>606</v>
      </c>
      <c r="B611" t="s">
        <v>804</v>
      </c>
      <c r="C611" s="2">
        <v>0.42083333333333334</v>
      </c>
      <c r="D611" s="4">
        <f t="shared" si="55"/>
        <v>9.0972222222222232E-2</v>
      </c>
      <c r="E611" s="6">
        <v>0.3298611111111111</v>
      </c>
      <c r="F611" s="5">
        <f t="shared" si="56"/>
        <v>0.78382838283828382</v>
      </c>
      <c r="G611" s="5">
        <v>0.81499999999999995</v>
      </c>
      <c r="H611" s="4">
        <f>67.1/1440</f>
        <v>4.659722222222222E-2</v>
      </c>
      <c r="I611" s="5">
        <v>0.115</v>
      </c>
      <c r="J611" s="11" t="s">
        <v>801</v>
      </c>
    </row>
    <row r="612" spans="1:10" ht="13.15" customHeight="1" x14ac:dyDescent="0.25">
      <c r="A612">
        <f t="shared" si="54"/>
        <v>607</v>
      </c>
      <c r="B612" t="s">
        <v>1028</v>
      </c>
      <c r="C612" s="2">
        <v>0.4465277777777778</v>
      </c>
      <c r="D612" s="4">
        <f t="shared" si="55"/>
        <v>0.1166666666666667</v>
      </c>
      <c r="E612" s="6">
        <v>0.3298611111111111</v>
      </c>
      <c r="F612" s="5">
        <f t="shared" si="56"/>
        <v>0.73872472783825816</v>
      </c>
      <c r="G612" s="5">
        <v>0.81</v>
      </c>
      <c r="H612" s="4">
        <f>64.2/1440</f>
        <v>4.4583333333333336E-2</v>
      </c>
      <c r="I612" s="5">
        <v>0.109</v>
      </c>
      <c r="J612" s="11" t="s">
        <v>1022</v>
      </c>
    </row>
    <row r="613" spans="1:10" ht="13.15" customHeight="1" x14ac:dyDescent="0.25">
      <c r="A613">
        <f t="shared" si="54"/>
        <v>608</v>
      </c>
      <c r="B613" t="s">
        <v>1449</v>
      </c>
      <c r="C613" s="2">
        <v>0.45416666666666666</v>
      </c>
      <c r="D613" s="4">
        <f t="shared" si="55"/>
        <v>0.12430555555555556</v>
      </c>
      <c r="E613" s="6">
        <v>0.3298611111111111</v>
      </c>
      <c r="F613" s="5">
        <f t="shared" si="56"/>
        <v>0.72629969418960239</v>
      </c>
      <c r="G613" s="5">
        <v>0.86799999999999999</v>
      </c>
      <c r="H613" s="4">
        <f>72.8/1440</f>
        <v>5.0555555555555555E-2</v>
      </c>
      <c r="I613" s="5">
        <v>0.13300000000000001</v>
      </c>
      <c r="J613" s="11" t="s">
        <v>1440</v>
      </c>
    </row>
    <row r="614" spans="1:10" ht="13.15" customHeight="1" x14ac:dyDescent="0.25">
      <c r="A614">
        <f t="shared" si="54"/>
        <v>609</v>
      </c>
      <c r="B614" t="s">
        <v>15</v>
      </c>
      <c r="C614" s="2">
        <v>0.44861111111111113</v>
      </c>
      <c r="D614" s="4">
        <f t="shared" si="55"/>
        <v>0.11944444444444446</v>
      </c>
      <c r="E614" s="6">
        <v>0.32916666666666666</v>
      </c>
      <c r="F614" s="5">
        <f t="shared" si="56"/>
        <v>0.73374613003095968</v>
      </c>
      <c r="G614" s="5">
        <v>0.755</v>
      </c>
      <c r="H614" s="4">
        <f>79.9/1440</f>
        <v>5.5486111111111118E-2</v>
      </c>
      <c r="I614" s="5">
        <v>0.127</v>
      </c>
      <c r="J614" s="11" t="s">
        <v>95</v>
      </c>
    </row>
    <row r="615" spans="1:10" ht="13.15" customHeight="1" x14ac:dyDescent="0.25">
      <c r="A615">
        <f t="shared" si="54"/>
        <v>610</v>
      </c>
      <c r="B615" t="s">
        <v>307</v>
      </c>
      <c r="C615" s="2">
        <v>0.45277777777777778</v>
      </c>
      <c r="D615" s="4">
        <f t="shared" si="55"/>
        <v>0.12361111111111112</v>
      </c>
      <c r="E615" s="6">
        <v>0.32916666666666666</v>
      </c>
      <c r="F615" s="5">
        <f t="shared" si="56"/>
        <v>0.72699386503067487</v>
      </c>
      <c r="G615" s="5">
        <v>0.78600000000000003</v>
      </c>
      <c r="H615" s="4">
        <f>72.6/1440</f>
        <v>5.0416666666666665E-2</v>
      </c>
      <c r="I615" s="5">
        <v>0.12</v>
      </c>
      <c r="J615" s="11" t="s">
        <v>308</v>
      </c>
    </row>
    <row r="616" spans="1:10" ht="13.15" customHeight="1" x14ac:dyDescent="0.25">
      <c r="A616">
        <f t="shared" si="54"/>
        <v>611</v>
      </c>
      <c r="B616" t="s">
        <v>399</v>
      </c>
      <c r="C616" s="2">
        <v>0.4548611111111111</v>
      </c>
      <c r="D616" s="4">
        <f t="shared" si="55"/>
        <v>0.12569444444444444</v>
      </c>
      <c r="E616" s="6">
        <v>0.32916666666666666</v>
      </c>
      <c r="F616" s="5">
        <f t="shared" si="56"/>
        <v>0.72366412213740461</v>
      </c>
      <c r="G616" s="5">
        <v>0.83599999999999997</v>
      </c>
      <c r="H616" s="4">
        <f>73.4/1440</f>
        <v>5.0972222222222224E-2</v>
      </c>
      <c r="I616" s="5">
        <v>0.129</v>
      </c>
      <c r="J616" s="11" t="s">
        <v>401</v>
      </c>
    </row>
    <row r="617" spans="1:10" ht="13.15" customHeight="1" x14ac:dyDescent="0.25">
      <c r="A617">
        <f t="shared" si="54"/>
        <v>612</v>
      </c>
      <c r="B617" t="s">
        <v>520</v>
      </c>
      <c r="C617" s="2">
        <v>0.45833333333333331</v>
      </c>
      <c r="D617" s="4">
        <f t="shared" si="55"/>
        <v>0.12916666666666665</v>
      </c>
      <c r="E617" s="6">
        <v>0.32916666666666666</v>
      </c>
      <c r="F617" s="5">
        <f t="shared" si="56"/>
        <v>0.71818181818181825</v>
      </c>
      <c r="G617" s="5">
        <v>0.77500000000000002</v>
      </c>
      <c r="H617" s="4">
        <f>67.5/1440</f>
        <v>4.6875E-2</v>
      </c>
      <c r="I617" s="5">
        <v>0.11</v>
      </c>
      <c r="J617" s="11" t="s">
        <v>521</v>
      </c>
    </row>
    <row r="618" spans="1:10" ht="13.15" customHeight="1" x14ac:dyDescent="0.25">
      <c r="A618">
        <f t="shared" si="54"/>
        <v>613</v>
      </c>
      <c r="B618" t="s">
        <v>701</v>
      </c>
      <c r="C618" s="2">
        <v>0.46597222222222223</v>
      </c>
      <c r="D618" s="4">
        <f t="shared" si="55"/>
        <v>0.13680555555555557</v>
      </c>
      <c r="E618" s="6">
        <v>0.32916666666666666</v>
      </c>
      <c r="F618" s="5">
        <f t="shared" si="56"/>
        <v>0.70640834575260802</v>
      </c>
      <c r="G618" s="5">
        <v>0.83799999999999997</v>
      </c>
      <c r="H618" s="4">
        <f>67.2/1440</f>
        <v>4.6666666666666669E-2</v>
      </c>
      <c r="I618" s="5">
        <v>0.11899999999999999</v>
      </c>
      <c r="J618" s="11" t="s">
        <v>704</v>
      </c>
    </row>
    <row r="619" spans="1:10" ht="13.15" customHeight="1" x14ac:dyDescent="0.25">
      <c r="A619">
        <f t="shared" si="54"/>
        <v>614</v>
      </c>
      <c r="B619" t="s">
        <v>824</v>
      </c>
      <c r="C619" s="2">
        <v>0.44097222222222221</v>
      </c>
      <c r="D619" s="4">
        <f t="shared" si="55"/>
        <v>0.11180555555555555</v>
      </c>
      <c r="E619" s="6">
        <v>0.32916666666666666</v>
      </c>
      <c r="F619" s="5">
        <f t="shared" si="56"/>
        <v>0.74645669291338579</v>
      </c>
      <c r="G619" s="5">
        <v>0.79600000000000004</v>
      </c>
      <c r="H619" s="4">
        <f>68.9/1440</f>
        <v>4.7847222222222228E-2</v>
      </c>
      <c r="I619" s="5">
        <v>0.11600000000000001</v>
      </c>
      <c r="J619" s="11" t="s">
        <v>823</v>
      </c>
    </row>
    <row r="620" spans="1:10" ht="13.15" customHeight="1" x14ac:dyDescent="0.25">
      <c r="A620">
        <f t="shared" si="54"/>
        <v>615</v>
      </c>
      <c r="B620" t="s">
        <v>837</v>
      </c>
      <c r="C620" s="2">
        <v>0.46041666666666664</v>
      </c>
      <c r="D620" s="4">
        <f t="shared" si="55"/>
        <v>0.13124999999999998</v>
      </c>
      <c r="E620" s="6">
        <v>0.32916666666666666</v>
      </c>
      <c r="F620" s="5">
        <f t="shared" si="56"/>
        <v>0.71493212669683259</v>
      </c>
      <c r="G620" s="5">
        <v>0.84699999999999998</v>
      </c>
      <c r="H620" s="4">
        <f>73.8/1440</f>
        <v>5.1249999999999997E-2</v>
      </c>
      <c r="I620" s="5">
        <v>0.13200000000000001</v>
      </c>
      <c r="J620" s="11" t="s">
        <v>840</v>
      </c>
    </row>
    <row r="621" spans="1:10" ht="13.15" customHeight="1" x14ac:dyDescent="0.25">
      <c r="A621">
        <f t="shared" si="54"/>
        <v>616</v>
      </c>
      <c r="B621" t="s">
        <v>876</v>
      </c>
      <c r="C621" s="2">
        <v>0.41875000000000001</v>
      </c>
      <c r="D621" s="4">
        <f t="shared" si="55"/>
        <v>8.9583333333333348E-2</v>
      </c>
      <c r="E621" s="6">
        <v>0.32916666666666666</v>
      </c>
      <c r="F621" s="5">
        <f t="shared" si="56"/>
        <v>0.78606965174129351</v>
      </c>
      <c r="G621" s="5">
        <v>0.74</v>
      </c>
      <c r="H621" s="4">
        <f>58.7/1440</f>
        <v>4.0763888888888891E-2</v>
      </c>
      <c r="I621" s="5">
        <v>9.1999999999999998E-2</v>
      </c>
      <c r="J621" s="11" t="s">
        <v>878</v>
      </c>
    </row>
    <row r="622" spans="1:10" ht="13.15" customHeight="1" x14ac:dyDescent="0.25">
      <c r="A622">
        <f t="shared" si="54"/>
        <v>617</v>
      </c>
      <c r="B622" t="s">
        <v>1065</v>
      </c>
      <c r="C622" s="2">
        <v>0.43263888888888891</v>
      </c>
      <c r="D622" s="4">
        <f t="shared" si="55"/>
        <v>0.10347222222222224</v>
      </c>
      <c r="E622" s="6">
        <v>0.32916666666666666</v>
      </c>
      <c r="F622" s="5">
        <f t="shared" si="56"/>
        <v>0.7608346709470305</v>
      </c>
      <c r="G622" s="5">
        <v>0.82299999999999995</v>
      </c>
      <c r="H622" s="4">
        <f>72.6/1440</f>
        <v>5.0416666666666665E-2</v>
      </c>
      <c r="I622" s="5">
        <v>0.126</v>
      </c>
      <c r="J622" s="11" t="s">
        <v>1051</v>
      </c>
    </row>
    <row r="623" spans="1:10" ht="13.15" customHeight="1" x14ac:dyDescent="0.25">
      <c r="A623">
        <f t="shared" si="54"/>
        <v>618</v>
      </c>
      <c r="B623" t="s">
        <v>1554</v>
      </c>
      <c r="C623" s="2">
        <v>0.4284722222222222</v>
      </c>
      <c r="D623" s="4">
        <f t="shared" si="55"/>
        <v>9.9305555555555536E-2</v>
      </c>
      <c r="E623" s="6">
        <v>0.32916666666666666</v>
      </c>
      <c r="F623" s="5">
        <f t="shared" si="56"/>
        <v>0.7682333873581848</v>
      </c>
      <c r="G623" s="5">
        <v>0.755</v>
      </c>
      <c r="H623" s="4">
        <f>63.1/1440</f>
        <v>4.3819444444444446E-2</v>
      </c>
      <c r="I623" s="5">
        <v>0.1</v>
      </c>
      <c r="J623" s="11" t="s">
        <v>1553</v>
      </c>
    </row>
    <row r="624" spans="1:10" ht="13.15" customHeight="1" x14ac:dyDescent="0.25">
      <c r="A624">
        <f t="shared" si="54"/>
        <v>619</v>
      </c>
      <c r="B624" t="s">
        <v>22</v>
      </c>
      <c r="C624" s="2">
        <v>0.45555555555555555</v>
      </c>
      <c r="D624" s="4">
        <f t="shared" si="55"/>
        <v>0.12708333333333333</v>
      </c>
      <c r="E624" s="6">
        <v>0.32847222222222222</v>
      </c>
      <c r="F624" s="5">
        <f t="shared" si="56"/>
        <v>0.72103658536585369</v>
      </c>
      <c r="G624" s="5">
        <v>0.67100000000000004</v>
      </c>
      <c r="H624" s="4">
        <f>63.4/1440</f>
        <v>4.4027777777777777E-2</v>
      </c>
      <c r="I624" s="5">
        <v>0.09</v>
      </c>
      <c r="J624" s="11" t="s">
        <v>85</v>
      </c>
    </row>
    <row r="625" spans="1:10" ht="13.15" customHeight="1" x14ac:dyDescent="0.25">
      <c r="A625">
        <f t="shared" si="54"/>
        <v>620</v>
      </c>
      <c r="B625" t="s">
        <v>283</v>
      </c>
      <c r="C625" s="2">
        <v>0.4680555555555555</v>
      </c>
      <c r="D625" s="4">
        <f t="shared" si="55"/>
        <v>0.13958333333333328</v>
      </c>
      <c r="E625" s="6">
        <v>0.32847222222222222</v>
      </c>
      <c r="F625" s="5">
        <f t="shared" si="56"/>
        <v>0.70178041543026715</v>
      </c>
      <c r="G625" s="5">
        <v>0.76900000000000002</v>
      </c>
      <c r="H625" s="4">
        <f>73.3/1440</f>
        <v>5.0902777777777776E-2</v>
      </c>
      <c r="I625" s="5">
        <v>0.11899999999999999</v>
      </c>
      <c r="J625" s="11" t="s">
        <v>284</v>
      </c>
    </row>
    <row r="626" spans="1:10" ht="13.15" customHeight="1" x14ac:dyDescent="0.25">
      <c r="A626">
        <f t="shared" si="54"/>
        <v>621</v>
      </c>
      <c r="B626" t="s">
        <v>656</v>
      </c>
      <c r="C626" s="2">
        <v>0.44930555555555557</v>
      </c>
      <c r="D626" s="4">
        <f t="shared" si="55"/>
        <v>0.12083333333333335</v>
      </c>
      <c r="E626" s="6">
        <v>0.32847222222222222</v>
      </c>
      <c r="F626" s="5">
        <f t="shared" si="56"/>
        <v>0.73106646058732605</v>
      </c>
      <c r="G626" s="5">
        <v>0.83599999999999997</v>
      </c>
      <c r="H626" s="4">
        <f>67.8/1440</f>
        <v>4.7083333333333331E-2</v>
      </c>
      <c r="I626" s="5">
        <v>0.12</v>
      </c>
      <c r="J626" s="11" t="s">
        <v>658</v>
      </c>
    </row>
    <row r="627" spans="1:10" ht="13.15" customHeight="1" x14ac:dyDescent="0.25">
      <c r="A627">
        <f t="shared" si="54"/>
        <v>622</v>
      </c>
      <c r="B627" t="s">
        <v>841</v>
      </c>
      <c r="C627" s="2">
        <v>0.47013888888888888</v>
      </c>
      <c r="D627" s="4">
        <f t="shared" si="55"/>
        <v>0.14166666666666666</v>
      </c>
      <c r="E627" s="6">
        <v>0.32847222222222222</v>
      </c>
      <c r="F627" s="5">
        <f t="shared" si="56"/>
        <v>0.69867060561299854</v>
      </c>
      <c r="G627" s="5">
        <v>0.79400000000000004</v>
      </c>
      <c r="H627" s="4">
        <f>79.8/1440</f>
        <v>5.5416666666666663E-2</v>
      </c>
      <c r="I627" s="5">
        <v>0.13400000000000001</v>
      </c>
      <c r="J627" s="11"/>
    </row>
    <row r="628" spans="1:10" ht="13.15" customHeight="1" x14ac:dyDescent="0.25">
      <c r="A628">
        <f t="shared" si="54"/>
        <v>623</v>
      </c>
      <c r="B628" t="s">
        <v>1043</v>
      </c>
      <c r="C628" s="2">
        <v>0.48333333333333334</v>
      </c>
      <c r="D628" s="4">
        <f t="shared" si="55"/>
        <v>0.15486111111111112</v>
      </c>
      <c r="E628" s="6">
        <v>0.32847222222222222</v>
      </c>
      <c r="F628" s="5">
        <f t="shared" si="56"/>
        <v>0.6795977011494253</v>
      </c>
      <c r="G628" s="5">
        <v>0.81599999999999995</v>
      </c>
      <c r="H628" s="4">
        <f>59.4/1440</f>
        <v>4.1250000000000002E-2</v>
      </c>
      <c r="I628" s="5">
        <v>0.10199999999999999</v>
      </c>
      <c r="J628" s="11" t="s">
        <v>1035</v>
      </c>
    </row>
    <row r="629" spans="1:10" ht="13.15" customHeight="1" x14ac:dyDescent="0.25">
      <c r="A629">
        <f t="shared" si="54"/>
        <v>624</v>
      </c>
      <c r="B629" t="s">
        <v>1281</v>
      </c>
      <c r="C629" s="2">
        <v>0.43472222222222223</v>
      </c>
      <c r="D629" s="4">
        <f t="shared" si="55"/>
        <v>0.10625000000000001</v>
      </c>
      <c r="E629" s="6">
        <v>0.32847222222222222</v>
      </c>
      <c r="F629" s="5">
        <f t="shared" si="56"/>
        <v>0.75559105431309903</v>
      </c>
      <c r="G629" s="5">
        <v>0.76100000000000001</v>
      </c>
      <c r="H629" s="4">
        <f>61/1440</f>
        <v>4.2361111111111113E-2</v>
      </c>
      <c r="I629" s="5">
        <v>9.8000000000000004E-2</v>
      </c>
      <c r="J629" s="11" t="s">
        <v>1268</v>
      </c>
    </row>
    <row r="630" spans="1:10" ht="13.15" customHeight="1" x14ac:dyDescent="0.25">
      <c r="A630">
        <f t="shared" si="54"/>
        <v>625</v>
      </c>
      <c r="B630" t="s">
        <v>1460</v>
      </c>
      <c r="C630" s="2">
        <v>0.43333333333333335</v>
      </c>
      <c r="D630" s="4">
        <f t="shared" si="55"/>
        <v>0.10486111111111113</v>
      </c>
      <c r="E630" s="6">
        <v>0.32847222222222222</v>
      </c>
      <c r="F630" s="5">
        <f t="shared" si="56"/>
        <v>0.75801282051282048</v>
      </c>
      <c r="G630" s="5">
        <v>0.73799999999999999</v>
      </c>
      <c r="H630" s="4">
        <f>64.3/1440</f>
        <v>4.4652777777777777E-2</v>
      </c>
      <c r="I630" s="5">
        <v>0.1</v>
      </c>
      <c r="J630" s="11" t="s">
        <v>1442</v>
      </c>
    </row>
    <row r="631" spans="1:10" ht="13.15" customHeight="1" x14ac:dyDescent="0.25">
      <c r="A631">
        <f t="shared" si="54"/>
        <v>626</v>
      </c>
      <c r="B631" t="s">
        <v>1628</v>
      </c>
      <c r="C631" s="2">
        <v>0.43194444444444446</v>
      </c>
      <c r="D631" s="4">
        <f t="shared" si="55"/>
        <v>0.10347222222222224</v>
      </c>
      <c r="E631" s="6">
        <v>0.32847222222222222</v>
      </c>
      <c r="F631" s="5">
        <f t="shared" si="56"/>
        <v>0.76045016077170413</v>
      </c>
      <c r="G631" s="5">
        <v>0.82</v>
      </c>
      <c r="H631" s="4">
        <f>67.6/1440</f>
        <v>4.6944444444444441E-2</v>
      </c>
      <c r="I631" s="5">
        <v>0.11700000000000001</v>
      </c>
      <c r="J631" s="11" t="s">
        <v>1624</v>
      </c>
    </row>
    <row r="632" spans="1:10" ht="13.15" customHeight="1" x14ac:dyDescent="0.25">
      <c r="A632">
        <f t="shared" si="54"/>
        <v>627</v>
      </c>
      <c r="B632" t="s">
        <v>633</v>
      </c>
      <c r="C632" s="2">
        <v>0.45277777777777778</v>
      </c>
      <c r="D632" s="4">
        <f t="shared" si="55"/>
        <v>0.125</v>
      </c>
      <c r="E632" s="6">
        <v>0.32777777777777778</v>
      </c>
      <c r="F632" s="5">
        <f t="shared" si="56"/>
        <v>0.7239263803680982</v>
      </c>
      <c r="G632" s="5">
        <v>0.82299999999999995</v>
      </c>
      <c r="H632" s="4">
        <f>62.8/1440</f>
        <v>4.3611111111111107E-2</v>
      </c>
      <c r="I632" s="5">
        <v>0.109</v>
      </c>
      <c r="J632" s="11" t="s">
        <v>634</v>
      </c>
    </row>
    <row r="633" spans="1:10" ht="13.15" customHeight="1" x14ac:dyDescent="0.25">
      <c r="A633">
        <f t="shared" si="54"/>
        <v>628</v>
      </c>
      <c r="B633" t="s">
        <v>934</v>
      </c>
      <c r="C633" s="2">
        <v>0.43333333333333335</v>
      </c>
      <c r="D633" s="4">
        <f t="shared" si="55"/>
        <v>0.10555555555555557</v>
      </c>
      <c r="E633" s="6">
        <v>0.32777777777777778</v>
      </c>
      <c r="F633" s="5">
        <f t="shared" si="56"/>
        <v>0.75641025641025639</v>
      </c>
      <c r="G633" s="5">
        <v>0.86899999999999999</v>
      </c>
      <c r="H633" s="4">
        <f>76/1440</f>
        <v>5.2777777777777778E-2</v>
      </c>
      <c r="I633" s="5">
        <v>0.14000000000000001</v>
      </c>
      <c r="J633" s="11" t="s">
        <v>935</v>
      </c>
    </row>
    <row r="634" spans="1:10" ht="13.15" customHeight="1" x14ac:dyDescent="0.25">
      <c r="A634">
        <f t="shared" si="54"/>
        <v>629</v>
      </c>
      <c r="B634" t="s">
        <v>1273</v>
      </c>
      <c r="C634" s="2">
        <v>0.43611111111111112</v>
      </c>
      <c r="D634" s="4">
        <f t="shared" si="55"/>
        <v>0.10833333333333334</v>
      </c>
      <c r="E634" s="6">
        <v>0.32777777777777778</v>
      </c>
      <c r="F634" s="5">
        <f t="shared" si="56"/>
        <v>0.75159235668789803</v>
      </c>
      <c r="G634" s="5">
        <v>0.75800000000000001</v>
      </c>
      <c r="H634" s="4">
        <f>55.1/1440</f>
        <v>3.8263888888888889E-2</v>
      </c>
      <c r="I634" s="5">
        <v>8.7999999999999995E-2</v>
      </c>
      <c r="J634" s="11" t="s">
        <v>1266</v>
      </c>
    </row>
    <row r="635" spans="1:10" ht="13.15" customHeight="1" x14ac:dyDescent="0.25">
      <c r="A635">
        <f t="shared" si="54"/>
        <v>630</v>
      </c>
      <c r="B635" t="s">
        <v>1381</v>
      </c>
      <c r="C635" s="2">
        <v>0.42569444444444443</v>
      </c>
      <c r="D635" s="4">
        <f t="shared" ref="D635:D652" si="57">C635-E635</f>
        <v>9.7916666666666652E-2</v>
      </c>
      <c r="E635" s="6">
        <v>0.32777777777777778</v>
      </c>
      <c r="F635" s="5">
        <f t="shared" ref="F635:F652" si="58">E635/C635</f>
        <v>0.76998368678629692</v>
      </c>
      <c r="G635" s="5">
        <v>0.81599999999999995</v>
      </c>
      <c r="H635" s="4">
        <f>72.3/1440</f>
        <v>5.0208333333333334E-2</v>
      </c>
      <c r="I635" s="5">
        <v>0.125</v>
      </c>
      <c r="J635" s="11" t="s">
        <v>1367</v>
      </c>
    </row>
    <row r="636" spans="1:10" ht="13.15" customHeight="1" x14ac:dyDescent="0.25">
      <c r="A636">
        <f t="shared" si="54"/>
        <v>631</v>
      </c>
      <c r="B636" t="s">
        <v>1413</v>
      </c>
      <c r="C636" s="2">
        <v>0.47083333333333333</v>
      </c>
      <c r="D636" s="4">
        <f t="shared" si="57"/>
        <v>0.14305555555555555</v>
      </c>
      <c r="E636" s="6">
        <v>0.32777777777777778</v>
      </c>
      <c r="F636" s="5">
        <f t="shared" si="58"/>
        <v>0.69616519174041303</v>
      </c>
      <c r="G636" s="5">
        <v>0.86099999999999999</v>
      </c>
      <c r="H636" s="4">
        <f>79/1440</f>
        <v>5.486111111111111E-2</v>
      </c>
      <c r="I636" s="5">
        <v>0.14399999999999999</v>
      </c>
      <c r="J636" s="11" t="s">
        <v>1414</v>
      </c>
    </row>
    <row r="637" spans="1:10" ht="13.15" customHeight="1" x14ac:dyDescent="0.25">
      <c r="A637">
        <f t="shared" si="54"/>
        <v>632</v>
      </c>
      <c r="B637" t="s">
        <v>1548</v>
      </c>
      <c r="C637" s="2">
        <v>0.48055555555555557</v>
      </c>
      <c r="D637" s="4">
        <f t="shared" si="57"/>
        <v>0.15277777777777779</v>
      </c>
      <c r="E637" s="6">
        <v>0.32777777777777778</v>
      </c>
      <c r="F637" s="5">
        <f t="shared" si="58"/>
        <v>0.68208092485549132</v>
      </c>
      <c r="G637" s="5" t="s">
        <v>1551</v>
      </c>
      <c r="H637" s="4">
        <f>59.2/1440</f>
        <v>4.1111111111111112E-2</v>
      </c>
      <c r="I637" s="5">
        <v>9.8000000000000004E-2</v>
      </c>
      <c r="J637" s="11" t="s">
        <v>1545</v>
      </c>
    </row>
    <row r="638" spans="1:10" ht="13.15" customHeight="1" x14ac:dyDescent="0.25">
      <c r="A638">
        <f t="shared" si="54"/>
        <v>633</v>
      </c>
      <c r="B638" t="s">
        <v>1629</v>
      </c>
      <c r="C638" s="2">
        <v>0.45</v>
      </c>
      <c r="D638" s="4">
        <f t="shared" si="57"/>
        <v>0.12222222222222223</v>
      </c>
      <c r="E638" s="6">
        <v>0.32777777777777778</v>
      </c>
      <c r="F638" s="5">
        <f t="shared" si="58"/>
        <v>0.72839506172839508</v>
      </c>
      <c r="G638" s="5">
        <v>0.80900000000000005</v>
      </c>
      <c r="H638" s="4">
        <f>63.7/1440</f>
        <v>4.4236111111111115E-2</v>
      </c>
      <c r="I638" s="5">
        <v>0.109</v>
      </c>
      <c r="J638" s="11" t="s">
        <v>1624</v>
      </c>
    </row>
    <row r="639" spans="1:10" ht="13.15" customHeight="1" x14ac:dyDescent="0.25">
      <c r="A639">
        <f t="shared" si="54"/>
        <v>634</v>
      </c>
      <c r="B639" t="s">
        <v>1710</v>
      </c>
      <c r="C639" s="2">
        <v>0.42916666666666664</v>
      </c>
      <c r="D639" s="4">
        <f t="shared" si="57"/>
        <v>0.10138888888888886</v>
      </c>
      <c r="E639" s="6">
        <v>0.32777777777777778</v>
      </c>
      <c r="F639" s="5">
        <f t="shared" si="58"/>
        <v>0.7637540453074434</v>
      </c>
      <c r="G639" s="5">
        <v>1</v>
      </c>
      <c r="H639" s="4">
        <f>78.4/1440</f>
        <v>5.4444444444444448E-2</v>
      </c>
      <c r="I639" s="5">
        <v>0.16600000000000001</v>
      </c>
      <c r="J639" s="11" t="s">
        <v>1707</v>
      </c>
    </row>
    <row r="640" spans="1:10" ht="13.15" customHeight="1" x14ac:dyDescent="0.25">
      <c r="A640">
        <f t="shared" si="54"/>
        <v>635</v>
      </c>
      <c r="B640" t="s">
        <v>1757</v>
      </c>
      <c r="C640" s="2">
        <v>0.4513888888888889</v>
      </c>
      <c r="D640" s="4">
        <f t="shared" si="57"/>
        <v>0.12361111111111112</v>
      </c>
      <c r="E640" s="6">
        <v>0.32777777777777778</v>
      </c>
      <c r="F640" s="5">
        <f t="shared" si="58"/>
        <v>0.72615384615384615</v>
      </c>
      <c r="G640" s="5">
        <v>0.74199999999999999</v>
      </c>
      <c r="H640" s="4">
        <f>62.3/1440</f>
        <v>4.3263888888888886E-2</v>
      </c>
      <c r="I640" s="5">
        <v>9.8000000000000004E-2</v>
      </c>
      <c r="J640" s="11" t="s">
        <v>1758</v>
      </c>
    </row>
    <row r="641" spans="1:10" ht="13.15" customHeight="1" x14ac:dyDescent="0.25">
      <c r="A641">
        <f t="shared" si="54"/>
        <v>636</v>
      </c>
      <c r="B641" t="s">
        <v>1806</v>
      </c>
      <c r="C641" s="2">
        <v>0.42430555555555555</v>
      </c>
      <c r="D641" s="4">
        <f t="shared" si="57"/>
        <v>9.6527777777777768E-2</v>
      </c>
      <c r="E641" s="6">
        <v>0.32777777777777778</v>
      </c>
      <c r="F641" s="5">
        <f t="shared" si="58"/>
        <v>0.7725040916530278</v>
      </c>
      <c r="G641" s="5">
        <v>1</v>
      </c>
      <c r="H641" s="4">
        <f>79.5/1440</f>
        <v>5.5208333333333331E-2</v>
      </c>
      <c r="I641" s="5">
        <v>0.16800000000000001</v>
      </c>
      <c r="J641" s="11" t="s">
        <v>1813</v>
      </c>
    </row>
    <row r="642" spans="1:10" ht="13.15" customHeight="1" x14ac:dyDescent="0.25">
      <c r="A642">
        <f t="shared" si="54"/>
        <v>637</v>
      </c>
      <c r="B642" t="s">
        <v>2</v>
      </c>
      <c r="C642" s="2">
        <v>0.46180555555555558</v>
      </c>
      <c r="D642" s="4">
        <f t="shared" si="57"/>
        <v>0.13472222222222224</v>
      </c>
      <c r="E642" s="6">
        <v>0.32708333333333334</v>
      </c>
      <c r="F642" s="5">
        <f t="shared" si="58"/>
        <v>0.70827067669172927</v>
      </c>
      <c r="G642" s="5">
        <v>0.754</v>
      </c>
      <c r="H642" s="4">
        <f>80/1440</f>
        <v>5.5555555555555552E-2</v>
      </c>
      <c r="I642" s="5">
        <v>0.128</v>
      </c>
      <c r="J642" s="11" t="s">
        <v>132</v>
      </c>
    </row>
    <row r="643" spans="1:10" ht="13.15" customHeight="1" x14ac:dyDescent="0.25">
      <c r="A643">
        <f t="shared" si="54"/>
        <v>638</v>
      </c>
      <c r="B643" t="s">
        <v>630</v>
      </c>
      <c r="C643" s="2">
        <v>0.42708333333333331</v>
      </c>
      <c r="D643" s="4">
        <f t="shared" si="57"/>
        <v>9.9999999999999978E-2</v>
      </c>
      <c r="E643" s="6">
        <v>0.32708333333333334</v>
      </c>
      <c r="F643" s="5">
        <f t="shared" si="58"/>
        <v>0.76585365853658538</v>
      </c>
      <c r="G643" s="5">
        <v>0.875</v>
      </c>
      <c r="H643" s="4">
        <f>73/1440</f>
        <v>5.0694444444444445E-2</v>
      </c>
      <c r="I643" s="5">
        <v>0.13500000000000001</v>
      </c>
      <c r="J643" s="11" t="s">
        <v>637</v>
      </c>
    </row>
    <row r="644" spans="1:10" ht="13.15" customHeight="1" x14ac:dyDescent="0.25">
      <c r="A644">
        <f t="shared" si="54"/>
        <v>639</v>
      </c>
      <c r="B644" t="s">
        <v>752</v>
      </c>
      <c r="C644" s="2">
        <v>0.43958333333333333</v>
      </c>
      <c r="D644" s="4">
        <f t="shared" si="57"/>
        <v>0.11249999999999999</v>
      </c>
      <c r="E644" s="6">
        <v>0.32708333333333334</v>
      </c>
      <c r="F644" s="5">
        <f t="shared" si="58"/>
        <v>0.74407582938388628</v>
      </c>
      <c r="G644" s="5">
        <v>0.84399999999999997</v>
      </c>
      <c r="H644" s="4">
        <f>77.2/1440</f>
        <v>5.3611111111111116E-2</v>
      </c>
      <c r="I644" s="5">
        <v>0.13800000000000001</v>
      </c>
      <c r="J644" s="11" t="s">
        <v>758</v>
      </c>
    </row>
    <row r="645" spans="1:10" ht="13.15" customHeight="1" x14ac:dyDescent="0.25">
      <c r="A645">
        <f t="shared" si="54"/>
        <v>640</v>
      </c>
      <c r="B645" t="s">
        <v>854</v>
      </c>
      <c r="C645" s="2">
        <v>0.43680555555555556</v>
      </c>
      <c r="D645" s="4">
        <f t="shared" si="57"/>
        <v>0.10972222222222222</v>
      </c>
      <c r="E645" s="6">
        <v>0.32708333333333334</v>
      </c>
      <c r="F645" s="5">
        <f t="shared" si="58"/>
        <v>0.74880763116057236</v>
      </c>
      <c r="G645" s="5">
        <v>0.81</v>
      </c>
      <c r="H645" s="4">
        <f>64.5/1440</f>
        <v>4.4791666666666667E-2</v>
      </c>
      <c r="I645" s="5">
        <v>0.111</v>
      </c>
      <c r="J645" s="11" t="s">
        <v>849</v>
      </c>
    </row>
    <row r="646" spans="1:10" ht="13.15" customHeight="1" x14ac:dyDescent="0.25">
      <c r="A646">
        <f t="shared" si="54"/>
        <v>641</v>
      </c>
      <c r="B646" t="s">
        <v>874</v>
      </c>
      <c r="C646" s="2">
        <v>0.4513888888888889</v>
      </c>
      <c r="D646" s="4">
        <f t="shared" si="57"/>
        <v>0.12430555555555556</v>
      </c>
      <c r="E646" s="6">
        <v>0.32708333333333334</v>
      </c>
      <c r="F646" s="5">
        <f t="shared" si="58"/>
        <v>0.72461538461538466</v>
      </c>
      <c r="G646" s="5">
        <v>0.74199999999999999</v>
      </c>
      <c r="H646" s="4">
        <f>50.5/1440</f>
        <v>3.5069444444444445E-2</v>
      </c>
      <c r="I646" s="5">
        <v>0.08</v>
      </c>
      <c r="J646" s="11" t="s">
        <v>878</v>
      </c>
    </row>
    <row r="647" spans="1:10" ht="13.15" customHeight="1" x14ac:dyDescent="0.25">
      <c r="A647">
        <f t="shared" si="54"/>
        <v>642</v>
      </c>
      <c r="B647" t="s">
        <v>924</v>
      </c>
      <c r="C647" s="2">
        <v>0.43055555555555558</v>
      </c>
      <c r="D647" s="4">
        <f t="shared" si="57"/>
        <v>0.10347222222222224</v>
      </c>
      <c r="E647" s="6">
        <v>0.32708333333333334</v>
      </c>
      <c r="F647" s="5">
        <f t="shared" si="58"/>
        <v>0.75967741935483868</v>
      </c>
      <c r="G647" s="5">
        <v>0.82199999999999995</v>
      </c>
      <c r="H647" s="4">
        <f>64/1440</f>
        <v>4.4444444444444446E-2</v>
      </c>
      <c r="I647" s="5">
        <v>0.112</v>
      </c>
      <c r="J647" s="11" t="s">
        <v>929</v>
      </c>
    </row>
    <row r="648" spans="1:10" ht="13.15" customHeight="1" x14ac:dyDescent="0.25">
      <c r="A648">
        <f t="shared" si="54"/>
        <v>643</v>
      </c>
      <c r="B648" t="s">
        <v>1019</v>
      </c>
      <c r="C648" s="2">
        <v>0.43541666666666667</v>
      </c>
      <c r="D648" s="4">
        <f t="shared" si="57"/>
        <v>0.10833333333333334</v>
      </c>
      <c r="E648" s="6">
        <v>0.32708333333333334</v>
      </c>
      <c r="F648" s="5">
        <f t="shared" si="58"/>
        <v>0.75119617224880386</v>
      </c>
      <c r="G648" s="5">
        <v>0.83</v>
      </c>
      <c r="H648" s="4">
        <f>76.4/1440</f>
        <v>5.3055555555555557E-2</v>
      </c>
      <c r="I648" s="5">
        <v>0.13400000000000001</v>
      </c>
      <c r="J648" s="11" t="s">
        <v>1016</v>
      </c>
    </row>
    <row r="649" spans="1:10" ht="13.15" customHeight="1" x14ac:dyDescent="0.25">
      <c r="A649">
        <f t="shared" si="54"/>
        <v>644</v>
      </c>
      <c r="B649" t="s">
        <v>1113</v>
      </c>
      <c r="C649" s="2">
        <v>0.47569444444444442</v>
      </c>
      <c r="D649" s="4">
        <f t="shared" si="57"/>
        <v>0.14861111111111108</v>
      </c>
      <c r="E649" s="6">
        <v>0.32708333333333334</v>
      </c>
      <c r="F649" s="5">
        <f t="shared" si="58"/>
        <v>0.6875912408759125</v>
      </c>
      <c r="G649" s="5">
        <v>0.80500000000000005</v>
      </c>
      <c r="H649" s="4">
        <f>56.3/1440</f>
        <v>3.9097222222222221E-2</v>
      </c>
      <c r="I649" s="5">
        <v>9.6000000000000002E-2</v>
      </c>
      <c r="J649" s="11" t="s">
        <v>1101</v>
      </c>
    </row>
    <row r="650" spans="1:10" ht="13.15" customHeight="1" x14ac:dyDescent="0.25">
      <c r="A650">
        <f t="shared" si="54"/>
        <v>645</v>
      </c>
      <c r="B650" t="s">
        <v>1393</v>
      </c>
      <c r="C650" s="2">
        <v>0.43472222222222223</v>
      </c>
      <c r="D650" s="4">
        <f t="shared" si="57"/>
        <v>0.1076388888888889</v>
      </c>
      <c r="E650" s="6">
        <v>0.32708333333333334</v>
      </c>
      <c r="F650" s="5">
        <f t="shared" si="58"/>
        <v>0.75239616613418525</v>
      </c>
      <c r="G650" s="5">
        <v>0.78700000000000003</v>
      </c>
      <c r="H650" s="4">
        <f>56.5/1440</f>
        <v>3.923611111111111E-2</v>
      </c>
      <c r="I650" s="5">
        <v>9.4E-2</v>
      </c>
      <c r="J650" s="11" t="s">
        <v>1388</v>
      </c>
    </row>
    <row r="651" spans="1:10" ht="13.15" customHeight="1" x14ac:dyDescent="0.25">
      <c r="A651">
        <f t="shared" si="54"/>
        <v>646</v>
      </c>
      <c r="B651" t="s">
        <v>1394</v>
      </c>
      <c r="C651" s="2">
        <v>0.42152777777777778</v>
      </c>
      <c r="D651" s="4">
        <f t="shared" si="57"/>
        <v>9.4444444444444442E-2</v>
      </c>
      <c r="E651" s="6">
        <v>0.32708333333333334</v>
      </c>
      <c r="F651" s="5">
        <f t="shared" si="58"/>
        <v>0.77594728171334437</v>
      </c>
      <c r="G651" s="5">
        <v>0.81799999999999995</v>
      </c>
      <c r="H651" s="4">
        <f>63/1440</f>
        <v>4.3749999999999997E-2</v>
      </c>
      <c r="I651" s="5">
        <v>0.109</v>
      </c>
      <c r="J651" s="11" t="s">
        <v>1388</v>
      </c>
    </row>
    <row r="652" spans="1:10" ht="13.15" customHeight="1" x14ac:dyDescent="0.25">
      <c r="A652">
        <f t="shared" si="54"/>
        <v>647</v>
      </c>
      <c r="B652" t="s">
        <v>1493</v>
      </c>
      <c r="C652" s="2">
        <v>0.42986111111111114</v>
      </c>
      <c r="D652" s="4">
        <f t="shared" si="57"/>
        <v>0.1027777777777778</v>
      </c>
      <c r="E652" s="6">
        <v>0.32708333333333334</v>
      </c>
      <c r="F652" s="5">
        <f t="shared" si="58"/>
        <v>0.76090468497576735</v>
      </c>
      <c r="G652" s="5">
        <v>0.80600000000000005</v>
      </c>
      <c r="H652" s="4">
        <f>61.8/1440</f>
        <v>4.2916666666666665E-2</v>
      </c>
      <c r="I652" s="5">
        <v>0.106</v>
      </c>
      <c r="J652" s="11" t="s">
        <v>1492</v>
      </c>
    </row>
    <row r="653" spans="1:10" ht="13.15" customHeight="1" x14ac:dyDescent="0.25">
      <c r="A653">
        <f t="shared" si="54"/>
        <v>648</v>
      </c>
      <c r="B653" t="s">
        <v>391</v>
      </c>
      <c r="C653" s="2">
        <v>0.4513888888888889</v>
      </c>
      <c r="D653" s="4">
        <v>0.11805555555555555</v>
      </c>
      <c r="E653" s="6">
        <v>0.3263888888888889</v>
      </c>
      <c r="F653" s="5">
        <v>0.66666666666666674</v>
      </c>
      <c r="G653" s="5">
        <v>0.83699999999999997</v>
      </c>
      <c r="H653" s="4">
        <f>76.2/1440</f>
        <v>5.2916666666666667E-2</v>
      </c>
      <c r="I653" s="5">
        <v>0.13500000000000001</v>
      </c>
      <c r="J653" s="11" t="s">
        <v>392</v>
      </c>
    </row>
    <row r="654" spans="1:10" ht="13.15" customHeight="1" x14ac:dyDescent="0.25">
      <c r="A654">
        <f t="shared" si="54"/>
        <v>649</v>
      </c>
      <c r="B654" t="s">
        <v>397</v>
      </c>
      <c r="C654" s="2">
        <v>0.4680555555555555</v>
      </c>
      <c r="D654" s="4">
        <f>C654-E654</f>
        <v>0.14166666666666661</v>
      </c>
      <c r="E654" s="6">
        <v>0.3263888888888889</v>
      </c>
      <c r="F654" s="5">
        <f t="shared" ref="F654:F685" si="59">E654/C654</f>
        <v>0.6973293768545995</v>
      </c>
      <c r="G654" s="5">
        <v>0.84299999999999997</v>
      </c>
      <c r="H654" s="4">
        <f>79.9/1440</f>
        <v>5.5486111111111118E-2</v>
      </c>
      <c r="I654" s="5">
        <v>0.14299999999999999</v>
      </c>
      <c r="J654" s="11" t="s">
        <v>398</v>
      </c>
    </row>
    <row r="655" spans="1:10" ht="13.15" customHeight="1" x14ac:dyDescent="0.25">
      <c r="A655">
        <f t="shared" si="54"/>
        <v>650</v>
      </c>
      <c r="B655" t="s">
        <v>638</v>
      </c>
      <c r="C655" s="2">
        <v>0.45208333333333334</v>
      </c>
      <c r="D655" s="4">
        <f>C655-E655</f>
        <v>0.12569444444444444</v>
      </c>
      <c r="E655" s="6">
        <v>0.3263888888888889</v>
      </c>
      <c r="F655" s="5">
        <f t="shared" si="59"/>
        <v>0.72196620583717364</v>
      </c>
      <c r="G655" s="5">
        <v>0.80400000000000005</v>
      </c>
      <c r="H655" s="4">
        <f>64.6/1440</f>
        <v>4.4861111111111109E-2</v>
      </c>
      <c r="I655" s="5">
        <v>0.11</v>
      </c>
      <c r="J655" s="11" t="s">
        <v>640</v>
      </c>
    </row>
    <row r="656" spans="1:10" ht="13.15" customHeight="1" x14ac:dyDescent="0.25">
      <c r="A656">
        <f t="shared" si="54"/>
        <v>651</v>
      </c>
      <c r="B656" t="s">
        <v>718</v>
      </c>
      <c r="C656" s="2">
        <v>0.45416666666666666</v>
      </c>
      <c r="D656" s="4">
        <f>C656-E656</f>
        <v>0.12777777777777777</v>
      </c>
      <c r="E656" s="6">
        <v>0.3263888888888889</v>
      </c>
      <c r="F656" s="5">
        <f t="shared" si="59"/>
        <v>0.71865443425076458</v>
      </c>
      <c r="G656" s="5">
        <v>0.80300000000000005</v>
      </c>
      <c r="H656" s="4">
        <f>55.7/1440</f>
        <v>3.8680555555555558E-2</v>
      </c>
      <c r="I656" s="5">
        <v>9.5000000000000001E-2</v>
      </c>
      <c r="J656" s="11" t="s">
        <v>713</v>
      </c>
    </row>
    <row r="657" spans="1:10" ht="13.15" customHeight="1" x14ac:dyDescent="0.25">
      <c r="A657">
        <f t="shared" si="54"/>
        <v>652</v>
      </c>
      <c r="B657" t="s">
        <v>773</v>
      </c>
      <c r="C657" s="2">
        <v>0.42916666666666664</v>
      </c>
      <c r="D657" s="4">
        <f>C657-E657</f>
        <v>0.10277777777777775</v>
      </c>
      <c r="E657" s="6">
        <v>0.3263888888888889</v>
      </c>
      <c r="F657" s="5">
        <f t="shared" si="59"/>
        <v>0.76051779935275088</v>
      </c>
      <c r="G657" s="5">
        <v>0.83599999999999997</v>
      </c>
      <c r="H657" s="4">
        <f>74.5/1440</f>
        <v>5.1736111111111108E-2</v>
      </c>
      <c r="I657" s="5">
        <v>0.13200000000000001</v>
      </c>
      <c r="J657" s="11" t="s">
        <v>775</v>
      </c>
    </row>
    <row r="658" spans="1:10" ht="13.15" customHeight="1" x14ac:dyDescent="0.25">
      <c r="A658">
        <f t="shared" si="54"/>
        <v>653</v>
      </c>
      <c r="B658" t="s">
        <v>1418</v>
      </c>
      <c r="C658" s="2">
        <v>0.44166666666666665</v>
      </c>
      <c r="D658" s="4">
        <v>0.10347222222222222</v>
      </c>
      <c r="E658" s="6">
        <v>0.3263888888888889</v>
      </c>
      <c r="F658" s="5">
        <f t="shared" si="59"/>
        <v>0.73899371069182396</v>
      </c>
      <c r="G658" s="5">
        <v>0.83799999999999997</v>
      </c>
      <c r="H658" s="4">
        <f>68.1/1440</f>
        <v>4.7291666666666662E-2</v>
      </c>
      <c r="I658" s="5">
        <v>0.121</v>
      </c>
      <c r="J658" s="11" t="s">
        <v>1415</v>
      </c>
    </row>
    <row r="659" spans="1:10" ht="13.15" customHeight="1" x14ac:dyDescent="0.25">
      <c r="A659">
        <f t="shared" ref="A659:A722" si="60">A658+1</f>
        <v>654</v>
      </c>
      <c r="B659" t="s">
        <v>1443</v>
      </c>
      <c r="C659" s="2">
        <v>0.45069444444444445</v>
      </c>
      <c r="D659" s="4">
        <f t="shared" ref="D659:D690" si="61">C659-E659</f>
        <v>0.12430555555555556</v>
      </c>
      <c r="E659" s="6">
        <v>0.3263888888888889</v>
      </c>
      <c r="F659" s="5">
        <f t="shared" si="59"/>
        <v>0.72419106317411397</v>
      </c>
      <c r="G659" s="5">
        <v>0.68300000000000005</v>
      </c>
      <c r="H659" s="4">
        <f>65.5/1440</f>
        <v>4.5486111111111109E-2</v>
      </c>
      <c r="I659" s="5">
        <v>9.5000000000000001E-2</v>
      </c>
      <c r="J659" s="11" t="s">
        <v>1439</v>
      </c>
    </row>
    <row r="660" spans="1:10" ht="13.15" customHeight="1" x14ac:dyDescent="0.25">
      <c r="A660">
        <f t="shared" si="60"/>
        <v>655</v>
      </c>
      <c r="B660" t="s">
        <v>1608</v>
      </c>
      <c r="C660" s="2">
        <v>0.44027777777777777</v>
      </c>
      <c r="D660" s="4">
        <f t="shared" si="61"/>
        <v>0.11388888888888887</v>
      </c>
      <c r="E660" s="6">
        <v>0.3263888888888889</v>
      </c>
      <c r="F660" s="5">
        <f t="shared" si="59"/>
        <v>0.74132492113564674</v>
      </c>
      <c r="G660" s="5">
        <v>0.878</v>
      </c>
      <c r="H660" s="4">
        <f>74/1440</f>
        <v>5.1388888888888887E-2</v>
      </c>
      <c r="I660" s="5">
        <v>0.13800000000000001</v>
      </c>
      <c r="J660" s="11" t="s">
        <v>1601</v>
      </c>
    </row>
    <row r="661" spans="1:10" ht="13.15" customHeight="1" x14ac:dyDescent="0.25">
      <c r="A661">
        <f t="shared" si="60"/>
        <v>656</v>
      </c>
      <c r="B661" t="s">
        <v>21</v>
      </c>
      <c r="C661" s="2">
        <v>0.4597222222222222</v>
      </c>
      <c r="D661" s="4">
        <f t="shared" si="61"/>
        <v>0.13402777777777775</v>
      </c>
      <c r="E661" s="6">
        <v>0.32569444444444445</v>
      </c>
      <c r="F661" s="5">
        <f t="shared" si="59"/>
        <v>0.70845921450151061</v>
      </c>
      <c r="G661" s="5">
        <v>0.76</v>
      </c>
      <c r="H661" s="4">
        <f>61.6/1440</f>
        <v>4.2777777777777776E-2</v>
      </c>
      <c r="I661" s="5">
        <v>0.1</v>
      </c>
      <c r="J661" s="11" t="s">
        <v>88</v>
      </c>
    </row>
    <row r="662" spans="1:10" ht="13.15" customHeight="1" x14ac:dyDescent="0.25">
      <c r="A662">
        <f t="shared" si="60"/>
        <v>657</v>
      </c>
      <c r="B662" t="s">
        <v>195</v>
      </c>
      <c r="C662" s="2">
        <v>0.45347222222222222</v>
      </c>
      <c r="D662" s="4">
        <f t="shared" si="61"/>
        <v>0.12777777777777777</v>
      </c>
      <c r="E662" s="6">
        <v>0.32569444444444445</v>
      </c>
      <c r="F662" s="5">
        <f t="shared" si="59"/>
        <v>0.7182235834609495</v>
      </c>
      <c r="G662" s="5">
        <v>0.77400000000000002</v>
      </c>
      <c r="H662" s="4">
        <f>69.4/1440</f>
        <v>4.8194444444444449E-2</v>
      </c>
      <c r="I662" s="5">
        <v>0.114</v>
      </c>
      <c r="J662" s="11" t="s">
        <v>196</v>
      </c>
    </row>
    <row r="663" spans="1:10" ht="13.15" customHeight="1" x14ac:dyDescent="0.25">
      <c r="A663">
        <f t="shared" si="60"/>
        <v>658</v>
      </c>
      <c r="B663" t="s">
        <v>206</v>
      </c>
      <c r="C663" s="2">
        <v>0.44930555555555557</v>
      </c>
      <c r="D663" s="4">
        <f t="shared" si="61"/>
        <v>0.12361111111111112</v>
      </c>
      <c r="E663" s="6">
        <v>0.32569444444444445</v>
      </c>
      <c r="F663" s="5">
        <f t="shared" si="59"/>
        <v>0.72488408037094276</v>
      </c>
      <c r="G663" s="5">
        <v>0.77700000000000002</v>
      </c>
      <c r="H663" s="4">
        <f>72/1440</f>
        <v>0.05</v>
      </c>
      <c r="I663" s="5">
        <v>0.11899999999999999</v>
      </c>
      <c r="J663" s="11" t="s">
        <v>207</v>
      </c>
    </row>
    <row r="664" spans="1:10" ht="13.15" customHeight="1" x14ac:dyDescent="0.25">
      <c r="A664">
        <f t="shared" si="60"/>
        <v>659</v>
      </c>
      <c r="B664" t="s">
        <v>1088</v>
      </c>
      <c r="C664" s="2">
        <v>0.42291666666666666</v>
      </c>
      <c r="D664" s="4">
        <f t="shared" si="61"/>
        <v>9.722222222222221E-2</v>
      </c>
      <c r="E664" s="6">
        <v>0.32569444444444445</v>
      </c>
      <c r="F664" s="5">
        <f t="shared" si="59"/>
        <v>0.77011494252873569</v>
      </c>
      <c r="G664" s="5">
        <v>0.81399999999999995</v>
      </c>
      <c r="H664" s="4">
        <f>64.9/1440</f>
        <v>4.5069444444444447E-2</v>
      </c>
      <c r="I664" s="5">
        <v>0.112</v>
      </c>
      <c r="J664" s="11" t="s">
        <v>1075</v>
      </c>
    </row>
    <row r="665" spans="1:10" ht="13.15" customHeight="1" x14ac:dyDescent="0.25">
      <c r="A665">
        <f t="shared" si="60"/>
        <v>660</v>
      </c>
      <c r="B665" t="s">
        <v>1115</v>
      </c>
      <c r="C665" s="2">
        <v>0.43611111111111112</v>
      </c>
      <c r="D665" s="4">
        <f t="shared" si="61"/>
        <v>0.11041666666666666</v>
      </c>
      <c r="E665" s="6">
        <v>0.32569444444444445</v>
      </c>
      <c r="F665" s="5">
        <f t="shared" si="59"/>
        <v>0.74681528662420382</v>
      </c>
      <c r="G665" s="5">
        <v>0.8</v>
      </c>
      <c r="H665" s="4">
        <f>62.6/1440</f>
        <v>4.3472222222222225E-2</v>
      </c>
      <c r="I665" s="5">
        <v>0.107</v>
      </c>
      <c r="J665" s="11" t="s">
        <v>1101</v>
      </c>
    </row>
    <row r="666" spans="1:10" ht="13.15" customHeight="1" x14ac:dyDescent="0.25">
      <c r="A666">
        <f t="shared" si="60"/>
        <v>661</v>
      </c>
      <c r="B666" t="s">
        <v>1633</v>
      </c>
      <c r="C666" s="2">
        <v>0.42777777777777776</v>
      </c>
      <c r="D666" s="4">
        <f t="shared" si="61"/>
        <v>0.1020833333333333</v>
      </c>
      <c r="E666" s="6">
        <v>0.32569444444444445</v>
      </c>
      <c r="F666" s="5">
        <f t="shared" si="59"/>
        <v>0.76136363636363646</v>
      </c>
      <c r="G666" s="5">
        <v>0.72</v>
      </c>
      <c r="H666" s="4">
        <f>60/1440</f>
        <v>4.1666666666666664E-2</v>
      </c>
      <c r="I666" s="5">
        <v>9.1999999999999998E-2</v>
      </c>
      <c r="J666" s="11" t="s">
        <v>1625</v>
      </c>
    </row>
    <row r="667" spans="1:10" ht="13.15" customHeight="1" x14ac:dyDescent="0.25">
      <c r="A667">
        <f t="shared" si="60"/>
        <v>662</v>
      </c>
      <c r="B667" t="s">
        <v>1698</v>
      </c>
      <c r="C667" s="2">
        <v>0.42777777777777776</v>
      </c>
      <c r="D667" s="4">
        <f t="shared" si="61"/>
        <v>0.1020833333333333</v>
      </c>
      <c r="E667" s="6">
        <v>0.32569444444444445</v>
      </c>
      <c r="F667" s="5">
        <f t="shared" si="59"/>
        <v>0.76136363636363646</v>
      </c>
      <c r="G667" s="5">
        <v>0.81599999999999995</v>
      </c>
      <c r="H667" s="4">
        <f>65.7/1440</f>
        <v>4.5624999999999999E-2</v>
      </c>
      <c r="I667" s="5">
        <v>0.114</v>
      </c>
      <c r="J667" s="11" t="s">
        <v>1695</v>
      </c>
    </row>
    <row r="668" spans="1:10" ht="13.15" customHeight="1" x14ac:dyDescent="0.25">
      <c r="A668">
        <f t="shared" si="60"/>
        <v>663</v>
      </c>
      <c r="B668" t="s">
        <v>41</v>
      </c>
      <c r="C668" s="2">
        <v>0.45833333333333331</v>
      </c>
      <c r="D668" s="4">
        <f t="shared" si="61"/>
        <v>0.1333333333333333</v>
      </c>
      <c r="E668" s="6">
        <v>0.32500000000000001</v>
      </c>
      <c r="F668" s="5">
        <f t="shared" si="59"/>
        <v>0.70909090909090911</v>
      </c>
      <c r="G668" s="5">
        <v>0.69699999999999995</v>
      </c>
      <c r="H668" s="4">
        <f>75.1/1440</f>
        <v>5.2152777777777777E-2</v>
      </c>
      <c r="I668" s="5">
        <v>0.112</v>
      </c>
      <c r="J668" s="11" t="s">
        <v>69</v>
      </c>
    </row>
    <row r="669" spans="1:10" ht="13.15" customHeight="1" x14ac:dyDescent="0.25">
      <c r="A669">
        <f t="shared" si="60"/>
        <v>664</v>
      </c>
      <c r="B669" t="s">
        <v>313</v>
      </c>
      <c r="C669" s="2">
        <v>0.45</v>
      </c>
      <c r="D669" s="4">
        <f t="shared" si="61"/>
        <v>0.125</v>
      </c>
      <c r="E669" s="6">
        <v>0.32500000000000001</v>
      </c>
      <c r="F669" s="5">
        <f t="shared" si="59"/>
        <v>0.72222222222222221</v>
      </c>
      <c r="G669" s="5">
        <v>0.85499999999999998</v>
      </c>
      <c r="H669" s="4">
        <f>69.5/1440</f>
        <v>4.8263888888888891E-2</v>
      </c>
      <c r="I669" s="5">
        <v>0.127</v>
      </c>
      <c r="J669" s="11" t="s">
        <v>314</v>
      </c>
    </row>
    <row r="670" spans="1:10" ht="13.15" customHeight="1" x14ac:dyDescent="0.25">
      <c r="A670">
        <f t="shared" si="60"/>
        <v>665</v>
      </c>
      <c r="B670" t="s">
        <v>353</v>
      </c>
      <c r="C670" s="2">
        <v>0.41319444444444442</v>
      </c>
      <c r="D670" s="4">
        <f t="shared" si="61"/>
        <v>8.8194444444444409E-2</v>
      </c>
      <c r="E670" s="6">
        <v>0.32500000000000001</v>
      </c>
      <c r="F670" s="5">
        <f t="shared" si="59"/>
        <v>0.78655462184873959</v>
      </c>
      <c r="G670" s="5">
        <v>0.77900000000000003</v>
      </c>
      <c r="H670" s="4">
        <f>60.4/1440</f>
        <v>4.1944444444444444E-2</v>
      </c>
      <c r="I670" s="5">
        <v>0.1</v>
      </c>
      <c r="J670" s="11" t="s">
        <v>365</v>
      </c>
    </row>
    <row r="671" spans="1:10" ht="13.15" customHeight="1" x14ac:dyDescent="0.25">
      <c r="A671">
        <f t="shared" si="60"/>
        <v>666</v>
      </c>
      <c r="B671" t="s">
        <v>355</v>
      </c>
      <c r="C671" s="2">
        <v>0.44027777777777777</v>
      </c>
      <c r="D671" s="4">
        <f t="shared" si="61"/>
        <v>0.11527777777777776</v>
      </c>
      <c r="E671" s="6">
        <v>0.32500000000000001</v>
      </c>
      <c r="F671" s="5">
        <f t="shared" si="59"/>
        <v>0.73817034700315465</v>
      </c>
      <c r="G671" s="5">
        <v>0.77900000000000003</v>
      </c>
      <c r="H671" s="4">
        <f>97.9/1440</f>
        <v>6.7986111111111108E-2</v>
      </c>
      <c r="I671" s="5">
        <v>0.16300000000000001</v>
      </c>
      <c r="J671" s="11" t="s">
        <v>363</v>
      </c>
    </row>
    <row r="672" spans="1:10" ht="13.15" customHeight="1" x14ac:dyDescent="0.25">
      <c r="A672">
        <f t="shared" si="60"/>
        <v>667</v>
      </c>
      <c r="B672" t="s">
        <v>470</v>
      </c>
      <c r="C672" s="2">
        <v>0.45763888888888887</v>
      </c>
      <c r="D672" s="4">
        <f t="shared" si="61"/>
        <v>0.13263888888888886</v>
      </c>
      <c r="E672" s="6">
        <v>0.32500000000000001</v>
      </c>
      <c r="F672" s="5">
        <f t="shared" si="59"/>
        <v>0.71016691957511391</v>
      </c>
      <c r="G672" s="5">
        <v>0.90500000000000003</v>
      </c>
      <c r="H672" s="4">
        <f>66.4/1440</f>
        <v>4.6111111111111117E-2</v>
      </c>
      <c r="I672" s="5">
        <v>0.128</v>
      </c>
      <c r="J672" s="11" t="s">
        <v>475</v>
      </c>
    </row>
    <row r="673" spans="1:10" ht="13.15" customHeight="1" x14ac:dyDescent="0.25">
      <c r="A673">
        <f t="shared" si="60"/>
        <v>668</v>
      </c>
      <c r="B673" t="s">
        <v>626</v>
      </c>
      <c r="C673" s="2">
        <v>0.45555555555555555</v>
      </c>
      <c r="D673" s="4">
        <f t="shared" si="61"/>
        <v>0.13055555555555554</v>
      </c>
      <c r="E673" s="6">
        <v>0.32500000000000001</v>
      </c>
      <c r="F673" s="5">
        <f t="shared" si="59"/>
        <v>0.71341463414634154</v>
      </c>
      <c r="G673" s="5">
        <v>0.78900000000000003</v>
      </c>
      <c r="H673" s="4">
        <f>62.3/1440</f>
        <v>4.3263888888888886E-2</v>
      </c>
      <c r="I673" s="5">
        <v>0.105</v>
      </c>
      <c r="J673" s="11" t="s">
        <v>627</v>
      </c>
    </row>
    <row r="674" spans="1:10" ht="13.15" customHeight="1" x14ac:dyDescent="0.25">
      <c r="A674">
        <f t="shared" si="60"/>
        <v>669</v>
      </c>
      <c r="B674" t="s">
        <v>774</v>
      </c>
      <c r="C674" s="2">
        <v>0.43125000000000002</v>
      </c>
      <c r="D674" s="4">
        <f t="shared" si="61"/>
        <v>0.10625000000000001</v>
      </c>
      <c r="E674" s="6">
        <v>0.32500000000000001</v>
      </c>
      <c r="F674" s="5">
        <f t="shared" si="59"/>
        <v>0.75362318840579712</v>
      </c>
      <c r="G674" s="5">
        <v>0.81</v>
      </c>
      <c r="H674" s="4">
        <f>74.7/1440</f>
        <v>5.1875000000000004E-2</v>
      </c>
      <c r="I674" s="5">
        <v>0.129</v>
      </c>
      <c r="J674" s="11" t="s">
        <v>775</v>
      </c>
    </row>
    <row r="675" spans="1:10" ht="13.15" customHeight="1" x14ac:dyDescent="0.25">
      <c r="A675">
        <f t="shared" si="60"/>
        <v>670</v>
      </c>
      <c r="B675" t="s">
        <v>855</v>
      </c>
      <c r="C675" s="2">
        <v>0.45347222222222222</v>
      </c>
      <c r="D675" s="4">
        <f t="shared" si="61"/>
        <v>0.12847222222222221</v>
      </c>
      <c r="E675" s="6">
        <v>0.32500000000000001</v>
      </c>
      <c r="F675" s="5">
        <f t="shared" si="59"/>
        <v>0.71669218989280248</v>
      </c>
      <c r="G675" s="5">
        <v>0.81799999999999995</v>
      </c>
      <c r="H675" s="4">
        <f>60.4/1440</f>
        <v>4.1944444444444444E-2</v>
      </c>
      <c r="I675" s="5">
        <v>0.105</v>
      </c>
      <c r="J675" s="11" t="s">
        <v>860</v>
      </c>
    </row>
    <row r="676" spans="1:10" ht="13.15" customHeight="1" x14ac:dyDescent="0.25">
      <c r="A676">
        <f t="shared" si="60"/>
        <v>671</v>
      </c>
      <c r="B676" t="s">
        <v>903</v>
      </c>
      <c r="C676" s="2">
        <v>0.42777777777777776</v>
      </c>
      <c r="D676" s="4">
        <f t="shared" si="61"/>
        <v>0.10277777777777775</v>
      </c>
      <c r="E676" s="6">
        <v>0.32500000000000001</v>
      </c>
      <c r="F676" s="5">
        <f t="shared" si="59"/>
        <v>0.75974025974025983</v>
      </c>
      <c r="G676" s="5">
        <v>0.79</v>
      </c>
      <c r="H676" s="4">
        <f>64.5/1440</f>
        <v>4.4791666666666667E-2</v>
      </c>
      <c r="I676" s="5">
        <v>0.109</v>
      </c>
      <c r="J676" s="11" t="s">
        <v>904</v>
      </c>
    </row>
    <row r="677" spans="1:10" ht="13.15" customHeight="1" x14ac:dyDescent="0.25">
      <c r="A677">
        <f t="shared" si="60"/>
        <v>672</v>
      </c>
      <c r="B677" t="s">
        <v>1063</v>
      </c>
      <c r="C677" s="2">
        <v>0.42430555555555555</v>
      </c>
      <c r="D677" s="4">
        <f t="shared" si="61"/>
        <v>9.9305555555555536E-2</v>
      </c>
      <c r="E677" s="6">
        <v>0.32500000000000001</v>
      </c>
      <c r="F677" s="5">
        <f t="shared" si="59"/>
        <v>0.76595744680851063</v>
      </c>
      <c r="G677" s="5">
        <v>0.79300000000000004</v>
      </c>
      <c r="H677" s="4">
        <f>61.7/1440</f>
        <v>4.2847222222222224E-2</v>
      </c>
      <c r="I677" s="5">
        <v>0.104</v>
      </c>
      <c r="J677" s="11" t="s">
        <v>1051</v>
      </c>
    </row>
    <row r="678" spans="1:10" ht="13.15" customHeight="1" x14ac:dyDescent="0.25">
      <c r="A678">
        <f t="shared" si="60"/>
        <v>673</v>
      </c>
      <c r="B678" t="s">
        <v>1143</v>
      </c>
      <c r="C678" s="2">
        <v>0.47013888888888888</v>
      </c>
      <c r="D678" s="4">
        <f t="shared" si="61"/>
        <v>0.14513888888888887</v>
      </c>
      <c r="E678" s="6">
        <v>0.32500000000000001</v>
      </c>
      <c r="F678" s="5">
        <f t="shared" si="59"/>
        <v>0.69128508124076815</v>
      </c>
      <c r="G678" s="5">
        <v>0.80400000000000005</v>
      </c>
      <c r="H678" s="4">
        <f>60.8/1440</f>
        <v>4.2222222222222223E-2</v>
      </c>
      <c r="I678" s="5">
        <v>0.104</v>
      </c>
      <c r="J678" s="11" t="s">
        <v>1127</v>
      </c>
    </row>
    <row r="679" spans="1:10" ht="13.15" customHeight="1" x14ac:dyDescent="0.25">
      <c r="A679">
        <f t="shared" si="60"/>
        <v>674</v>
      </c>
      <c r="B679" t="s">
        <v>1499</v>
      </c>
      <c r="C679" s="2">
        <v>0.43958333333333333</v>
      </c>
      <c r="D679" s="4">
        <f t="shared" si="61"/>
        <v>0.11458333333333331</v>
      </c>
      <c r="E679" s="6">
        <v>0.32500000000000001</v>
      </c>
      <c r="F679" s="5">
        <f t="shared" si="59"/>
        <v>0.73933649289099534</v>
      </c>
      <c r="G679" s="5">
        <v>0.76400000000000001</v>
      </c>
      <c r="H679" s="4">
        <f>56.5/1440</f>
        <v>3.923611111111111E-2</v>
      </c>
      <c r="I679" s="5">
        <v>9.1999999999999998E-2</v>
      </c>
      <c r="J679" s="11" t="s">
        <v>1498</v>
      </c>
    </row>
    <row r="680" spans="1:10" ht="13.15" customHeight="1" x14ac:dyDescent="0.25">
      <c r="A680">
        <f t="shared" si="60"/>
        <v>675</v>
      </c>
      <c r="B680" t="s">
        <v>1605</v>
      </c>
      <c r="C680" s="2">
        <v>0.43958333333333333</v>
      </c>
      <c r="D680" s="4">
        <f t="shared" si="61"/>
        <v>0.11458333333333331</v>
      </c>
      <c r="E680" s="6">
        <v>0.32500000000000001</v>
      </c>
      <c r="F680" s="5">
        <f t="shared" si="59"/>
        <v>0.73933649289099534</v>
      </c>
      <c r="G680" s="5">
        <v>0.75700000000000001</v>
      </c>
      <c r="H680" s="4">
        <f>52.9/1440</f>
        <v>3.6736111111111108E-2</v>
      </c>
      <c r="I680" s="5">
        <v>8.5000000000000006E-2</v>
      </c>
      <c r="J680" s="11" t="s">
        <v>1600</v>
      </c>
    </row>
    <row r="681" spans="1:10" ht="13.15" customHeight="1" x14ac:dyDescent="0.25">
      <c r="A681">
        <f t="shared" si="60"/>
        <v>676</v>
      </c>
      <c r="B681" t="s">
        <v>50</v>
      </c>
      <c r="C681" s="2">
        <v>0.46736111111111112</v>
      </c>
      <c r="D681" s="4">
        <f t="shared" si="61"/>
        <v>0.14305555555555555</v>
      </c>
      <c r="E681" s="6">
        <v>0.32430555555555557</v>
      </c>
      <c r="F681" s="5">
        <f t="shared" si="59"/>
        <v>0.69390787518573549</v>
      </c>
      <c r="G681" s="5">
        <v>0.76600000000000001</v>
      </c>
      <c r="H681" s="4">
        <f>91.4/1440</f>
        <v>6.3472222222222222E-2</v>
      </c>
      <c r="I681" s="5">
        <v>0.15</v>
      </c>
      <c r="J681" s="11" t="s">
        <v>114</v>
      </c>
    </row>
    <row r="682" spans="1:10" ht="13.15" customHeight="1" x14ac:dyDescent="0.25">
      <c r="A682">
        <f t="shared" si="60"/>
        <v>677</v>
      </c>
      <c r="B682" t="s">
        <v>229</v>
      </c>
      <c r="C682" s="2">
        <v>0.4597222222222222</v>
      </c>
      <c r="D682" s="4">
        <f t="shared" si="61"/>
        <v>0.13541666666666663</v>
      </c>
      <c r="E682" s="6">
        <v>0.32430555555555557</v>
      </c>
      <c r="F682" s="5">
        <f t="shared" si="59"/>
        <v>0.70543806646525686</v>
      </c>
      <c r="G682" s="5">
        <v>0.81599999999999995</v>
      </c>
      <c r="H682" s="4">
        <f>61/1440</f>
        <v>4.2361111111111113E-2</v>
      </c>
      <c r="I682" s="5">
        <v>0.106</v>
      </c>
      <c r="J682" s="11" t="s">
        <v>230</v>
      </c>
    </row>
    <row r="683" spans="1:10" ht="13.15" customHeight="1" x14ac:dyDescent="0.25">
      <c r="A683">
        <f t="shared" si="60"/>
        <v>678</v>
      </c>
      <c r="B683" t="s">
        <v>385</v>
      </c>
      <c r="C683" s="2">
        <v>0.42708333333333331</v>
      </c>
      <c r="D683" s="4">
        <f t="shared" si="61"/>
        <v>0.10277777777777775</v>
      </c>
      <c r="E683" s="6">
        <v>0.32430555555555557</v>
      </c>
      <c r="F683" s="5">
        <f t="shared" si="59"/>
        <v>0.759349593495935</v>
      </c>
      <c r="G683" s="5">
        <v>0.80200000000000005</v>
      </c>
      <c r="H683" s="4">
        <f>69/1440</f>
        <v>4.791666666666667E-2</v>
      </c>
      <c r="I683" s="5">
        <v>0.11799999999999999</v>
      </c>
      <c r="J683" s="11" t="s">
        <v>388</v>
      </c>
    </row>
    <row r="684" spans="1:10" ht="13.15" customHeight="1" x14ac:dyDescent="0.25">
      <c r="A684">
        <f t="shared" si="60"/>
        <v>679</v>
      </c>
      <c r="B684" t="s">
        <v>852</v>
      </c>
      <c r="C684" s="2">
        <v>0.42638888888888887</v>
      </c>
      <c r="D684" s="4">
        <f t="shared" si="61"/>
        <v>0.1020833333333333</v>
      </c>
      <c r="E684" s="6">
        <v>0.32430555555555557</v>
      </c>
      <c r="F684" s="5">
        <f t="shared" si="59"/>
        <v>0.76058631921824116</v>
      </c>
      <c r="G684" s="5">
        <v>0.80600000000000005</v>
      </c>
      <c r="H684" s="4">
        <f>66.2/1440</f>
        <v>4.5972222222222227E-2</v>
      </c>
      <c r="I684" s="5">
        <v>0.114</v>
      </c>
      <c r="J684" s="11" t="s">
        <v>849</v>
      </c>
    </row>
    <row r="685" spans="1:10" ht="13.15" customHeight="1" x14ac:dyDescent="0.25">
      <c r="A685">
        <f t="shared" si="60"/>
        <v>680</v>
      </c>
      <c r="B685" t="s">
        <v>950</v>
      </c>
      <c r="C685" s="2">
        <v>0.44236111111111109</v>
      </c>
      <c r="D685" s="4">
        <f t="shared" si="61"/>
        <v>0.11805555555555552</v>
      </c>
      <c r="E685" s="6">
        <v>0.32430555555555557</v>
      </c>
      <c r="F685" s="5">
        <f t="shared" si="59"/>
        <v>0.73312401883830458</v>
      </c>
      <c r="G685" s="5">
        <v>0.77100000000000002</v>
      </c>
      <c r="H685" s="4">
        <f>62.1/1440</f>
        <v>4.3125000000000004E-2</v>
      </c>
      <c r="I685" s="5">
        <v>0.10199999999999999</v>
      </c>
      <c r="J685" s="11" t="s">
        <v>953</v>
      </c>
    </row>
    <row r="686" spans="1:10" ht="13.15" customHeight="1" x14ac:dyDescent="0.25">
      <c r="A686">
        <f t="shared" si="60"/>
        <v>681</v>
      </c>
      <c r="B686" t="s">
        <v>1103</v>
      </c>
      <c r="C686" s="2">
        <v>0.4548611111111111</v>
      </c>
      <c r="D686" s="4">
        <f t="shared" si="61"/>
        <v>0.13055555555555554</v>
      </c>
      <c r="E686" s="6">
        <v>0.32430555555555557</v>
      </c>
      <c r="F686" s="5">
        <f t="shared" ref="F686:F717" si="62">E686/C686</f>
        <v>0.71297709923664121</v>
      </c>
      <c r="G686" s="5">
        <v>0.71099999999999997</v>
      </c>
      <c r="H686" s="4">
        <f>63.9/1440</f>
        <v>4.4374999999999998E-2</v>
      </c>
      <c r="I686" s="5">
        <v>0.111</v>
      </c>
      <c r="J686" s="11" t="s">
        <v>1099</v>
      </c>
    </row>
    <row r="687" spans="1:10" ht="13.15" customHeight="1" x14ac:dyDescent="0.25">
      <c r="A687">
        <f t="shared" si="60"/>
        <v>682</v>
      </c>
      <c r="B687" t="s">
        <v>1343</v>
      </c>
      <c r="C687" s="2">
        <v>0.41736111111111113</v>
      </c>
      <c r="D687" s="4">
        <f t="shared" si="61"/>
        <v>9.3055555555555558E-2</v>
      </c>
      <c r="E687" s="6">
        <v>0.32430555555555557</v>
      </c>
      <c r="F687" s="5">
        <f t="shared" si="62"/>
        <v>0.77703826955074873</v>
      </c>
      <c r="G687" s="5">
        <v>0.78200000000000003</v>
      </c>
      <c r="H687" s="4">
        <f>57.9/1440</f>
        <v>4.0208333333333332E-2</v>
      </c>
      <c r="I687" s="5">
        <v>9.7000000000000003E-2</v>
      </c>
      <c r="J687" s="11" t="s">
        <v>1340</v>
      </c>
    </row>
    <row r="688" spans="1:10" ht="13.15" customHeight="1" x14ac:dyDescent="0.25">
      <c r="A688">
        <f t="shared" si="60"/>
        <v>683</v>
      </c>
      <c r="B688" t="s">
        <v>34</v>
      </c>
      <c r="C688" s="2">
        <v>0.44305555555555554</v>
      </c>
      <c r="D688" s="4">
        <f t="shared" si="61"/>
        <v>0.11944444444444441</v>
      </c>
      <c r="E688" s="6">
        <v>0.32361111111111113</v>
      </c>
      <c r="F688" s="5">
        <f t="shared" si="62"/>
        <v>0.73040752351097182</v>
      </c>
      <c r="G688" s="5">
        <v>0.85399999999999998</v>
      </c>
      <c r="H688" s="4">
        <f>76.5/1440</f>
        <v>5.3124999999999999E-2</v>
      </c>
      <c r="I688" s="5">
        <v>0.14000000000000001</v>
      </c>
      <c r="J688" s="11" t="s">
        <v>103</v>
      </c>
    </row>
    <row r="689" spans="1:10" ht="13.15" customHeight="1" x14ac:dyDescent="0.25">
      <c r="A689">
        <f t="shared" si="60"/>
        <v>684</v>
      </c>
      <c r="B689" t="s">
        <v>56</v>
      </c>
      <c r="C689" s="2">
        <v>0.44722222222222219</v>
      </c>
      <c r="D689" s="4">
        <f t="shared" si="61"/>
        <v>0.12361111111111106</v>
      </c>
      <c r="E689" s="6">
        <v>0.32361111111111113</v>
      </c>
      <c r="F689" s="5">
        <f t="shared" si="62"/>
        <v>0.72360248447204978</v>
      </c>
      <c r="G689" s="5">
        <v>0.76</v>
      </c>
      <c r="H689" s="4">
        <f>87.2/1440</f>
        <v>6.0555555555555557E-2</v>
      </c>
      <c r="I689" s="5">
        <v>0.14199999999999999</v>
      </c>
      <c r="J689" s="11" t="s">
        <v>119</v>
      </c>
    </row>
    <row r="690" spans="1:10" ht="13.15" customHeight="1" x14ac:dyDescent="0.25">
      <c r="A690">
        <f t="shared" si="60"/>
        <v>685</v>
      </c>
      <c r="B690" t="s">
        <v>237</v>
      </c>
      <c r="C690" s="2">
        <v>0.46388888888888885</v>
      </c>
      <c r="D690" s="4">
        <f t="shared" si="61"/>
        <v>0.14027777777777772</v>
      </c>
      <c r="E690" s="6">
        <v>0.32361111111111113</v>
      </c>
      <c r="F690" s="5">
        <f t="shared" si="62"/>
        <v>0.69760479041916179</v>
      </c>
      <c r="G690" s="5">
        <v>0.78100000000000003</v>
      </c>
      <c r="H690" s="4">
        <f>67.1/1440</f>
        <v>4.659722222222222E-2</v>
      </c>
      <c r="I690" s="5">
        <v>0.112</v>
      </c>
      <c r="J690" s="11" t="s">
        <v>238</v>
      </c>
    </row>
    <row r="691" spans="1:10" ht="13.15" customHeight="1" x14ac:dyDescent="0.25">
      <c r="A691">
        <f t="shared" si="60"/>
        <v>686</v>
      </c>
      <c r="B691" t="s">
        <v>607</v>
      </c>
      <c r="C691" s="2">
        <v>0.44375000000000003</v>
      </c>
      <c r="D691" s="4">
        <f t="shared" ref="D691:D722" si="63">C691-E691</f>
        <v>0.12013888888888891</v>
      </c>
      <c r="E691" s="6">
        <v>0.32361111111111113</v>
      </c>
      <c r="F691" s="5">
        <f t="shared" si="62"/>
        <v>0.72926447574334896</v>
      </c>
      <c r="G691" s="5">
        <v>0.92400000000000004</v>
      </c>
      <c r="H691" s="4">
        <f>78.6/1440</f>
        <v>5.4583333333333331E-2</v>
      </c>
      <c r="I691" s="5">
        <v>0.155</v>
      </c>
      <c r="J691" s="11" t="s">
        <v>611</v>
      </c>
    </row>
    <row r="692" spans="1:10" ht="13.15" customHeight="1" x14ac:dyDescent="0.25">
      <c r="A692">
        <f t="shared" si="60"/>
        <v>687</v>
      </c>
      <c r="B692" t="s">
        <v>868</v>
      </c>
      <c r="C692" s="2">
        <v>0.42986111111111114</v>
      </c>
      <c r="D692" s="4">
        <f t="shared" si="63"/>
        <v>0.10625000000000001</v>
      </c>
      <c r="E692" s="6">
        <v>0.32361111111111113</v>
      </c>
      <c r="F692" s="5">
        <f t="shared" si="62"/>
        <v>0.75282714054927302</v>
      </c>
      <c r="G692" s="5">
        <v>0.86499999999999999</v>
      </c>
      <c r="H692" s="4">
        <f>69.5/1440</f>
        <v>4.8263888888888891E-2</v>
      </c>
      <c r="I692" s="5">
        <v>0.129</v>
      </c>
      <c r="J692" s="11" t="s">
        <v>877</v>
      </c>
    </row>
    <row r="693" spans="1:10" ht="13.15" customHeight="1" x14ac:dyDescent="0.25">
      <c r="A693">
        <f t="shared" si="60"/>
        <v>688</v>
      </c>
      <c r="B693" t="s">
        <v>1145</v>
      </c>
      <c r="C693" s="2">
        <v>0.45902777777777776</v>
      </c>
      <c r="D693" s="4">
        <f t="shared" si="63"/>
        <v>0.13541666666666663</v>
      </c>
      <c r="E693" s="6">
        <v>0.32361111111111113</v>
      </c>
      <c r="F693" s="5">
        <f t="shared" si="62"/>
        <v>0.70499243570347969</v>
      </c>
      <c r="G693" s="5">
        <v>0.8</v>
      </c>
      <c r="H693" s="4">
        <f>64.3/1440</f>
        <v>4.4652777777777777E-2</v>
      </c>
      <c r="I693" s="5">
        <v>0.11</v>
      </c>
      <c r="J693" s="11" t="s">
        <v>1127</v>
      </c>
    </row>
    <row r="694" spans="1:10" ht="13.15" customHeight="1" x14ac:dyDescent="0.25">
      <c r="A694">
        <f t="shared" si="60"/>
        <v>689</v>
      </c>
      <c r="B694" t="s">
        <v>1193</v>
      </c>
      <c r="C694" s="2">
        <v>0.4284722222222222</v>
      </c>
      <c r="D694" s="4">
        <f t="shared" si="63"/>
        <v>0.10486111111111107</v>
      </c>
      <c r="E694" s="6">
        <v>0.32361111111111113</v>
      </c>
      <c r="F694" s="5">
        <f t="shared" si="62"/>
        <v>0.75526742301458683</v>
      </c>
      <c r="G694" s="5">
        <v>0.79600000000000004</v>
      </c>
      <c r="H694" s="4">
        <f>67.8/1440</f>
        <v>4.7083333333333331E-2</v>
      </c>
      <c r="I694" s="5">
        <v>0.11600000000000001</v>
      </c>
      <c r="J694" s="11" t="s">
        <v>1181</v>
      </c>
    </row>
    <row r="695" spans="1:10" ht="13.15" customHeight="1" x14ac:dyDescent="0.25">
      <c r="A695">
        <f t="shared" si="60"/>
        <v>690</v>
      </c>
      <c r="B695" t="s">
        <v>1224</v>
      </c>
      <c r="C695" s="2">
        <v>0.42638888888888887</v>
      </c>
      <c r="D695" s="4">
        <f t="shared" si="63"/>
        <v>0.10277777777777775</v>
      </c>
      <c r="E695" s="6">
        <v>0.32361111111111113</v>
      </c>
      <c r="F695" s="5">
        <f t="shared" si="62"/>
        <v>0.75895765472312715</v>
      </c>
      <c r="G695" s="5">
        <v>0.82</v>
      </c>
      <c r="H695" s="4">
        <f>60.4/1440</f>
        <v>4.1944444444444444E-2</v>
      </c>
      <c r="I695" s="5">
        <v>0.106</v>
      </c>
      <c r="J695" s="11" t="s">
        <v>1225</v>
      </c>
    </row>
    <row r="696" spans="1:10" ht="13.15" customHeight="1" x14ac:dyDescent="0.25">
      <c r="A696">
        <f t="shared" si="60"/>
        <v>691</v>
      </c>
      <c r="B696" t="s">
        <v>1232</v>
      </c>
      <c r="C696" s="2">
        <v>0.43263888888888891</v>
      </c>
      <c r="D696" s="4">
        <f t="shared" si="63"/>
        <v>0.10902777777777778</v>
      </c>
      <c r="E696" s="6">
        <v>0.32361111111111113</v>
      </c>
      <c r="F696" s="5">
        <f t="shared" si="62"/>
        <v>0.7479935794542536</v>
      </c>
      <c r="G696" s="5">
        <v>0.83799999999999997</v>
      </c>
      <c r="H696" s="4">
        <f>67.2/1440</f>
        <v>4.6666666666666669E-2</v>
      </c>
      <c r="I696" s="5">
        <v>0.121</v>
      </c>
      <c r="J696" s="11" t="s">
        <v>1231</v>
      </c>
    </row>
    <row r="697" spans="1:10" ht="13.15" customHeight="1" x14ac:dyDescent="0.25">
      <c r="A697">
        <f t="shared" si="60"/>
        <v>692</v>
      </c>
      <c r="B697" t="s">
        <v>1729</v>
      </c>
      <c r="C697" s="2">
        <v>0.42430555555555555</v>
      </c>
      <c r="D697" s="4">
        <f t="shared" si="63"/>
        <v>0.10069444444444442</v>
      </c>
      <c r="E697" s="6">
        <v>0.32361111111111113</v>
      </c>
      <c r="F697" s="5">
        <f t="shared" si="62"/>
        <v>0.7626841243862521</v>
      </c>
      <c r="G697" s="5">
        <v>0.83</v>
      </c>
      <c r="H697" s="4">
        <f>68.2/1440</f>
        <v>4.7361111111111111E-2</v>
      </c>
      <c r="I697" s="5">
        <v>0.121</v>
      </c>
      <c r="J697" s="11" t="s">
        <v>1727</v>
      </c>
    </row>
    <row r="698" spans="1:10" ht="13.15" customHeight="1" x14ac:dyDescent="0.25">
      <c r="A698">
        <f t="shared" si="60"/>
        <v>693</v>
      </c>
      <c r="B698" t="s">
        <v>537</v>
      </c>
      <c r="C698" s="2">
        <v>0.44861111111111113</v>
      </c>
      <c r="D698" s="4">
        <f t="shared" si="63"/>
        <v>0.12569444444444444</v>
      </c>
      <c r="E698" s="6">
        <v>0.32291666666666669</v>
      </c>
      <c r="F698" s="5">
        <f t="shared" si="62"/>
        <v>0.7198142414860681</v>
      </c>
      <c r="G698" s="5">
        <v>0.80700000000000005</v>
      </c>
      <c r="H698" s="4">
        <f>58.9/1440</f>
        <v>4.0902777777777774E-2</v>
      </c>
      <c r="I698" s="5">
        <v>0.10199999999999999</v>
      </c>
      <c r="J698" s="11" t="s">
        <v>542</v>
      </c>
    </row>
    <row r="699" spans="1:10" ht="13.15" customHeight="1" x14ac:dyDescent="0.25">
      <c r="A699">
        <f t="shared" si="60"/>
        <v>694</v>
      </c>
      <c r="B699" t="s">
        <v>817</v>
      </c>
      <c r="C699" s="2">
        <v>0.43888888888888888</v>
      </c>
      <c r="D699" s="4">
        <f t="shared" si="63"/>
        <v>0.1159722222222222</v>
      </c>
      <c r="E699" s="6">
        <v>0.32291666666666669</v>
      </c>
      <c r="F699" s="5">
        <f t="shared" si="62"/>
        <v>0.73575949367088611</v>
      </c>
      <c r="G699" s="5">
        <v>0.80500000000000005</v>
      </c>
      <c r="H699" s="4">
        <f>68.1/1440</f>
        <v>4.7291666666666662E-2</v>
      </c>
      <c r="I699" s="5">
        <v>0.11799999999999999</v>
      </c>
      <c r="J699" s="11" t="s">
        <v>822</v>
      </c>
    </row>
    <row r="700" spans="1:10" ht="13.15" customHeight="1" x14ac:dyDescent="0.25">
      <c r="A700">
        <f t="shared" si="60"/>
        <v>695</v>
      </c>
      <c r="B700" t="s">
        <v>1144</v>
      </c>
      <c r="C700" s="2">
        <v>0.48472222222222222</v>
      </c>
      <c r="D700" s="4">
        <f t="shared" si="63"/>
        <v>0.16180555555555554</v>
      </c>
      <c r="E700" s="6">
        <v>0.32291666666666669</v>
      </c>
      <c r="F700" s="5">
        <f t="shared" si="62"/>
        <v>0.666189111747851</v>
      </c>
      <c r="G700" s="5">
        <v>0.80900000000000005</v>
      </c>
      <c r="H700" s="4">
        <f>56.9/1440</f>
        <v>3.951388888888889E-2</v>
      </c>
      <c r="I700" s="5">
        <v>9.9000000000000005E-2</v>
      </c>
      <c r="J700" s="11" t="s">
        <v>1127</v>
      </c>
    </row>
    <row r="701" spans="1:10" ht="13.15" customHeight="1" x14ac:dyDescent="0.25">
      <c r="A701">
        <f t="shared" si="60"/>
        <v>696</v>
      </c>
      <c r="B701" t="s">
        <v>1207</v>
      </c>
      <c r="C701" s="2">
        <v>0.45347222222222222</v>
      </c>
      <c r="D701" s="4">
        <f t="shared" si="63"/>
        <v>0.13055555555555554</v>
      </c>
      <c r="E701" s="6">
        <v>0.32291666666666669</v>
      </c>
      <c r="F701" s="5">
        <f t="shared" si="62"/>
        <v>0.71209800918836141</v>
      </c>
      <c r="G701" s="5">
        <v>0.79700000000000004</v>
      </c>
      <c r="H701" s="4">
        <f>63.5/1440</f>
        <v>4.4097222222222225E-2</v>
      </c>
      <c r="I701" s="5">
        <v>0.109</v>
      </c>
      <c r="J701" s="11" t="s">
        <v>1185</v>
      </c>
    </row>
    <row r="702" spans="1:10" ht="13.15" customHeight="1" x14ac:dyDescent="0.25">
      <c r="A702">
        <f t="shared" si="60"/>
        <v>697</v>
      </c>
      <c r="B702" t="s">
        <v>1208</v>
      </c>
      <c r="C702" s="2">
        <v>0.44236111111111109</v>
      </c>
      <c r="D702" s="4">
        <f t="shared" si="63"/>
        <v>0.11944444444444441</v>
      </c>
      <c r="E702" s="6">
        <v>0.32291666666666669</v>
      </c>
      <c r="F702" s="5">
        <f t="shared" si="62"/>
        <v>0.72998430141287296</v>
      </c>
      <c r="G702" s="5" t="s">
        <v>1210</v>
      </c>
      <c r="H702" s="4">
        <f>62.9/1440</f>
        <v>4.3680555555555556E-2</v>
      </c>
      <c r="I702" s="5">
        <v>0.10100000000000001</v>
      </c>
      <c r="J702" s="11" t="s">
        <v>1185</v>
      </c>
    </row>
    <row r="703" spans="1:10" ht="13.15" customHeight="1" x14ac:dyDescent="0.25">
      <c r="A703">
        <f t="shared" si="60"/>
        <v>698</v>
      </c>
      <c r="B703" t="s">
        <v>1446</v>
      </c>
      <c r="C703" s="2">
        <v>0.43125000000000002</v>
      </c>
      <c r="D703" s="4">
        <f t="shared" si="63"/>
        <v>0.10833333333333334</v>
      </c>
      <c r="E703" s="6">
        <v>0.32291666666666669</v>
      </c>
      <c r="F703" s="5">
        <f t="shared" si="62"/>
        <v>0.74879227053140096</v>
      </c>
      <c r="G703" s="5">
        <v>0.71299999999999997</v>
      </c>
      <c r="H703" s="4">
        <f>64.5/1440</f>
        <v>4.4791666666666667E-2</v>
      </c>
      <c r="I703" s="5">
        <v>0.107</v>
      </c>
      <c r="J703" s="11" t="s">
        <v>1439</v>
      </c>
    </row>
    <row r="704" spans="1:10" ht="13.15" customHeight="1" x14ac:dyDescent="0.25">
      <c r="A704">
        <f t="shared" si="60"/>
        <v>699</v>
      </c>
      <c r="B704" t="s">
        <v>200</v>
      </c>
      <c r="C704" s="2">
        <v>0.4513888888888889</v>
      </c>
      <c r="D704" s="4">
        <f t="shared" si="63"/>
        <v>0.12916666666666665</v>
      </c>
      <c r="E704" s="6">
        <v>0.32222222222222224</v>
      </c>
      <c r="F704" s="5">
        <f t="shared" si="62"/>
        <v>0.71384615384615391</v>
      </c>
      <c r="G704" s="5">
        <v>0.70899999999999996</v>
      </c>
      <c r="H704" s="4">
        <f>65/1440</f>
        <v>4.5138888888888888E-2</v>
      </c>
      <c r="I704" s="5">
        <v>9.9000000000000005E-2</v>
      </c>
      <c r="J704" s="11" t="s">
        <v>201</v>
      </c>
    </row>
    <row r="705" spans="1:10" ht="13.15" customHeight="1" x14ac:dyDescent="0.25">
      <c r="A705">
        <f t="shared" si="60"/>
        <v>700</v>
      </c>
      <c r="B705" t="s">
        <v>260</v>
      </c>
      <c r="C705" s="2">
        <v>0.4375</v>
      </c>
      <c r="D705" s="4">
        <f t="shared" si="63"/>
        <v>0.11527777777777776</v>
      </c>
      <c r="E705" s="6">
        <v>0.32222222222222224</v>
      </c>
      <c r="F705" s="5">
        <f t="shared" si="62"/>
        <v>0.73650793650793656</v>
      </c>
      <c r="G705" s="5">
        <v>0.89300000000000002</v>
      </c>
      <c r="H705" s="4">
        <f>86.5/1440</f>
        <v>6.0069444444444446E-2</v>
      </c>
      <c r="I705" s="5">
        <v>0.16600000000000001</v>
      </c>
      <c r="J705" s="11" t="s">
        <v>263</v>
      </c>
    </row>
    <row r="706" spans="1:10" ht="13.15" customHeight="1" x14ac:dyDescent="0.25">
      <c r="A706">
        <f t="shared" si="60"/>
        <v>701</v>
      </c>
      <c r="B706" t="s">
        <v>463</v>
      </c>
      <c r="C706" s="2">
        <v>0.44930555555555557</v>
      </c>
      <c r="D706" s="4">
        <f t="shared" si="63"/>
        <v>0.12708333333333333</v>
      </c>
      <c r="E706" s="6">
        <v>0.32222222222222224</v>
      </c>
      <c r="F706" s="5">
        <f t="shared" si="62"/>
        <v>0.71715610510046368</v>
      </c>
      <c r="G706" s="5">
        <v>0.86299999999999999</v>
      </c>
      <c r="H706" s="4">
        <f>73.6/1440</f>
        <v>5.1111111111111107E-2</v>
      </c>
      <c r="I706" s="5">
        <v>0.13700000000000001</v>
      </c>
      <c r="J706" s="11" t="s">
        <v>475</v>
      </c>
    </row>
    <row r="707" spans="1:10" ht="13.15" customHeight="1" x14ac:dyDescent="0.25">
      <c r="A707">
        <f t="shared" si="60"/>
        <v>702</v>
      </c>
      <c r="B707" t="s">
        <v>679</v>
      </c>
      <c r="C707" s="2">
        <v>0.48541666666666666</v>
      </c>
      <c r="D707" s="4">
        <f t="shared" si="63"/>
        <v>0.16319444444444442</v>
      </c>
      <c r="E707" s="6">
        <v>0.32222222222222224</v>
      </c>
      <c r="F707" s="5">
        <f t="shared" si="62"/>
        <v>0.66380543633762523</v>
      </c>
      <c r="G707" s="5">
        <v>0.79900000000000004</v>
      </c>
      <c r="H707" s="4">
        <f>69.2/1440</f>
        <v>4.805555555555556E-2</v>
      </c>
      <c r="I707" s="5">
        <v>0.11899999999999999</v>
      </c>
      <c r="J707" s="11" t="s">
        <v>681</v>
      </c>
    </row>
    <row r="708" spans="1:10" ht="13.15" customHeight="1" x14ac:dyDescent="0.25">
      <c r="A708">
        <f t="shared" si="60"/>
        <v>703</v>
      </c>
      <c r="B708" t="s">
        <v>1374</v>
      </c>
      <c r="C708" s="2">
        <v>0.44027777777777777</v>
      </c>
      <c r="D708" s="4">
        <f t="shared" si="63"/>
        <v>0.11805555555555552</v>
      </c>
      <c r="E708" s="6">
        <v>0.32222222222222224</v>
      </c>
      <c r="F708" s="5">
        <f t="shared" si="62"/>
        <v>0.73186119873817046</v>
      </c>
      <c r="G708" s="5">
        <v>0.82399999999999995</v>
      </c>
      <c r="H708" s="4">
        <f>64.3/1440</f>
        <v>4.4652777777777777E-2</v>
      </c>
      <c r="I708" s="5">
        <v>0.114</v>
      </c>
      <c r="J708" s="11" t="s">
        <v>1366</v>
      </c>
    </row>
    <row r="709" spans="1:10" ht="13.15" customHeight="1" x14ac:dyDescent="0.25">
      <c r="A709">
        <f t="shared" si="60"/>
        <v>704</v>
      </c>
      <c r="B709" t="s">
        <v>1639</v>
      </c>
      <c r="C709" s="2">
        <v>0.43333333333333335</v>
      </c>
      <c r="D709" s="4">
        <f t="shared" si="63"/>
        <v>0.1111111111111111</v>
      </c>
      <c r="E709" s="6">
        <v>0.32222222222222224</v>
      </c>
      <c r="F709" s="5">
        <f t="shared" si="62"/>
        <v>0.74358974358974361</v>
      </c>
      <c r="G709" s="5">
        <v>0.85799999999999998</v>
      </c>
      <c r="H709" s="4">
        <f>70.3/1440</f>
        <v>4.8819444444444443E-2</v>
      </c>
      <c r="I709" s="5">
        <v>0.13</v>
      </c>
      <c r="J709" s="11" t="s">
        <v>1626</v>
      </c>
    </row>
    <row r="710" spans="1:10" ht="13.15" customHeight="1" x14ac:dyDescent="0.25">
      <c r="A710">
        <f t="shared" si="60"/>
        <v>705</v>
      </c>
      <c r="B710" t="s">
        <v>10</v>
      </c>
      <c r="C710" s="2">
        <v>0.44305555555555554</v>
      </c>
      <c r="D710" s="4">
        <f t="shared" si="63"/>
        <v>0.12152777777777773</v>
      </c>
      <c r="E710" s="6">
        <v>0.3215277777777778</v>
      </c>
      <c r="F710" s="5">
        <f t="shared" si="62"/>
        <v>0.72570532915360508</v>
      </c>
      <c r="G710" s="5">
        <v>0.91900000000000004</v>
      </c>
      <c r="H710" s="4">
        <f>69.4/1440</f>
        <v>4.8194444444444449E-2</v>
      </c>
      <c r="I710" s="5">
        <v>0.13800000000000001</v>
      </c>
      <c r="J710" s="11" t="s">
        <v>93</v>
      </c>
    </row>
    <row r="711" spans="1:10" ht="13.15" customHeight="1" x14ac:dyDescent="0.25">
      <c r="A711">
        <f t="shared" si="60"/>
        <v>706</v>
      </c>
      <c r="B711" t="s">
        <v>503</v>
      </c>
      <c r="C711" s="2">
        <v>0.45208333333333334</v>
      </c>
      <c r="D711" s="4">
        <f t="shared" si="63"/>
        <v>0.13055555555555554</v>
      </c>
      <c r="E711" s="6">
        <v>0.3215277777777778</v>
      </c>
      <c r="F711" s="5">
        <f t="shared" si="62"/>
        <v>0.71121351766513063</v>
      </c>
      <c r="G711" s="5">
        <v>0.80600000000000005</v>
      </c>
      <c r="H711" s="4">
        <f>80.1/1440</f>
        <v>5.5624999999999994E-2</v>
      </c>
      <c r="I711" s="5">
        <v>0.13900000000000001</v>
      </c>
      <c r="J711" s="11" t="s">
        <v>506</v>
      </c>
    </row>
    <row r="712" spans="1:10" ht="13.15" customHeight="1" x14ac:dyDescent="0.25">
      <c r="A712">
        <f t="shared" si="60"/>
        <v>707</v>
      </c>
      <c r="B712" t="s">
        <v>671</v>
      </c>
      <c r="C712" s="2">
        <v>0.45624999999999999</v>
      </c>
      <c r="D712" s="4">
        <f t="shared" si="63"/>
        <v>0.13472222222222219</v>
      </c>
      <c r="E712" s="6">
        <v>0.3215277777777778</v>
      </c>
      <c r="F712" s="5">
        <f t="shared" si="62"/>
        <v>0.70471841704718419</v>
      </c>
      <c r="G712" s="5">
        <v>0.77600000000000002</v>
      </c>
      <c r="H712" s="4">
        <f>60.8/1440</f>
        <v>4.2222222222222223E-2</v>
      </c>
      <c r="I712" s="5">
        <v>0.10199999999999999</v>
      </c>
      <c r="J712" s="11" t="s">
        <v>673</v>
      </c>
    </row>
    <row r="713" spans="1:10" ht="13.15" customHeight="1" x14ac:dyDescent="0.25">
      <c r="A713">
        <f t="shared" si="60"/>
        <v>708</v>
      </c>
      <c r="B713" t="s">
        <v>708</v>
      </c>
      <c r="C713" s="2">
        <v>0.45347222222222222</v>
      </c>
      <c r="D713" s="4">
        <f t="shared" si="63"/>
        <v>0.13194444444444442</v>
      </c>
      <c r="E713" s="6">
        <v>0.3215277777777778</v>
      </c>
      <c r="F713" s="5">
        <f t="shared" si="62"/>
        <v>0.70903522205206748</v>
      </c>
      <c r="G713" s="5">
        <v>0.79700000000000004</v>
      </c>
      <c r="H713" s="4">
        <f>63.6/1440</f>
        <v>4.4166666666666667E-2</v>
      </c>
      <c r="I713" s="5">
        <v>0.109</v>
      </c>
      <c r="J713" s="11" t="s">
        <v>712</v>
      </c>
    </row>
    <row r="714" spans="1:10" ht="13.15" customHeight="1" x14ac:dyDescent="0.25">
      <c r="A714">
        <f t="shared" si="60"/>
        <v>709</v>
      </c>
      <c r="B714" t="s">
        <v>913</v>
      </c>
      <c r="C714" s="2">
        <v>0.41458333333333336</v>
      </c>
      <c r="D714" s="4">
        <f t="shared" si="63"/>
        <v>9.3055555555555558E-2</v>
      </c>
      <c r="E714" s="6">
        <v>0.3215277777777778</v>
      </c>
      <c r="F714" s="5">
        <f t="shared" si="62"/>
        <v>0.7755443886097152</v>
      </c>
      <c r="G714" s="5">
        <v>0.80800000000000005</v>
      </c>
      <c r="H714" s="4">
        <f>67.3/1440</f>
        <v>4.673611111111111E-2</v>
      </c>
      <c r="I714" s="5">
        <v>0.11700000000000001</v>
      </c>
      <c r="J714" s="11" t="s">
        <v>914</v>
      </c>
    </row>
    <row r="715" spans="1:10" ht="13.15" customHeight="1" x14ac:dyDescent="0.25">
      <c r="A715">
        <f t="shared" si="60"/>
        <v>710</v>
      </c>
      <c r="B715" t="s">
        <v>1092</v>
      </c>
      <c r="C715" s="2">
        <v>0.4284722222222222</v>
      </c>
      <c r="D715" s="4">
        <f t="shared" si="63"/>
        <v>0.1069444444444444</v>
      </c>
      <c r="E715" s="6">
        <v>0.3215277777777778</v>
      </c>
      <c r="F715" s="5">
        <f t="shared" si="62"/>
        <v>0.7504051863857375</v>
      </c>
      <c r="G715" s="5">
        <v>0.81</v>
      </c>
      <c r="H715" s="4">
        <f>66.3/1440</f>
        <v>4.6041666666666661E-2</v>
      </c>
      <c r="I715" s="5">
        <v>0.11600000000000001</v>
      </c>
      <c r="J715" s="11" t="s">
        <v>1076</v>
      </c>
    </row>
    <row r="716" spans="1:10" ht="13.15" customHeight="1" x14ac:dyDescent="0.25">
      <c r="A716">
        <f t="shared" si="60"/>
        <v>711</v>
      </c>
      <c r="B716" t="s">
        <v>1187</v>
      </c>
      <c r="C716" s="2">
        <v>0.42499999999999999</v>
      </c>
      <c r="D716" s="4">
        <f t="shared" si="63"/>
        <v>0.10347222222222219</v>
      </c>
      <c r="E716" s="6">
        <v>0.3215277777777778</v>
      </c>
      <c r="F716" s="5">
        <f t="shared" si="62"/>
        <v>0.75653594771241839</v>
      </c>
      <c r="G716" s="5">
        <v>0.82299999999999995</v>
      </c>
      <c r="H716" s="4">
        <f>70.2/1440</f>
        <v>4.8750000000000002E-2</v>
      </c>
      <c r="I716" s="5">
        <v>0.125</v>
      </c>
      <c r="J716" s="11" t="s">
        <v>1179</v>
      </c>
    </row>
    <row r="717" spans="1:10" ht="13.15" customHeight="1" x14ac:dyDescent="0.25">
      <c r="A717">
        <f t="shared" si="60"/>
        <v>712</v>
      </c>
      <c r="B717" t="s">
        <v>1275</v>
      </c>
      <c r="C717" s="2">
        <v>0.44374999999999998</v>
      </c>
      <c r="D717" s="4">
        <f t="shared" si="63"/>
        <v>0.12222222222222218</v>
      </c>
      <c r="E717" s="6">
        <v>0.3215277777777778</v>
      </c>
      <c r="F717" s="5">
        <f t="shared" si="62"/>
        <v>0.72456964006259794</v>
      </c>
      <c r="G717" s="5">
        <v>0.81699999999999995</v>
      </c>
      <c r="H717" s="4">
        <f>68.2/1440</f>
        <v>4.7361111111111111E-2</v>
      </c>
      <c r="I717" s="5">
        <v>0.12</v>
      </c>
      <c r="J717" s="11" t="s">
        <v>1266</v>
      </c>
    </row>
    <row r="718" spans="1:10" ht="13.15" customHeight="1" x14ac:dyDescent="0.25">
      <c r="A718">
        <f t="shared" si="60"/>
        <v>713</v>
      </c>
      <c r="B718" t="s">
        <v>1377</v>
      </c>
      <c r="C718" s="2">
        <v>0.42777777777777776</v>
      </c>
      <c r="D718" s="4">
        <f t="shared" si="63"/>
        <v>0.10624999999999996</v>
      </c>
      <c r="E718" s="6">
        <v>0.3215277777777778</v>
      </c>
      <c r="F718" s="5">
        <f t="shared" ref="F718:F749" si="64">E718/C718</f>
        <v>0.75162337662337675</v>
      </c>
      <c r="G718" s="5">
        <v>0.84</v>
      </c>
      <c r="H718" s="4">
        <f>66.7/1440</f>
        <v>4.6319444444444448E-2</v>
      </c>
      <c r="I718" s="5">
        <v>0.121</v>
      </c>
      <c r="J718" s="11" t="s">
        <v>1366</v>
      </c>
    </row>
    <row r="719" spans="1:10" ht="13.15" customHeight="1" x14ac:dyDescent="0.25">
      <c r="A719">
        <f t="shared" si="60"/>
        <v>714</v>
      </c>
      <c r="B719" t="s">
        <v>1471</v>
      </c>
      <c r="C719" s="2">
        <v>0.44791666666666669</v>
      </c>
      <c r="D719" s="4">
        <f t="shared" si="63"/>
        <v>0.12638888888888888</v>
      </c>
      <c r="E719" s="6">
        <v>0.3215277777777778</v>
      </c>
      <c r="F719" s="5">
        <f t="shared" si="64"/>
        <v>0.71782945736434112</v>
      </c>
      <c r="G719" s="5">
        <v>0.79700000000000004</v>
      </c>
      <c r="H719" s="4">
        <f>57.8/1440</f>
        <v>4.0138888888888884E-2</v>
      </c>
      <c r="I719" s="5">
        <v>9.9000000000000005E-2</v>
      </c>
      <c r="J719" s="11" t="s">
        <v>1469</v>
      </c>
    </row>
    <row r="720" spans="1:10" ht="13.15" customHeight="1" x14ac:dyDescent="0.25">
      <c r="A720">
        <f t="shared" si="60"/>
        <v>715</v>
      </c>
      <c r="B720" t="s">
        <v>1476</v>
      </c>
      <c r="C720" s="2">
        <v>0.47638888888888886</v>
      </c>
      <c r="D720" s="4">
        <f t="shared" si="63"/>
        <v>0.15486111111111106</v>
      </c>
      <c r="E720" s="6">
        <v>0.3215277777777778</v>
      </c>
      <c r="F720" s="5">
        <f t="shared" si="64"/>
        <v>0.67492711370262404</v>
      </c>
      <c r="G720" s="5">
        <v>0.83699999999999997</v>
      </c>
      <c r="H720" s="4">
        <f>59.2/1440</f>
        <v>4.1111111111111112E-2</v>
      </c>
      <c r="I720" s="5">
        <v>0.107</v>
      </c>
      <c r="J720" s="11" t="s">
        <v>1470</v>
      </c>
    </row>
    <row r="721" spans="1:10" ht="13.15" customHeight="1" x14ac:dyDescent="0.25">
      <c r="A721">
        <f t="shared" si="60"/>
        <v>716</v>
      </c>
      <c r="B721" t="s">
        <v>1643</v>
      </c>
      <c r="C721" s="2">
        <v>0.43333333333333335</v>
      </c>
      <c r="D721" s="4">
        <f t="shared" si="63"/>
        <v>0.11180555555555555</v>
      </c>
      <c r="E721" s="6">
        <v>0.3215277777777778</v>
      </c>
      <c r="F721" s="5">
        <f t="shared" si="64"/>
        <v>0.74198717948717952</v>
      </c>
      <c r="G721" s="5">
        <v>0.81899999999999995</v>
      </c>
      <c r="H721" s="4">
        <f>103.1/1440</f>
        <v>7.1597222222222215E-2</v>
      </c>
      <c r="I721" s="5">
        <v>0.182</v>
      </c>
      <c r="J721" s="11" t="s">
        <v>1648</v>
      </c>
    </row>
    <row r="722" spans="1:10" ht="13.15" customHeight="1" x14ac:dyDescent="0.25">
      <c r="A722">
        <f t="shared" si="60"/>
        <v>717</v>
      </c>
      <c r="B722" t="s">
        <v>1647</v>
      </c>
      <c r="C722" s="2">
        <v>0.43958333333333333</v>
      </c>
      <c r="D722" s="4">
        <f t="shared" si="63"/>
        <v>0.11805555555555552</v>
      </c>
      <c r="E722" s="6">
        <v>0.3215277777777778</v>
      </c>
      <c r="F722" s="5">
        <f t="shared" si="64"/>
        <v>0.73143759873617697</v>
      </c>
      <c r="G722" s="5">
        <v>0.84499999999999997</v>
      </c>
      <c r="H722" s="4">
        <f>44.8/1440</f>
        <v>3.111111111111111E-2</v>
      </c>
      <c r="I722" s="5">
        <v>8.2000000000000003E-2</v>
      </c>
      <c r="J722" s="11" t="s">
        <v>1648</v>
      </c>
    </row>
    <row r="723" spans="1:10" ht="13.15" customHeight="1" x14ac:dyDescent="0.25">
      <c r="A723">
        <f t="shared" ref="A723:A786" si="65">A722+1</f>
        <v>718</v>
      </c>
      <c r="B723" t="s">
        <v>1688</v>
      </c>
      <c r="C723" s="2">
        <v>0.43541666666666667</v>
      </c>
      <c r="D723" s="4">
        <f t="shared" ref="D723:D732" si="66">C723-E723</f>
        <v>0.11388888888888887</v>
      </c>
      <c r="E723" s="6">
        <v>0.3215277777777778</v>
      </c>
      <c r="F723" s="5">
        <f t="shared" si="64"/>
        <v>0.73843700159489634</v>
      </c>
      <c r="G723" s="5">
        <v>0.84599999999999997</v>
      </c>
      <c r="H723" s="4">
        <f>63.7/1440</f>
        <v>4.4236111111111115E-2</v>
      </c>
      <c r="I723" s="5">
        <v>0.11600000000000001</v>
      </c>
      <c r="J723" s="11" t="s">
        <v>1684</v>
      </c>
    </row>
    <row r="724" spans="1:10" ht="13.15" customHeight="1" x14ac:dyDescent="0.25">
      <c r="A724">
        <f t="shared" si="65"/>
        <v>719</v>
      </c>
      <c r="B724" t="s">
        <v>149</v>
      </c>
      <c r="C724" s="2">
        <v>0.44375000000000003</v>
      </c>
      <c r="D724" s="4">
        <f t="shared" si="66"/>
        <v>0.12291666666666667</v>
      </c>
      <c r="E724" s="6">
        <v>0.32083333333333336</v>
      </c>
      <c r="F724" s="5">
        <f t="shared" si="64"/>
        <v>0.72300469483568075</v>
      </c>
      <c r="G724" s="5">
        <v>0.82499999999999996</v>
      </c>
      <c r="H724" s="4">
        <f>83.2/1440</f>
        <v>5.7777777777777782E-2</v>
      </c>
      <c r="I724" s="5">
        <v>0.14799999999999999</v>
      </c>
      <c r="J724" s="11" t="s">
        <v>156</v>
      </c>
    </row>
    <row r="725" spans="1:10" ht="13.15" customHeight="1" x14ac:dyDescent="0.25">
      <c r="A725">
        <f t="shared" si="65"/>
        <v>720</v>
      </c>
      <c r="B725" t="s">
        <v>264</v>
      </c>
      <c r="C725" s="2">
        <v>0.4458333333333333</v>
      </c>
      <c r="D725" s="4">
        <f t="shared" si="66"/>
        <v>0.12499999999999994</v>
      </c>
      <c r="E725" s="6">
        <v>0.32083333333333336</v>
      </c>
      <c r="F725" s="5">
        <f t="shared" si="64"/>
        <v>0.71962616822429915</v>
      </c>
      <c r="G725" s="5">
        <v>0.76</v>
      </c>
      <c r="H725" s="4">
        <f>71.2/1440</f>
        <v>4.9444444444444444E-2</v>
      </c>
      <c r="I725" s="5">
        <v>0.11700000000000001</v>
      </c>
      <c r="J725" s="11" t="s">
        <v>265</v>
      </c>
    </row>
    <row r="726" spans="1:10" ht="13.15" customHeight="1" x14ac:dyDescent="0.25">
      <c r="A726">
        <f t="shared" si="65"/>
        <v>721</v>
      </c>
      <c r="B726" t="s">
        <v>670</v>
      </c>
      <c r="C726" s="2">
        <v>0.44930555555555557</v>
      </c>
      <c r="D726" s="4">
        <f t="shared" si="66"/>
        <v>0.12847222222222221</v>
      </c>
      <c r="E726" s="6">
        <v>0.32083333333333336</v>
      </c>
      <c r="F726" s="5">
        <f t="shared" si="64"/>
        <v>0.71406491499227209</v>
      </c>
      <c r="G726" s="5">
        <v>0.78900000000000003</v>
      </c>
      <c r="H726" s="4">
        <f>62.6/1440</f>
        <v>4.3472222222222225E-2</v>
      </c>
      <c r="I726" s="5">
        <v>0.107</v>
      </c>
      <c r="J726" s="11" t="s">
        <v>673</v>
      </c>
    </row>
    <row r="727" spans="1:10" ht="13.15" customHeight="1" x14ac:dyDescent="0.25">
      <c r="A727">
        <f t="shared" si="65"/>
        <v>722</v>
      </c>
      <c r="B727" t="s">
        <v>711</v>
      </c>
      <c r="C727" s="2">
        <v>0.47291666666666665</v>
      </c>
      <c r="D727" s="4">
        <f t="shared" si="66"/>
        <v>0.15208333333333329</v>
      </c>
      <c r="E727" s="6">
        <v>0.32083333333333336</v>
      </c>
      <c r="F727" s="5">
        <f t="shared" si="64"/>
        <v>0.67841409691629961</v>
      </c>
      <c r="G727" s="5">
        <v>0.76300000000000001</v>
      </c>
      <c r="H727" s="4">
        <f>58.1/1440</f>
        <v>4.0347222222222222E-2</v>
      </c>
      <c r="I727" s="5">
        <v>9.6000000000000002E-2</v>
      </c>
      <c r="J727" s="11" t="s">
        <v>712</v>
      </c>
    </row>
    <row r="728" spans="1:10" ht="13.15" customHeight="1" x14ac:dyDescent="0.25">
      <c r="A728">
        <f t="shared" si="65"/>
        <v>723</v>
      </c>
      <c r="B728" t="s">
        <v>781</v>
      </c>
      <c r="C728" s="2">
        <v>0.45277777777777778</v>
      </c>
      <c r="D728" s="4">
        <f t="shared" si="66"/>
        <v>0.13194444444444442</v>
      </c>
      <c r="E728" s="6">
        <v>0.32083333333333336</v>
      </c>
      <c r="F728" s="5">
        <f t="shared" si="64"/>
        <v>0.70858895705521474</v>
      </c>
      <c r="G728" s="5">
        <v>0.83799999999999997</v>
      </c>
      <c r="H728" s="4">
        <f>64.4/1440</f>
        <v>4.4722222222222226E-2</v>
      </c>
      <c r="I728" s="5">
        <v>0.11700000000000001</v>
      </c>
      <c r="J728" s="11" t="s">
        <v>782</v>
      </c>
    </row>
    <row r="729" spans="1:10" ht="13.15" customHeight="1" x14ac:dyDescent="0.25">
      <c r="A729">
        <f t="shared" si="65"/>
        <v>724</v>
      </c>
      <c r="B729" t="s">
        <v>938</v>
      </c>
      <c r="C729" s="2">
        <v>0.46736111111111112</v>
      </c>
      <c r="D729" s="4">
        <f t="shared" si="66"/>
        <v>0.14652777777777776</v>
      </c>
      <c r="E729" s="6">
        <v>0.32083333333333336</v>
      </c>
      <c r="F729" s="5">
        <f t="shared" si="64"/>
        <v>0.68647845468053492</v>
      </c>
      <c r="G729" s="5">
        <v>0.81699999999999995</v>
      </c>
      <c r="H729" s="4">
        <f>64/1440</f>
        <v>4.4444444444444446E-2</v>
      </c>
      <c r="I729" s="5">
        <v>0.113</v>
      </c>
      <c r="J729" s="11" t="s">
        <v>937</v>
      </c>
    </row>
    <row r="730" spans="1:10" ht="13.15" customHeight="1" x14ac:dyDescent="0.25">
      <c r="A730">
        <f t="shared" si="65"/>
        <v>725</v>
      </c>
      <c r="B730" t="s">
        <v>1005</v>
      </c>
      <c r="C730" s="2">
        <v>0.46527777777777779</v>
      </c>
      <c r="D730" s="4">
        <f t="shared" si="66"/>
        <v>0.14444444444444443</v>
      </c>
      <c r="E730" s="6">
        <v>0.32083333333333336</v>
      </c>
      <c r="F730" s="5">
        <f t="shared" si="64"/>
        <v>0.68955223880597016</v>
      </c>
      <c r="G730" s="5">
        <v>0.81699999999999995</v>
      </c>
      <c r="H730" s="4">
        <f>66.6/1440</f>
        <v>4.6249999999999999E-2</v>
      </c>
      <c r="I730" s="5">
        <v>0.11799999999999999</v>
      </c>
      <c r="J730" s="11" t="s">
        <v>1004</v>
      </c>
    </row>
    <row r="731" spans="1:10" ht="13.15" customHeight="1" x14ac:dyDescent="0.25">
      <c r="A731">
        <f t="shared" si="65"/>
        <v>726</v>
      </c>
      <c r="B731" t="s">
        <v>1191</v>
      </c>
      <c r="C731" s="2">
        <v>0.40069444444444446</v>
      </c>
      <c r="D731" s="4">
        <f t="shared" si="66"/>
        <v>7.9861111111111105E-2</v>
      </c>
      <c r="E731" s="6">
        <v>0.32083333333333336</v>
      </c>
      <c r="F731" s="5">
        <f t="shared" si="64"/>
        <v>0.80069324090121319</v>
      </c>
      <c r="G731" s="5">
        <v>0.84099999999999997</v>
      </c>
      <c r="H731" s="4">
        <f>59.7/1440</f>
        <v>4.1458333333333333E-2</v>
      </c>
      <c r="I731" s="5">
        <v>0.109</v>
      </c>
      <c r="J731" s="11" t="s">
        <v>1179</v>
      </c>
    </row>
    <row r="732" spans="1:10" ht="13.15" customHeight="1" x14ac:dyDescent="0.25">
      <c r="A732">
        <f t="shared" si="65"/>
        <v>727</v>
      </c>
      <c r="B732" t="s">
        <v>1357</v>
      </c>
      <c r="C732" s="2">
        <v>0.46250000000000002</v>
      </c>
      <c r="D732" s="4">
        <f t="shared" si="66"/>
        <v>0.14166666666666666</v>
      </c>
      <c r="E732" s="6">
        <v>0.32083333333333336</v>
      </c>
      <c r="F732" s="5">
        <f t="shared" si="64"/>
        <v>0.69369369369369371</v>
      </c>
      <c r="G732" s="5">
        <v>0.84099999999999997</v>
      </c>
      <c r="H732" s="4">
        <f>69.3/1440</f>
        <v>4.8125000000000001E-2</v>
      </c>
      <c r="I732" s="5">
        <v>0.126</v>
      </c>
      <c r="J732" s="11" t="s">
        <v>1358</v>
      </c>
    </row>
    <row r="733" spans="1:10" ht="13.15" customHeight="1" x14ac:dyDescent="0.25">
      <c r="A733">
        <f t="shared" si="65"/>
        <v>728</v>
      </c>
      <c r="B733" t="s">
        <v>1420</v>
      </c>
      <c r="C733" s="2">
        <v>0.42777777777777776</v>
      </c>
      <c r="D733" s="4">
        <v>0.10347222222222222</v>
      </c>
      <c r="E733" s="6">
        <v>0.32083333333333336</v>
      </c>
      <c r="F733" s="5">
        <f t="shared" si="64"/>
        <v>0.75000000000000011</v>
      </c>
      <c r="G733" s="5">
        <v>0.81799999999999995</v>
      </c>
      <c r="H733" s="4">
        <f>64.5/1440</f>
        <v>4.4791666666666667E-2</v>
      </c>
      <c r="I733" s="5">
        <v>0.114</v>
      </c>
      <c r="J733" s="11" t="s">
        <v>1415</v>
      </c>
    </row>
    <row r="734" spans="1:10" ht="13.15" customHeight="1" x14ac:dyDescent="0.25">
      <c r="A734">
        <f t="shared" si="65"/>
        <v>729</v>
      </c>
      <c r="B734" t="s">
        <v>1487</v>
      </c>
      <c r="C734" s="2">
        <v>0.44930555555555557</v>
      </c>
      <c r="D734" s="4">
        <f t="shared" ref="D734:D760" si="67">C734-E734</f>
        <v>0.12847222222222221</v>
      </c>
      <c r="E734" s="6">
        <v>0.32083333333333336</v>
      </c>
      <c r="F734" s="5">
        <f t="shared" si="64"/>
        <v>0.71406491499227209</v>
      </c>
      <c r="G734" s="5">
        <v>0.83299999999999996</v>
      </c>
      <c r="H734" s="4">
        <f>57.6/1440</f>
        <v>0.04</v>
      </c>
      <c r="I734" s="5">
        <v>0.104</v>
      </c>
      <c r="J734" s="11" t="s">
        <v>1486</v>
      </c>
    </row>
    <row r="735" spans="1:10" ht="13.15" customHeight="1" x14ac:dyDescent="0.25">
      <c r="A735">
        <f t="shared" si="65"/>
        <v>730</v>
      </c>
      <c r="B735" t="s">
        <v>1556</v>
      </c>
      <c r="C735" s="2">
        <v>0.45416666666666666</v>
      </c>
      <c r="D735" s="4">
        <f t="shared" si="67"/>
        <v>0.1333333333333333</v>
      </c>
      <c r="E735" s="6">
        <v>0.32083333333333336</v>
      </c>
      <c r="F735" s="5">
        <f t="shared" si="64"/>
        <v>0.70642201834862395</v>
      </c>
      <c r="G735" s="5">
        <v>0.73899999999999999</v>
      </c>
      <c r="H735" s="4">
        <f>56.5/1440</f>
        <v>3.923611111111111E-2</v>
      </c>
      <c r="I735" s="5">
        <v>0.09</v>
      </c>
      <c r="J735" s="11" t="s">
        <v>1553</v>
      </c>
    </row>
    <row r="736" spans="1:10" ht="13.15" customHeight="1" x14ac:dyDescent="0.25">
      <c r="A736">
        <f t="shared" si="65"/>
        <v>731</v>
      </c>
      <c r="B736" t="s">
        <v>1571</v>
      </c>
      <c r="C736" s="2">
        <v>0.43402777777777779</v>
      </c>
      <c r="D736" s="4">
        <f t="shared" si="67"/>
        <v>0.11319444444444443</v>
      </c>
      <c r="E736" s="6">
        <v>0.32083333333333336</v>
      </c>
      <c r="F736" s="5">
        <f t="shared" si="64"/>
        <v>0.73920000000000008</v>
      </c>
      <c r="G736" s="5">
        <v>0.81200000000000006</v>
      </c>
      <c r="H736" s="4">
        <f>69.7/1440</f>
        <v>4.8402777777777781E-2</v>
      </c>
      <c r="I736" s="5">
        <v>0.122</v>
      </c>
      <c r="J736" s="11" t="s">
        <v>1570</v>
      </c>
    </row>
    <row r="737" spans="1:10" ht="13.15" customHeight="1" x14ac:dyDescent="0.25">
      <c r="A737">
        <f t="shared" si="65"/>
        <v>732</v>
      </c>
      <c r="B737" t="s">
        <v>1602</v>
      </c>
      <c r="C737" s="2">
        <v>0.43472222222222223</v>
      </c>
      <c r="D737" s="4">
        <f t="shared" si="67"/>
        <v>0.11388888888888887</v>
      </c>
      <c r="E737" s="6">
        <v>0.32083333333333336</v>
      </c>
      <c r="F737" s="5">
        <f t="shared" si="64"/>
        <v>0.73801916932907352</v>
      </c>
      <c r="G737" s="5">
        <v>0.79700000000000004</v>
      </c>
      <c r="H737" s="4">
        <f>62.3/1440</f>
        <v>4.3263888888888886E-2</v>
      </c>
      <c r="I737" s="5">
        <v>0.107</v>
      </c>
      <c r="J737" s="11" t="s">
        <v>1600</v>
      </c>
    </row>
    <row r="738" spans="1:10" ht="13.15" customHeight="1" x14ac:dyDescent="0.25">
      <c r="A738">
        <f t="shared" si="65"/>
        <v>733</v>
      </c>
      <c r="B738" t="s">
        <v>1713</v>
      </c>
      <c r="C738" s="2">
        <v>0.44374999999999998</v>
      </c>
      <c r="D738" s="4">
        <f t="shared" si="67"/>
        <v>0.12291666666666662</v>
      </c>
      <c r="E738" s="6">
        <v>0.32083333333333336</v>
      </c>
      <c r="F738" s="5">
        <f t="shared" si="64"/>
        <v>0.72300469483568086</v>
      </c>
      <c r="G738" s="5">
        <v>1</v>
      </c>
      <c r="H738" s="4">
        <f>85.8/1440</f>
        <v>5.9583333333333328E-2</v>
      </c>
      <c r="I738" s="5">
        <v>0.186</v>
      </c>
      <c r="J738" s="11" t="s">
        <v>1707</v>
      </c>
    </row>
    <row r="739" spans="1:10" ht="13.15" customHeight="1" x14ac:dyDescent="0.25">
      <c r="A739">
        <f t="shared" si="65"/>
        <v>734</v>
      </c>
      <c r="B739" t="s">
        <v>1740</v>
      </c>
      <c r="C739" s="2">
        <v>0.43958333333333333</v>
      </c>
      <c r="D739" s="4">
        <f t="shared" si="67"/>
        <v>0.11874999999999997</v>
      </c>
      <c r="E739" s="6">
        <v>0.32083333333333336</v>
      </c>
      <c r="F739" s="5">
        <f t="shared" si="64"/>
        <v>0.72985781990521337</v>
      </c>
      <c r="G739" s="5">
        <v>1</v>
      </c>
      <c r="H739" s="4">
        <f>79.5/1440</f>
        <v>5.5208333333333331E-2</v>
      </c>
      <c r="I739" s="5">
        <v>0.17199999999999999</v>
      </c>
      <c r="J739" s="11" t="s">
        <v>1748</v>
      </c>
    </row>
    <row r="740" spans="1:10" ht="13.15" customHeight="1" x14ac:dyDescent="0.25">
      <c r="A740">
        <f t="shared" si="65"/>
        <v>735</v>
      </c>
      <c r="B740" t="s">
        <v>45</v>
      </c>
      <c r="C740" s="2">
        <v>0.4916666666666667</v>
      </c>
      <c r="D740" s="4">
        <f t="shared" si="67"/>
        <v>0.17152777777777778</v>
      </c>
      <c r="E740" s="6">
        <v>0.32013888888888892</v>
      </c>
      <c r="F740" s="5">
        <f t="shared" si="64"/>
        <v>0.65112994350282483</v>
      </c>
      <c r="G740" s="5">
        <v>0.88100000000000001</v>
      </c>
      <c r="H740" s="4">
        <f>72.2/1440</f>
        <v>5.0138888888888893E-2</v>
      </c>
      <c r="I740" s="5">
        <v>0.13800000000000001</v>
      </c>
      <c r="J740" s="11" t="s">
        <v>98</v>
      </c>
    </row>
    <row r="741" spans="1:10" ht="13.15" customHeight="1" x14ac:dyDescent="0.25">
      <c r="A741">
        <f t="shared" si="65"/>
        <v>736</v>
      </c>
      <c r="B741" t="s">
        <v>664</v>
      </c>
      <c r="C741" s="2">
        <v>0.44444444444444442</v>
      </c>
      <c r="D741" s="4">
        <f t="shared" si="67"/>
        <v>0.1243055555555555</v>
      </c>
      <c r="E741" s="6">
        <v>0.32013888888888892</v>
      </c>
      <c r="F741" s="5">
        <f t="shared" si="64"/>
        <v>0.72031250000000013</v>
      </c>
      <c r="G741" s="5">
        <v>0.80800000000000005</v>
      </c>
      <c r="H741" s="4">
        <f>65.7/1440</f>
        <v>4.5624999999999999E-2</v>
      </c>
      <c r="I741" s="5">
        <v>0.115</v>
      </c>
      <c r="J741" s="11" t="s">
        <v>668</v>
      </c>
    </row>
    <row r="742" spans="1:10" ht="13.15" customHeight="1" x14ac:dyDescent="0.25">
      <c r="A742">
        <f t="shared" si="65"/>
        <v>737</v>
      </c>
      <c r="B742" t="s">
        <v>768</v>
      </c>
      <c r="C742" s="2">
        <v>0.44027777777777777</v>
      </c>
      <c r="D742" s="4">
        <f t="shared" si="67"/>
        <v>0.12013888888888891</v>
      </c>
      <c r="E742" s="6">
        <v>0.32013888888888886</v>
      </c>
      <c r="F742" s="5">
        <f t="shared" si="64"/>
        <v>0.7271293375394321</v>
      </c>
      <c r="G742" s="5">
        <v>0.81299999999999994</v>
      </c>
      <c r="H742" s="4">
        <f>65.2/1440</f>
        <v>4.5277777777777778E-2</v>
      </c>
      <c r="I742" s="5">
        <v>0.115</v>
      </c>
      <c r="J742" s="11" t="s">
        <v>776</v>
      </c>
    </row>
    <row r="743" spans="1:10" ht="13.15" customHeight="1" x14ac:dyDescent="0.25">
      <c r="A743">
        <f t="shared" si="65"/>
        <v>738</v>
      </c>
      <c r="B743" t="s">
        <v>939</v>
      </c>
      <c r="C743" s="2">
        <v>0.48472222222222222</v>
      </c>
      <c r="D743" s="4">
        <f t="shared" si="67"/>
        <v>0.16458333333333336</v>
      </c>
      <c r="E743" s="6">
        <v>0.32013888888888886</v>
      </c>
      <c r="F743" s="5">
        <f t="shared" si="64"/>
        <v>0.66045845272206294</v>
      </c>
      <c r="G743" s="5">
        <v>0.85699999999999998</v>
      </c>
      <c r="H743" s="4">
        <f>61/1440</f>
        <v>4.2361111111111113E-2</v>
      </c>
      <c r="I743" s="5">
        <v>0.113</v>
      </c>
      <c r="J743" s="11" t="s">
        <v>937</v>
      </c>
    </row>
    <row r="744" spans="1:10" ht="13.15" customHeight="1" x14ac:dyDescent="0.25">
      <c r="A744">
        <f t="shared" si="65"/>
        <v>739</v>
      </c>
      <c r="B744" t="s">
        <v>1029</v>
      </c>
      <c r="C744" s="2">
        <v>0.44722222222222224</v>
      </c>
      <c r="D744" s="4">
        <f t="shared" si="67"/>
        <v>0.12708333333333338</v>
      </c>
      <c r="E744" s="6">
        <v>0.32013888888888886</v>
      </c>
      <c r="F744" s="5">
        <f t="shared" si="64"/>
        <v>0.71583850931677007</v>
      </c>
      <c r="G744" s="5">
        <v>0.80800000000000005</v>
      </c>
      <c r="H744" s="4">
        <f>64.9/1440</f>
        <v>4.5069444444444447E-2</v>
      </c>
      <c r="I744" s="5">
        <v>0.114</v>
      </c>
      <c r="J744" s="11" t="s">
        <v>1022</v>
      </c>
    </row>
    <row r="745" spans="1:10" ht="13.15" customHeight="1" x14ac:dyDescent="0.25">
      <c r="A745">
        <f t="shared" si="65"/>
        <v>740</v>
      </c>
      <c r="B745" t="s">
        <v>1171</v>
      </c>
      <c r="C745" s="2">
        <v>0.41805555555555557</v>
      </c>
      <c r="D745" s="4">
        <f t="shared" si="67"/>
        <v>9.7916666666666707E-2</v>
      </c>
      <c r="E745" s="6">
        <v>0.32013888888888886</v>
      </c>
      <c r="F745" s="5">
        <f t="shared" si="64"/>
        <v>0.76578073089700993</v>
      </c>
      <c r="G745" s="5">
        <v>0.77200000000000002</v>
      </c>
      <c r="H745" s="4">
        <f>59/1440</f>
        <v>4.0972222222222222E-2</v>
      </c>
      <c r="I745" s="5">
        <v>9.9000000000000005E-2</v>
      </c>
      <c r="J745" s="11" t="s">
        <v>1150</v>
      </c>
    </row>
    <row r="746" spans="1:10" ht="13.15" customHeight="1" x14ac:dyDescent="0.25">
      <c r="A746">
        <f t="shared" si="65"/>
        <v>741</v>
      </c>
      <c r="B746" t="s">
        <v>1489</v>
      </c>
      <c r="C746" s="2">
        <v>0.43541666666666667</v>
      </c>
      <c r="D746" s="4">
        <f t="shared" si="67"/>
        <v>0.11527777777777781</v>
      </c>
      <c r="E746" s="6">
        <v>0.32013888888888886</v>
      </c>
      <c r="F746" s="5">
        <f t="shared" si="64"/>
        <v>0.73524720893141937</v>
      </c>
      <c r="G746" s="5">
        <v>0.70399999999999996</v>
      </c>
      <c r="H746" s="4">
        <f>50.6/1440</f>
        <v>3.5138888888888893E-2</v>
      </c>
      <c r="I746" s="5">
        <v>7.6999999999999999E-2</v>
      </c>
      <c r="J746" s="11" t="s">
        <v>1486</v>
      </c>
    </row>
    <row r="747" spans="1:10" ht="13.15" customHeight="1" x14ac:dyDescent="0.25">
      <c r="A747">
        <f t="shared" si="65"/>
        <v>742</v>
      </c>
      <c r="B747" t="s">
        <v>1739</v>
      </c>
      <c r="C747" s="2">
        <v>0.44374999999999998</v>
      </c>
      <c r="D747" s="4">
        <f t="shared" si="67"/>
        <v>0.12361111111111112</v>
      </c>
      <c r="E747" s="6">
        <v>0.32013888888888886</v>
      </c>
      <c r="F747" s="5">
        <f t="shared" si="64"/>
        <v>0.72143974960876367</v>
      </c>
      <c r="G747" s="5">
        <v>1</v>
      </c>
      <c r="H747" s="4">
        <f>77.7/1440</f>
        <v>5.3958333333333337E-2</v>
      </c>
      <c r="I747" s="5">
        <v>0.16800000000000001</v>
      </c>
      <c r="J747" s="11" t="s">
        <v>1748</v>
      </c>
    </row>
    <row r="748" spans="1:10" ht="13.15" customHeight="1" x14ac:dyDescent="0.25">
      <c r="A748">
        <f t="shared" si="65"/>
        <v>743</v>
      </c>
      <c r="B748" t="s">
        <v>151</v>
      </c>
      <c r="C748" s="2">
        <v>0.43888888888888888</v>
      </c>
      <c r="D748" s="4">
        <f t="shared" si="67"/>
        <v>0.11944444444444441</v>
      </c>
      <c r="E748" s="6">
        <v>0.31944444444444448</v>
      </c>
      <c r="F748" s="5">
        <f t="shared" si="64"/>
        <v>0.72784810126582289</v>
      </c>
      <c r="G748" s="5">
        <v>0.78900000000000003</v>
      </c>
      <c r="H748" s="4">
        <f>91.3/1440</f>
        <v>6.340277777777778E-2</v>
      </c>
      <c r="I748" s="5">
        <v>0.156</v>
      </c>
      <c r="J748" s="11" t="s">
        <v>154</v>
      </c>
    </row>
    <row r="749" spans="1:10" ht="13.15" customHeight="1" x14ac:dyDescent="0.25">
      <c r="A749">
        <f t="shared" si="65"/>
        <v>744</v>
      </c>
      <c r="B749" t="s">
        <v>522</v>
      </c>
      <c r="C749" s="2">
        <v>0.44791666666666669</v>
      </c>
      <c r="D749" s="4">
        <f t="shared" si="67"/>
        <v>0.12847222222222221</v>
      </c>
      <c r="E749" s="6">
        <v>0.31944444444444448</v>
      </c>
      <c r="F749" s="5">
        <f t="shared" si="64"/>
        <v>0.71317829457364346</v>
      </c>
      <c r="G749" s="5">
        <v>0.85099999999999998</v>
      </c>
      <c r="H749" s="4">
        <f>106.6/1440</f>
        <v>7.4027777777777776E-2</v>
      </c>
      <c r="I749" s="5">
        <v>0.19700000000000001</v>
      </c>
      <c r="J749" s="11" t="s">
        <v>523</v>
      </c>
    </row>
    <row r="750" spans="1:10" ht="13.15" customHeight="1" x14ac:dyDescent="0.25">
      <c r="A750">
        <f t="shared" si="65"/>
        <v>745</v>
      </c>
      <c r="B750" t="s">
        <v>661</v>
      </c>
      <c r="C750" s="2">
        <v>0.44513888888888892</v>
      </c>
      <c r="D750" s="4">
        <f t="shared" si="67"/>
        <v>0.12569444444444444</v>
      </c>
      <c r="E750" s="6">
        <v>0.31944444444444448</v>
      </c>
      <c r="F750" s="5">
        <f t="shared" ref="F750:F760" si="68">E750/C750</f>
        <v>0.71762870514820598</v>
      </c>
      <c r="G750" s="5">
        <v>0.79500000000000004</v>
      </c>
      <c r="H750" s="4">
        <f>70.8/1440</f>
        <v>4.9166666666666664E-2</v>
      </c>
      <c r="I750" s="5">
        <v>0.122</v>
      </c>
      <c r="J750" s="11" t="s">
        <v>663</v>
      </c>
    </row>
    <row r="751" spans="1:10" ht="13.15" customHeight="1" x14ac:dyDescent="0.25">
      <c r="A751">
        <f t="shared" si="65"/>
        <v>746</v>
      </c>
      <c r="B751" t="s">
        <v>683</v>
      </c>
      <c r="C751" s="2">
        <v>0.4381944444444445</v>
      </c>
      <c r="D751" s="4">
        <f t="shared" si="67"/>
        <v>0.11875000000000002</v>
      </c>
      <c r="E751" s="6">
        <v>0.31944444444444448</v>
      </c>
      <c r="F751" s="5">
        <f t="shared" si="68"/>
        <v>0.72900158478605381</v>
      </c>
      <c r="G751" s="5">
        <v>0.79900000000000004</v>
      </c>
      <c r="H751" s="4">
        <f>66.4/1440</f>
        <v>4.6111111111111117E-2</v>
      </c>
      <c r="I751" s="5">
        <v>0.115</v>
      </c>
      <c r="J751" s="11" t="s">
        <v>687</v>
      </c>
    </row>
    <row r="752" spans="1:10" ht="13.15" customHeight="1" x14ac:dyDescent="0.25">
      <c r="A752">
        <f t="shared" si="65"/>
        <v>747</v>
      </c>
      <c r="B752" t="s">
        <v>1104</v>
      </c>
      <c r="C752" s="2">
        <v>0.45902777777777776</v>
      </c>
      <c r="D752" s="4">
        <f t="shared" si="67"/>
        <v>0.13958333333333334</v>
      </c>
      <c r="E752" s="6">
        <v>0.31944444444444442</v>
      </c>
      <c r="F752" s="5">
        <f t="shared" si="68"/>
        <v>0.69591527987897128</v>
      </c>
      <c r="G752" s="5">
        <v>0.8</v>
      </c>
      <c r="H752" s="4">
        <f>62.5/1440</f>
        <v>4.3402777777777776E-2</v>
      </c>
      <c r="I752" s="5">
        <v>0.109</v>
      </c>
      <c r="J752" s="11" t="s">
        <v>1099</v>
      </c>
    </row>
    <row r="753" spans="1:10" ht="13.15" customHeight="1" x14ac:dyDescent="0.25">
      <c r="A753">
        <f t="shared" si="65"/>
        <v>748</v>
      </c>
      <c r="B753" t="s">
        <v>1216</v>
      </c>
      <c r="C753" s="2">
        <v>0.42986111111111114</v>
      </c>
      <c r="D753" s="4">
        <f t="shared" si="67"/>
        <v>0.11041666666666672</v>
      </c>
      <c r="E753" s="6">
        <v>0.31944444444444442</v>
      </c>
      <c r="F753" s="5">
        <f t="shared" si="68"/>
        <v>0.74313408723747976</v>
      </c>
      <c r="G753" s="5">
        <v>0.82799999999999996</v>
      </c>
      <c r="H753" s="4">
        <f>65.8/1440</f>
        <v>4.569444444444444E-2</v>
      </c>
      <c r="I753" s="5">
        <v>0.11799999999999999</v>
      </c>
      <c r="J753" s="11" t="s">
        <v>1213</v>
      </c>
    </row>
    <row r="754" spans="1:10" ht="13.15" customHeight="1" x14ac:dyDescent="0.25">
      <c r="A754">
        <f t="shared" si="65"/>
        <v>749</v>
      </c>
      <c r="B754" t="s">
        <v>1217</v>
      </c>
      <c r="C754" s="2">
        <v>0.44374999999999998</v>
      </c>
      <c r="D754" s="4">
        <f t="shared" si="67"/>
        <v>0.12430555555555556</v>
      </c>
      <c r="E754" s="6">
        <v>0.31944444444444442</v>
      </c>
      <c r="F754" s="5">
        <f t="shared" si="68"/>
        <v>0.71987480438184659</v>
      </c>
      <c r="G754" s="5">
        <v>0.84599999999999997</v>
      </c>
      <c r="H754" s="4">
        <f>58.9/1440</f>
        <v>4.0902777777777774E-2</v>
      </c>
      <c r="I754" s="5">
        <v>0.108</v>
      </c>
      <c r="J754" s="11" t="s">
        <v>1213</v>
      </c>
    </row>
    <row r="755" spans="1:10" ht="13.15" customHeight="1" x14ac:dyDescent="0.25">
      <c r="A755">
        <f t="shared" si="65"/>
        <v>750</v>
      </c>
      <c r="B755" t="s">
        <v>1223</v>
      </c>
      <c r="C755" s="2">
        <v>0.41388888888888886</v>
      </c>
      <c r="D755" s="4">
        <f t="shared" si="67"/>
        <v>9.4444444444444442E-2</v>
      </c>
      <c r="E755" s="6">
        <v>0.31944444444444442</v>
      </c>
      <c r="F755" s="5">
        <f t="shared" si="68"/>
        <v>0.77181208053691275</v>
      </c>
      <c r="G755" s="5">
        <v>0.78200000000000003</v>
      </c>
      <c r="H755" s="4">
        <f>60.7/1440</f>
        <v>4.2152777777777782E-2</v>
      </c>
      <c r="I755" s="5">
        <v>0.10299999999999999</v>
      </c>
      <c r="J755" s="11" t="s">
        <v>1219</v>
      </c>
    </row>
    <row r="756" spans="1:10" ht="13.15" customHeight="1" x14ac:dyDescent="0.25">
      <c r="A756">
        <f t="shared" si="65"/>
        <v>751</v>
      </c>
      <c r="B756" t="s">
        <v>1386</v>
      </c>
      <c r="C756" s="2">
        <v>0.45624999999999999</v>
      </c>
      <c r="D756" s="4">
        <f t="shared" si="67"/>
        <v>0.13680555555555557</v>
      </c>
      <c r="E756" s="6">
        <v>0.31944444444444442</v>
      </c>
      <c r="F756" s="5">
        <f t="shared" si="68"/>
        <v>0.70015220700152203</v>
      </c>
      <c r="G756" s="5">
        <v>0.84899999999999998</v>
      </c>
      <c r="H756" s="4">
        <f>60.1/1440</f>
        <v>4.1736111111111113E-2</v>
      </c>
      <c r="I756" s="5">
        <v>0.111</v>
      </c>
      <c r="J756" s="11" t="s">
        <v>1367</v>
      </c>
    </row>
    <row r="757" spans="1:10" ht="13.15" customHeight="1" x14ac:dyDescent="0.25">
      <c r="A757">
        <f t="shared" si="65"/>
        <v>752</v>
      </c>
      <c r="B757" t="s">
        <v>1526</v>
      </c>
      <c r="C757" s="2">
        <v>0.4548611111111111</v>
      </c>
      <c r="D757" s="4">
        <f t="shared" si="67"/>
        <v>0.13541666666666669</v>
      </c>
      <c r="E757" s="6">
        <v>0.31944444444444442</v>
      </c>
      <c r="F757" s="5">
        <f t="shared" si="68"/>
        <v>0.70229007633587781</v>
      </c>
      <c r="G757" s="5">
        <v>0.81499999999999995</v>
      </c>
      <c r="H757" s="4">
        <f>64.7/1440</f>
        <v>4.4930555555555557E-2</v>
      </c>
      <c r="I757" s="5">
        <v>0.115</v>
      </c>
      <c r="J757" s="11" t="s">
        <v>1521</v>
      </c>
    </row>
    <row r="758" spans="1:10" ht="13.15" customHeight="1" x14ac:dyDescent="0.25">
      <c r="A758">
        <f t="shared" si="65"/>
        <v>753</v>
      </c>
      <c r="B758" t="s">
        <v>1592</v>
      </c>
      <c r="C758" s="2">
        <v>0.41944444444444445</v>
      </c>
      <c r="D758" s="4">
        <f t="shared" si="67"/>
        <v>0.10000000000000003</v>
      </c>
      <c r="E758" s="6">
        <v>0.31944444444444442</v>
      </c>
      <c r="F758" s="5">
        <f t="shared" si="68"/>
        <v>0.76158940397350983</v>
      </c>
      <c r="G758" s="5">
        <v>0.88200000000000001</v>
      </c>
      <c r="H758" s="4">
        <f>79.9/1440</f>
        <v>5.5486111111111118E-2</v>
      </c>
      <c r="I758" s="5">
        <v>0.153</v>
      </c>
      <c r="J758" s="11" t="s">
        <v>1589</v>
      </c>
    </row>
    <row r="759" spans="1:10" ht="13.15" customHeight="1" x14ac:dyDescent="0.25">
      <c r="A759">
        <f t="shared" si="65"/>
        <v>754</v>
      </c>
      <c r="B759" t="s">
        <v>510</v>
      </c>
      <c r="C759" s="2">
        <v>0.4375</v>
      </c>
      <c r="D759" s="4">
        <f t="shared" si="67"/>
        <v>0.11874999999999997</v>
      </c>
      <c r="E759" s="6">
        <v>0.31875000000000003</v>
      </c>
      <c r="F759" s="5">
        <f t="shared" si="68"/>
        <v>0.72857142857142865</v>
      </c>
      <c r="G759" s="5">
        <v>0.91800000000000004</v>
      </c>
      <c r="H759" s="4">
        <f>58.2/1440</f>
        <v>4.041666666666667E-2</v>
      </c>
      <c r="I759" s="5">
        <v>0.11600000000000001</v>
      </c>
      <c r="J759" s="11" t="s">
        <v>511</v>
      </c>
    </row>
    <row r="760" spans="1:10" ht="13.15" customHeight="1" x14ac:dyDescent="0.25">
      <c r="A760">
        <f t="shared" si="65"/>
        <v>755</v>
      </c>
      <c r="B760" t="s">
        <v>514</v>
      </c>
      <c r="C760" s="2">
        <v>0.45277777777777778</v>
      </c>
      <c r="D760" s="4">
        <f t="shared" si="67"/>
        <v>0.13402777777777775</v>
      </c>
      <c r="E760" s="6">
        <v>0.31875000000000003</v>
      </c>
      <c r="F760" s="5">
        <f t="shared" si="68"/>
        <v>0.70398773006134974</v>
      </c>
      <c r="G760" s="5">
        <v>0.81499999999999995</v>
      </c>
      <c r="H760" s="4">
        <f>78/1440</f>
        <v>5.4166666666666669E-2</v>
      </c>
      <c r="I760" s="5">
        <v>0.13800000000000001</v>
      </c>
      <c r="J760" s="11" t="s">
        <v>518</v>
      </c>
    </row>
    <row r="761" spans="1:10" ht="13.15" customHeight="1" x14ac:dyDescent="0.25">
      <c r="A761">
        <f t="shared" si="65"/>
        <v>756</v>
      </c>
      <c r="B761" t="s">
        <v>728</v>
      </c>
      <c r="C761" s="2">
        <v>0.43819444444444444</v>
      </c>
      <c r="D761" s="4">
        <v>0.11944444444444446</v>
      </c>
      <c r="E761" s="6">
        <v>0.31874999999999998</v>
      </c>
      <c r="F761" s="5">
        <v>0.72741679873217113</v>
      </c>
      <c r="G761" s="5">
        <v>0.82599999999999996</v>
      </c>
      <c r="H761" s="4">
        <v>4.8333333333333332E-2</v>
      </c>
      <c r="I761" s="5">
        <v>0.125</v>
      </c>
      <c r="J761" s="11" t="s">
        <v>731</v>
      </c>
    </row>
    <row r="762" spans="1:10" ht="13.15" customHeight="1" x14ac:dyDescent="0.25">
      <c r="A762">
        <f t="shared" si="65"/>
        <v>757</v>
      </c>
      <c r="B762" t="s">
        <v>799</v>
      </c>
      <c r="C762" s="2">
        <v>0.47847222222222224</v>
      </c>
      <c r="D762" s="4">
        <f t="shared" ref="D762:D792" si="69">C762-E762</f>
        <v>0.15972222222222227</v>
      </c>
      <c r="E762" s="6">
        <v>0.31874999999999998</v>
      </c>
      <c r="F762" s="5">
        <f t="shared" ref="F762:F800" si="70">E762/C762</f>
        <v>0.66618287373004348</v>
      </c>
      <c r="G762" s="5">
        <v>0.86799999999999999</v>
      </c>
      <c r="H762" s="4">
        <f>75.3/1440</f>
        <v>5.2291666666666667E-2</v>
      </c>
      <c r="I762" s="5">
        <v>0.14199999999999999</v>
      </c>
      <c r="J762" s="11" t="s">
        <v>800</v>
      </c>
    </row>
    <row r="763" spans="1:10" ht="13.15" customHeight="1" x14ac:dyDescent="0.25">
      <c r="A763">
        <f t="shared" si="65"/>
        <v>758</v>
      </c>
      <c r="B763" t="s">
        <v>1095</v>
      </c>
      <c r="C763" s="2">
        <v>0.40694444444444444</v>
      </c>
      <c r="D763" s="4">
        <f t="shared" si="69"/>
        <v>8.8194444444444464E-2</v>
      </c>
      <c r="E763" s="6">
        <v>0.31874999999999998</v>
      </c>
      <c r="F763" s="5">
        <f t="shared" si="70"/>
        <v>0.78327645051194539</v>
      </c>
      <c r="G763" s="5">
        <v>0.82499999999999996</v>
      </c>
      <c r="H763" s="4">
        <f>65.7/1440</f>
        <v>4.5624999999999999E-2</v>
      </c>
      <c r="I763" s="5">
        <v>0.11799999999999999</v>
      </c>
      <c r="J763" s="11" t="s">
        <v>1076</v>
      </c>
    </row>
    <row r="764" spans="1:10" ht="13.15" customHeight="1" x14ac:dyDescent="0.25">
      <c r="A764">
        <f t="shared" si="65"/>
        <v>759</v>
      </c>
      <c r="B764" t="s">
        <v>1196</v>
      </c>
      <c r="C764" s="2">
        <v>0.43472222222222223</v>
      </c>
      <c r="D764" s="4">
        <f t="shared" si="69"/>
        <v>0.11597222222222225</v>
      </c>
      <c r="E764" s="6">
        <v>0.31874999999999998</v>
      </c>
      <c r="F764" s="5">
        <f t="shared" si="70"/>
        <v>0.7332268370607028</v>
      </c>
      <c r="G764" s="5">
        <v>0.86599999999999999</v>
      </c>
      <c r="H764" s="4">
        <f>79.7/1440</f>
        <v>5.5347222222222221E-2</v>
      </c>
      <c r="I764" s="5">
        <v>0.15</v>
      </c>
      <c r="J764" s="11" t="s">
        <v>1182</v>
      </c>
    </row>
    <row r="765" spans="1:10" ht="13.15" customHeight="1" x14ac:dyDescent="0.25">
      <c r="A765">
        <f t="shared" si="65"/>
        <v>760</v>
      </c>
      <c r="B765" t="s">
        <v>1573</v>
      </c>
      <c r="C765" s="2">
        <v>0.44027777777777777</v>
      </c>
      <c r="D765" s="4">
        <f t="shared" si="69"/>
        <v>0.12152777777777779</v>
      </c>
      <c r="E765" s="6">
        <v>0.31874999999999998</v>
      </c>
      <c r="F765" s="5">
        <f t="shared" si="70"/>
        <v>0.72397476340694</v>
      </c>
      <c r="G765" s="5">
        <v>0.83799999999999997</v>
      </c>
      <c r="H765" s="4">
        <f>66.9/1440</f>
        <v>4.6458333333333338E-2</v>
      </c>
      <c r="I765" s="5">
        <v>0.122</v>
      </c>
      <c r="J765" s="11" t="s">
        <v>1570</v>
      </c>
    </row>
    <row r="766" spans="1:10" ht="13.15" customHeight="1" x14ac:dyDescent="0.25">
      <c r="A766">
        <f t="shared" si="65"/>
        <v>761</v>
      </c>
      <c r="B766" t="s">
        <v>1641</v>
      </c>
      <c r="C766" s="2">
        <v>0.42708333333333331</v>
      </c>
      <c r="D766" s="4">
        <f t="shared" si="69"/>
        <v>0.10833333333333334</v>
      </c>
      <c r="E766" s="6">
        <v>0.31874999999999998</v>
      </c>
      <c r="F766" s="5">
        <f t="shared" si="70"/>
        <v>0.74634146341463414</v>
      </c>
      <c r="G766" s="5">
        <v>0.76300000000000001</v>
      </c>
      <c r="H766" s="4">
        <f>57.7/1440</f>
        <v>4.0069444444444449E-2</v>
      </c>
      <c r="I766" s="5">
        <v>9.6000000000000002E-2</v>
      </c>
      <c r="J766" s="11" t="s">
        <v>1626</v>
      </c>
    </row>
    <row r="767" spans="1:10" ht="13.15" customHeight="1" x14ac:dyDescent="0.25">
      <c r="A767">
        <f t="shared" si="65"/>
        <v>762</v>
      </c>
      <c r="B767" t="s">
        <v>1802</v>
      </c>
      <c r="C767" s="2">
        <v>0.40347222222222223</v>
      </c>
      <c r="D767" s="4">
        <f t="shared" si="69"/>
        <v>8.4722222222222254E-2</v>
      </c>
      <c r="E767" s="6">
        <v>0.31874999999999998</v>
      </c>
      <c r="F767" s="5">
        <f t="shared" si="70"/>
        <v>0.79001721170395867</v>
      </c>
      <c r="G767" s="5">
        <v>1</v>
      </c>
      <c r="H767" s="4">
        <f>81.3/1440</f>
        <v>5.6458333333333333E-2</v>
      </c>
      <c r="I767" s="5">
        <v>0.17699999999999999</v>
      </c>
      <c r="J767" s="11" t="s">
        <v>1812</v>
      </c>
    </row>
    <row r="768" spans="1:10" ht="13.15" customHeight="1" x14ac:dyDescent="0.25">
      <c r="A768">
        <f t="shared" si="65"/>
        <v>763</v>
      </c>
      <c r="B768" t="s">
        <v>177</v>
      </c>
      <c r="C768" s="2">
        <v>0.4694444444444445</v>
      </c>
      <c r="D768" s="4">
        <f t="shared" si="69"/>
        <v>0.15138888888888896</v>
      </c>
      <c r="E768" s="6">
        <v>0.31805555555555554</v>
      </c>
      <c r="F768" s="5">
        <f t="shared" si="70"/>
        <v>0.67751479289940819</v>
      </c>
      <c r="G768" s="5">
        <v>0.78200000000000003</v>
      </c>
      <c r="H768" s="4">
        <f>71.6/1440</f>
        <v>4.9722222222222216E-2</v>
      </c>
      <c r="I768" s="5">
        <v>0.122</v>
      </c>
      <c r="J768" s="11" t="s">
        <v>178</v>
      </c>
    </row>
    <row r="769" spans="1:10" ht="13.15" customHeight="1" x14ac:dyDescent="0.25">
      <c r="A769">
        <f t="shared" si="65"/>
        <v>764</v>
      </c>
      <c r="B769" t="s">
        <v>639</v>
      </c>
      <c r="C769" s="2">
        <v>0.44236111111111115</v>
      </c>
      <c r="D769" s="4">
        <f t="shared" si="69"/>
        <v>0.12430555555555561</v>
      </c>
      <c r="E769" s="6">
        <v>0.31805555555555554</v>
      </c>
      <c r="F769" s="5">
        <f t="shared" si="70"/>
        <v>0.71899529042386179</v>
      </c>
      <c r="G769" s="5">
        <v>0.80500000000000005</v>
      </c>
      <c r="H769" s="4">
        <f>64.1/1440</f>
        <v>4.4513888888888888E-2</v>
      </c>
      <c r="I769" s="5">
        <v>0.113</v>
      </c>
      <c r="J769" s="11" t="s">
        <v>640</v>
      </c>
    </row>
    <row r="770" spans="1:10" ht="13.15" customHeight="1" x14ac:dyDescent="0.25">
      <c r="A770">
        <f t="shared" si="65"/>
        <v>765</v>
      </c>
      <c r="B770" t="s">
        <v>709</v>
      </c>
      <c r="C770" s="2">
        <v>0.45069444444444445</v>
      </c>
      <c r="D770" s="4">
        <f t="shared" si="69"/>
        <v>0.13263888888888892</v>
      </c>
      <c r="E770" s="6">
        <v>0.31805555555555554</v>
      </c>
      <c r="F770" s="5">
        <f t="shared" si="70"/>
        <v>0.70570107858243447</v>
      </c>
      <c r="G770" s="5">
        <v>0.80800000000000005</v>
      </c>
      <c r="H770" s="4">
        <f>65.5/1440</f>
        <v>4.5486111111111109E-2</v>
      </c>
      <c r="I770" s="5">
        <v>0.11600000000000001</v>
      </c>
      <c r="J770" s="11" t="s">
        <v>712</v>
      </c>
    </row>
    <row r="771" spans="1:10" ht="13.15" customHeight="1" x14ac:dyDescent="0.25">
      <c r="A771">
        <f t="shared" si="65"/>
        <v>766</v>
      </c>
      <c r="B771" t="s">
        <v>958</v>
      </c>
      <c r="C771" s="2">
        <v>0.39930555555555558</v>
      </c>
      <c r="D771" s="4">
        <f t="shared" si="69"/>
        <v>8.1250000000000044E-2</v>
      </c>
      <c r="E771" s="6">
        <v>0.31805555555555554</v>
      </c>
      <c r="F771" s="5">
        <f t="shared" si="70"/>
        <v>0.79652173913043467</v>
      </c>
      <c r="G771" s="5">
        <v>0.88200000000000001</v>
      </c>
      <c r="H771" s="4">
        <f>50.9/1440</f>
        <v>3.5347222222222224E-2</v>
      </c>
      <c r="I771" s="5">
        <v>9.8000000000000004E-2</v>
      </c>
      <c r="J771" s="11" t="s">
        <v>955</v>
      </c>
    </row>
    <row r="772" spans="1:10" ht="13.15" customHeight="1" x14ac:dyDescent="0.25">
      <c r="A772">
        <f t="shared" si="65"/>
        <v>767</v>
      </c>
      <c r="B772" t="s">
        <v>988</v>
      </c>
      <c r="C772" s="2">
        <v>0.41736111111111113</v>
      </c>
      <c r="D772" s="4">
        <f t="shared" si="69"/>
        <v>9.9305555555555591E-2</v>
      </c>
      <c r="E772" s="6">
        <v>0.31805555555555554</v>
      </c>
      <c r="F772" s="5">
        <f t="shared" si="70"/>
        <v>0.76206322795341086</v>
      </c>
      <c r="G772" s="5">
        <v>0.85499999999999998</v>
      </c>
      <c r="H772" s="4">
        <f>65/1440</f>
        <v>4.5138888888888888E-2</v>
      </c>
      <c r="I772" s="5">
        <v>0.121</v>
      </c>
      <c r="J772" s="11" t="s">
        <v>985</v>
      </c>
    </row>
    <row r="773" spans="1:10" ht="13.15" customHeight="1" x14ac:dyDescent="0.25">
      <c r="A773">
        <f t="shared" si="65"/>
        <v>768</v>
      </c>
      <c r="B773" t="s">
        <v>1066</v>
      </c>
      <c r="C773" s="2">
        <v>0.39791666666666664</v>
      </c>
      <c r="D773" s="4">
        <f t="shared" si="69"/>
        <v>7.9861111111111105E-2</v>
      </c>
      <c r="E773" s="6">
        <v>0.31805555555555554</v>
      </c>
      <c r="F773" s="5">
        <f t="shared" si="70"/>
        <v>0.79930191972076792</v>
      </c>
      <c r="G773" s="5">
        <v>0.82699999999999996</v>
      </c>
      <c r="H773" s="4">
        <f>70.5/1440</f>
        <v>4.8958333333333333E-2</v>
      </c>
      <c r="I773" s="5">
        <v>0.127</v>
      </c>
      <c r="J773" s="11" t="s">
        <v>1051</v>
      </c>
    </row>
    <row r="774" spans="1:10" ht="13.15" customHeight="1" x14ac:dyDescent="0.25">
      <c r="A774">
        <f t="shared" si="65"/>
        <v>769</v>
      </c>
      <c r="B774" t="s">
        <v>67</v>
      </c>
      <c r="C774" s="2">
        <v>0.43958333333333338</v>
      </c>
      <c r="D774" s="4">
        <f t="shared" si="69"/>
        <v>0.12222222222222223</v>
      </c>
      <c r="E774" s="6">
        <v>0.31736111111111115</v>
      </c>
      <c r="F774" s="5">
        <f t="shared" si="70"/>
        <v>0.721958925750395</v>
      </c>
      <c r="G774" s="5">
        <v>0.746</v>
      </c>
      <c r="H774" s="4">
        <f>116.6/1440</f>
        <v>8.0972222222222223E-2</v>
      </c>
      <c r="I774" s="5">
        <v>0.19</v>
      </c>
      <c r="J774" s="11" t="s">
        <v>131</v>
      </c>
    </row>
    <row r="775" spans="1:10" ht="13.15" customHeight="1" x14ac:dyDescent="0.25">
      <c r="A775">
        <f t="shared" si="65"/>
        <v>770</v>
      </c>
      <c r="B775" t="s">
        <v>152</v>
      </c>
      <c r="C775" s="2">
        <v>0.43263888888888885</v>
      </c>
      <c r="D775" s="4">
        <f t="shared" si="69"/>
        <v>0.1152777777777777</v>
      </c>
      <c r="E775" s="6">
        <v>0.31736111111111115</v>
      </c>
      <c r="F775" s="5">
        <f t="shared" si="70"/>
        <v>0.73354735152487982</v>
      </c>
      <c r="G775" s="5">
        <v>0.755</v>
      </c>
      <c r="H775" s="4">
        <f>87.8/1440</f>
        <v>6.0972222222222219E-2</v>
      </c>
      <c r="I775" s="5">
        <v>0.14499999999999999</v>
      </c>
      <c r="J775" s="11" t="s">
        <v>153</v>
      </c>
    </row>
    <row r="776" spans="1:10" ht="13.15" customHeight="1" x14ac:dyDescent="0.25">
      <c r="A776">
        <f t="shared" si="65"/>
        <v>771</v>
      </c>
      <c r="B776" t="s">
        <v>500</v>
      </c>
      <c r="C776" s="2">
        <v>0.45624999999999999</v>
      </c>
      <c r="D776" s="4">
        <f t="shared" si="69"/>
        <v>0.13888888888888884</v>
      </c>
      <c r="E776" s="6">
        <v>0.31736111111111115</v>
      </c>
      <c r="F776" s="5">
        <f t="shared" si="70"/>
        <v>0.6955859969558601</v>
      </c>
      <c r="G776" s="5">
        <v>0.77900000000000003</v>
      </c>
      <c r="H776" s="4">
        <f>59.9/1440</f>
        <v>4.1597222222222223E-2</v>
      </c>
      <c r="I776" s="5">
        <v>0.10199999999999999</v>
      </c>
      <c r="J776" s="11" t="s">
        <v>502</v>
      </c>
    </row>
    <row r="777" spans="1:10" ht="13.15" customHeight="1" x14ac:dyDescent="0.25">
      <c r="A777">
        <f t="shared" si="65"/>
        <v>772</v>
      </c>
      <c r="B777" t="s">
        <v>526</v>
      </c>
      <c r="C777" s="2">
        <v>0.4597222222222222</v>
      </c>
      <c r="D777" s="4">
        <f t="shared" si="69"/>
        <v>0.14236111111111105</v>
      </c>
      <c r="E777" s="6">
        <v>0.31736111111111115</v>
      </c>
      <c r="F777" s="5">
        <f t="shared" si="70"/>
        <v>0.690332326283988</v>
      </c>
      <c r="G777" s="5">
        <v>0.91600000000000004</v>
      </c>
      <c r="H777" s="4">
        <f>77.2/1440</f>
        <v>5.3611111111111116E-2</v>
      </c>
      <c r="I777" s="5">
        <v>0.155</v>
      </c>
      <c r="J777" s="11" t="s">
        <v>527</v>
      </c>
    </row>
    <row r="778" spans="1:10" ht="13.15" customHeight="1" x14ac:dyDescent="0.25">
      <c r="A778">
        <f t="shared" si="65"/>
        <v>773</v>
      </c>
      <c r="B778" t="s">
        <v>546</v>
      </c>
      <c r="C778" s="2">
        <v>0.45624999999999999</v>
      </c>
      <c r="D778" s="4">
        <f t="shared" si="69"/>
        <v>0.13888888888888884</v>
      </c>
      <c r="E778" s="6">
        <v>0.31736111111111115</v>
      </c>
      <c r="F778" s="5">
        <f t="shared" si="70"/>
        <v>0.6955859969558601</v>
      </c>
      <c r="G778" s="5">
        <v>0.76700000000000002</v>
      </c>
      <c r="H778" s="4">
        <f>75.9/1440</f>
        <v>5.2708333333333336E-2</v>
      </c>
      <c r="I778" s="5">
        <v>0.127</v>
      </c>
      <c r="J778" s="11" t="s">
        <v>549</v>
      </c>
    </row>
    <row r="779" spans="1:10" ht="13.15" customHeight="1" x14ac:dyDescent="0.25">
      <c r="A779">
        <f t="shared" si="65"/>
        <v>774</v>
      </c>
      <c r="B779" t="s">
        <v>669</v>
      </c>
      <c r="C779" s="2">
        <v>0.44444444444444442</v>
      </c>
      <c r="D779" s="4">
        <f t="shared" si="69"/>
        <v>0.12708333333333327</v>
      </c>
      <c r="E779" s="6">
        <v>0.31736111111111115</v>
      </c>
      <c r="F779" s="5">
        <f t="shared" si="70"/>
        <v>0.71406250000000016</v>
      </c>
      <c r="G779" s="5">
        <v>0.78100000000000003</v>
      </c>
      <c r="H779" s="4">
        <f>63.7/1440</f>
        <v>4.4236111111111115E-2</v>
      </c>
      <c r="I779" s="5">
        <v>0.109</v>
      </c>
      <c r="J779" s="11" t="s">
        <v>673</v>
      </c>
    </row>
    <row r="780" spans="1:10" ht="13.15" customHeight="1" x14ac:dyDescent="0.25">
      <c r="A780">
        <f t="shared" si="65"/>
        <v>775</v>
      </c>
      <c r="B780" t="s">
        <v>765</v>
      </c>
      <c r="C780" s="2">
        <v>0.4548611111111111</v>
      </c>
      <c r="D780" s="4">
        <f t="shared" si="69"/>
        <v>0.13750000000000001</v>
      </c>
      <c r="E780" s="6">
        <v>0.31736111111111109</v>
      </c>
      <c r="F780" s="5">
        <f t="shared" si="70"/>
        <v>0.6977099236641221</v>
      </c>
      <c r="G780" s="5">
        <v>0.82899999999999996</v>
      </c>
      <c r="H780" s="4">
        <f>68.6/1440</f>
        <v>4.7638888888888883E-2</v>
      </c>
      <c r="I780" s="5">
        <v>0.124</v>
      </c>
      <c r="J780" s="11" t="s">
        <v>764</v>
      </c>
    </row>
    <row r="781" spans="1:10" ht="13.15" customHeight="1" x14ac:dyDescent="0.25">
      <c r="A781">
        <f t="shared" si="65"/>
        <v>776</v>
      </c>
      <c r="B781" t="s">
        <v>853</v>
      </c>
      <c r="C781" s="2">
        <v>0.42499999999999999</v>
      </c>
      <c r="D781" s="4">
        <f t="shared" si="69"/>
        <v>0.1076388888888889</v>
      </c>
      <c r="E781" s="6">
        <v>0.31736111111111109</v>
      </c>
      <c r="F781" s="5">
        <f t="shared" si="70"/>
        <v>0.74673202614379086</v>
      </c>
      <c r="G781" s="5">
        <v>0.79300000000000004</v>
      </c>
      <c r="H781" s="4">
        <f>64.5/1440</f>
        <v>4.4791666666666667E-2</v>
      </c>
      <c r="I781" s="5">
        <v>0.112</v>
      </c>
      <c r="J781" s="11" t="s">
        <v>849</v>
      </c>
    </row>
    <row r="782" spans="1:10" ht="13.15" customHeight="1" x14ac:dyDescent="0.25">
      <c r="A782">
        <f t="shared" si="65"/>
        <v>777</v>
      </c>
      <c r="B782" t="s">
        <v>1285</v>
      </c>
      <c r="C782" s="2">
        <v>0.4152777777777778</v>
      </c>
      <c r="D782" s="4">
        <f t="shared" si="69"/>
        <v>9.7916666666666707E-2</v>
      </c>
      <c r="E782" s="6">
        <v>0.31736111111111109</v>
      </c>
      <c r="F782" s="5">
        <f t="shared" si="70"/>
        <v>0.76421404682274241</v>
      </c>
      <c r="G782" s="5">
        <v>0.83499999999999996</v>
      </c>
      <c r="H782" s="4">
        <f>68.5/1440</f>
        <v>4.7569444444444442E-2</v>
      </c>
      <c r="I782" s="5">
        <v>0.125</v>
      </c>
      <c r="J782" s="11" t="s">
        <v>1269</v>
      </c>
    </row>
    <row r="783" spans="1:10" ht="13.15" customHeight="1" x14ac:dyDescent="0.25">
      <c r="A783">
        <f t="shared" si="65"/>
        <v>778</v>
      </c>
      <c r="B783" t="s">
        <v>1512</v>
      </c>
      <c r="C783" s="2">
        <v>0.41111111111111109</v>
      </c>
      <c r="D783" s="4">
        <f t="shared" si="69"/>
        <v>9.375E-2</v>
      </c>
      <c r="E783" s="6">
        <v>0.31736111111111109</v>
      </c>
      <c r="F783" s="5">
        <f t="shared" si="70"/>
        <v>0.77195945945945943</v>
      </c>
      <c r="G783" s="5">
        <v>0.85099999999999998</v>
      </c>
      <c r="H783" s="4">
        <f>71.1/1440</f>
        <v>4.9374999999999995E-2</v>
      </c>
      <c r="I783" s="5">
        <v>0.13200000000000001</v>
      </c>
      <c r="J783" s="11" t="s">
        <v>1504</v>
      </c>
    </row>
    <row r="784" spans="1:10" ht="13.15" customHeight="1" x14ac:dyDescent="0.25">
      <c r="A784">
        <f t="shared" si="65"/>
        <v>779</v>
      </c>
      <c r="B784" t="s">
        <v>1711</v>
      </c>
      <c r="C784" s="2">
        <v>0.40277777777777779</v>
      </c>
      <c r="D784" s="4">
        <f t="shared" si="69"/>
        <v>8.5416666666666696E-2</v>
      </c>
      <c r="E784" s="6">
        <v>0.31736111111111109</v>
      </c>
      <c r="F784" s="5">
        <f t="shared" si="70"/>
        <v>0.78793103448275859</v>
      </c>
      <c r="G784" s="5">
        <v>1</v>
      </c>
      <c r="H784" s="4">
        <f>72.9/1440</f>
        <v>5.0625000000000003E-2</v>
      </c>
      <c r="I784" s="5">
        <v>0.159</v>
      </c>
      <c r="J784" s="11" t="s">
        <v>1708</v>
      </c>
    </row>
    <row r="785" spans="1:10" ht="13.15" customHeight="1" x14ac:dyDescent="0.25">
      <c r="A785">
        <f t="shared" si="65"/>
        <v>780</v>
      </c>
      <c r="B785" t="s">
        <v>1717</v>
      </c>
      <c r="C785" s="2">
        <v>0.40277777777777779</v>
      </c>
      <c r="D785" s="4">
        <f t="shared" si="69"/>
        <v>8.5416666666666696E-2</v>
      </c>
      <c r="E785" s="6">
        <v>0.31736111111111109</v>
      </c>
      <c r="F785" s="5">
        <f t="shared" si="70"/>
        <v>0.78793103448275859</v>
      </c>
      <c r="G785" s="5">
        <v>1</v>
      </c>
      <c r="H785" s="4">
        <f>85.8/1440</f>
        <v>5.9583333333333328E-2</v>
      </c>
      <c r="I785" s="5">
        <v>0.188</v>
      </c>
      <c r="J785" s="11" t="s">
        <v>1708</v>
      </c>
    </row>
    <row r="786" spans="1:10" ht="13.15" customHeight="1" x14ac:dyDescent="0.25">
      <c r="A786">
        <f t="shared" si="65"/>
        <v>781</v>
      </c>
      <c r="B786" t="s">
        <v>9</v>
      </c>
      <c r="C786" s="2">
        <v>0.4145833333333333</v>
      </c>
      <c r="D786" s="4">
        <f t="shared" si="69"/>
        <v>9.7916666666666652E-2</v>
      </c>
      <c r="E786" s="6">
        <v>0.31666666666666665</v>
      </c>
      <c r="F786" s="5">
        <f t="shared" si="70"/>
        <v>0.76381909547738691</v>
      </c>
      <c r="G786" s="5">
        <v>0.77200000000000002</v>
      </c>
      <c r="H786" s="4">
        <f>55.9/1440</f>
        <v>3.8819444444444441E-2</v>
      </c>
      <c r="I786" s="5">
        <v>9.4E-2</v>
      </c>
      <c r="J786" s="11" t="s">
        <v>94</v>
      </c>
    </row>
    <row r="787" spans="1:10" ht="13.15" customHeight="1" x14ac:dyDescent="0.25">
      <c r="A787">
        <f t="shared" ref="A787:A850" si="71">A786+1</f>
        <v>782</v>
      </c>
      <c r="B787" t="s">
        <v>580</v>
      </c>
      <c r="C787" s="2">
        <v>0.43958333333333338</v>
      </c>
      <c r="D787" s="4">
        <f t="shared" si="69"/>
        <v>0.12291666666666673</v>
      </c>
      <c r="E787" s="6">
        <v>0.31666666666666665</v>
      </c>
      <c r="F787" s="5">
        <f t="shared" si="70"/>
        <v>0.72037914691943117</v>
      </c>
      <c r="G787" s="5">
        <v>0.83299999999999996</v>
      </c>
      <c r="H787" s="4">
        <f>69/1440</f>
        <v>4.791666666666667E-2</v>
      </c>
      <c r="I787" s="5">
        <v>0.126</v>
      </c>
      <c r="J787" s="11" t="s">
        <v>583</v>
      </c>
    </row>
    <row r="788" spans="1:10" ht="13.15" customHeight="1" x14ac:dyDescent="0.25">
      <c r="A788">
        <f t="shared" si="71"/>
        <v>783</v>
      </c>
      <c r="B788" t="s">
        <v>648</v>
      </c>
      <c r="C788" s="2">
        <v>0.43333333333333335</v>
      </c>
      <c r="D788" s="4">
        <f t="shared" si="69"/>
        <v>0.1166666666666667</v>
      </c>
      <c r="E788" s="6">
        <v>0.31666666666666665</v>
      </c>
      <c r="F788" s="5">
        <f t="shared" si="70"/>
        <v>0.73076923076923073</v>
      </c>
      <c r="G788" s="5">
        <v>0.82399999999999995</v>
      </c>
      <c r="H788" s="4">
        <f>68.3/1440</f>
        <v>4.7430555555555552E-2</v>
      </c>
      <c r="I788" s="5">
        <v>0.123</v>
      </c>
      <c r="J788" s="11" t="s">
        <v>649</v>
      </c>
    </row>
    <row r="789" spans="1:10" ht="13.15" customHeight="1" x14ac:dyDescent="0.25">
      <c r="A789">
        <f t="shared" si="71"/>
        <v>784</v>
      </c>
      <c r="B789" t="s">
        <v>867</v>
      </c>
      <c r="C789" s="2">
        <v>0.41249999999999998</v>
      </c>
      <c r="D789" s="4">
        <f t="shared" si="69"/>
        <v>9.5833333333333326E-2</v>
      </c>
      <c r="E789" s="6">
        <v>0.31666666666666665</v>
      </c>
      <c r="F789" s="5">
        <f t="shared" si="70"/>
        <v>0.76767676767676774</v>
      </c>
      <c r="G789" s="5">
        <v>0.84199999999999997</v>
      </c>
      <c r="H789" s="4">
        <f>68.1/1440</f>
        <v>4.7291666666666662E-2</v>
      </c>
      <c r="I789" s="5">
        <v>0.126</v>
      </c>
      <c r="J789" s="11" t="s">
        <v>877</v>
      </c>
    </row>
    <row r="790" spans="1:10" ht="13.15" customHeight="1" x14ac:dyDescent="0.25">
      <c r="A790">
        <f t="shared" si="71"/>
        <v>785</v>
      </c>
      <c r="B790" t="s">
        <v>1121</v>
      </c>
      <c r="C790" s="2">
        <v>0.42152777777777778</v>
      </c>
      <c r="D790" s="4">
        <f t="shared" si="69"/>
        <v>0.10486111111111113</v>
      </c>
      <c r="E790" s="6">
        <v>0.31666666666666665</v>
      </c>
      <c r="F790" s="5">
        <f t="shared" si="70"/>
        <v>0.75123558484349251</v>
      </c>
      <c r="G790" s="5">
        <v>0.85799999999999998</v>
      </c>
      <c r="H790" s="4">
        <f>74.2/1440</f>
        <v>5.1527777777777777E-2</v>
      </c>
      <c r="I790" s="5">
        <v>0.13900000000000001</v>
      </c>
      <c r="J790" s="11" t="s">
        <v>1102</v>
      </c>
    </row>
    <row r="791" spans="1:10" ht="13.15" customHeight="1" x14ac:dyDescent="0.25">
      <c r="A791">
        <f t="shared" si="71"/>
        <v>786</v>
      </c>
      <c r="B791" t="s">
        <v>1132</v>
      </c>
      <c r="C791" s="2">
        <v>0.4236111111111111</v>
      </c>
      <c r="D791" s="4">
        <f t="shared" si="69"/>
        <v>0.10694444444444445</v>
      </c>
      <c r="E791" s="6">
        <v>0.31666666666666665</v>
      </c>
      <c r="F791" s="5">
        <f t="shared" si="70"/>
        <v>0.74754098360655741</v>
      </c>
      <c r="G791" s="5">
        <v>0.83099999999999996</v>
      </c>
      <c r="H791" s="4">
        <f>61.2/1440</f>
        <v>4.2500000000000003E-2</v>
      </c>
      <c r="I791" s="5">
        <v>0.111</v>
      </c>
      <c r="J791" s="11" t="s">
        <v>1124</v>
      </c>
    </row>
    <row r="792" spans="1:10" ht="13.15" customHeight="1" x14ac:dyDescent="0.25">
      <c r="A792">
        <f t="shared" si="71"/>
        <v>787</v>
      </c>
      <c r="B792" t="s">
        <v>1313</v>
      </c>
      <c r="C792" s="2">
        <v>0.4236111111111111</v>
      </c>
      <c r="D792" s="4">
        <f t="shared" si="69"/>
        <v>0.10694444444444445</v>
      </c>
      <c r="E792" s="6">
        <v>0.31666666666666665</v>
      </c>
      <c r="F792" s="5">
        <f t="shared" si="70"/>
        <v>0.74754098360655741</v>
      </c>
      <c r="G792" s="5">
        <v>0.78300000000000003</v>
      </c>
      <c r="H792" s="4">
        <f>62.1/1440</f>
        <v>4.3125000000000004E-2</v>
      </c>
      <c r="I792" s="5">
        <v>0.106</v>
      </c>
      <c r="J792" s="11" t="s">
        <v>1291</v>
      </c>
    </row>
    <row r="793" spans="1:10" ht="13.15" customHeight="1" x14ac:dyDescent="0.25">
      <c r="A793">
        <f t="shared" si="71"/>
        <v>788</v>
      </c>
      <c r="B793" t="s">
        <v>1423</v>
      </c>
      <c r="C793" s="2">
        <v>0.42083333333333334</v>
      </c>
      <c r="D793" s="4">
        <v>0.10347222222222222</v>
      </c>
      <c r="E793" s="6">
        <v>0.31666666666666665</v>
      </c>
      <c r="F793" s="5">
        <f t="shared" si="70"/>
        <v>0.75247524752475248</v>
      </c>
      <c r="G793" s="5">
        <v>0.878</v>
      </c>
      <c r="H793" s="4">
        <f>69/1440</f>
        <v>4.791666666666667E-2</v>
      </c>
      <c r="I793" s="5">
        <v>0.13300000000000001</v>
      </c>
      <c r="J793" s="11" t="s">
        <v>1416</v>
      </c>
    </row>
    <row r="794" spans="1:10" ht="13.15" customHeight="1" x14ac:dyDescent="0.25">
      <c r="A794">
        <f t="shared" si="71"/>
        <v>789</v>
      </c>
      <c r="B794" t="s">
        <v>208</v>
      </c>
      <c r="C794" s="2">
        <v>0.47222222222222227</v>
      </c>
      <c r="D794" s="4">
        <f t="shared" ref="D794:D800" si="72">C794-E794</f>
        <v>0.15625000000000006</v>
      </c>
      <c r="E794" s="6">
        <v>0.31597222222222221</v>
      </c>
      <c r="F794" s="5">
        <f t="shared" si="70"/>
        <v>0.66911764705882348</v>
      </c>
      <c r="G794" s="5">
        <v>0.8</v>
      </c>
      <c r="H794" s="4">
        <f>73.5/1440</f>
        <v>5.1041666666666666E-2</v>
      </c>
      <c r="I794" s="5">
        <v>0.129</v>
      </c>
      <c r="J794" s="11" t="s">
        <v>209</v>
      </c>
    </row>
    <row r="795" spans="1:10" ht="13.15" customHeight="1" x14ac:dyDescent="0.25">
      <c r="A795">
        <f t="shared" si="71"/>
        <v>790</v>
      </c>
      <c r="B795" t="s">
        <v>1070</v>
      </c>
      <c r="C795" s="2">
        <v>0.41180555555555554</v>
      </c>
      <c r="D795" s="4">
        <f t="shared" si="72"/>
        <v>9.5833333333333326E-2</v>
      </c>
      <c r="E795" s="6">
        <v>0.31597222222222221</v>
      </c>
      <c r="F795" s="5">
        <f t="shared" si="70"/>
        <v>0.76728499156829677</v>
      </c>
      <c r="G795" s="5">
        <v>0.77800000000000002</v>
      </c>
      <c r="H795" s="4">
        <f>65.6/1440</f>
        <v>4.5555555555555551E-2</v>
      </c>
      <c r="I795" s="5">
        <v>0.112</v>
      </c>
      <c r="J795" s="11" t="s">
        <v>1052</v>
      </c>
    </row>
    <row r="796" spans="1:10" ht="13.15" customHeight="1" x14ac:dyDescent="0.25">
      <c r="A796">
        <f t="shared" si="71"/>
        <v>791</v>
      </c>
      <c r="B796" t="s">
        <v>1284</v>
      </c>
      <c r="C796" s="2">
        <v>0.4152777777777778</v>
      </c>
      <c r="D796" s="4">
        <f t="shared" si="72"/>
        <v>9.9305555555555591E-2</v>
      </c>
      <c r="E796" s="6">
        <v>0.31597222222222221</v>
      </c>
      <c r="F796" s="5">
        <f t="shared" si="70"/>
        <v>0.76086956521739124</v>
      </c>
      <c r="G796" s="5">
        <v>0.86199999999999999</v>
      </c>
      <c r="H796" s="4">
        <f>72.6/1440</f>
        <v>5.0416666666666665E-2</v>
      </c>
      <c r="I796" s="5">
        <v>0.13700000000000001</v>
      </c>
      <c r="J796" s="11" t="s">
        <v>1269</v>
      </c>
    </row>
    <row r="797" spans="1:10" ht="13.15" customHeight="1" x14ac:dyDescent="0.25">
      <c r="A797">
        <f t="shared" si="71"/>
        <v>792</v>
      </c>
      <c r="B797" t="s">
        <v>1339</v>
      </c>
      <c r="C797" s="2">
        <v>0.41666666666666669</v>
      </c>
      <c r="D797" s="4">
        <f t="shared" si="72"/>
        <v>0.10069444444444448</v>
      </c>
      <c r="E797" s="6">
        <v>0.31597222222222221</v>
      </c>
      <c r="F797" s="5">
        <f t="shared" si="70"/>
        <v>0.7583333333333333</v>
      </c>
      <c r="G797" s="5">
        <v>0.79800000000000004</v>
      </c>
      <c r="H797" s="4">
        <f>61.6/1440</f>
        <v>4.2777777777777776E-2</v>
      </c>
      <c r="I797" s="5">
        <v>0.108</v>
      </c>
      <c r="J797" s="11" t="s">
        <v>1340</v>
      </c>
    </row>
    <row r="798" spans="1:10" ht="13.15" customHeight="1" x14ac:dyDescent="0.25">
      <c r="A798">
        <f t="shared" si="71"/>
        <v>793</v>
      </c>
      <c r="B798" t="s">
        <v>1550</v>
      </c>
      <c r="C798" s="2">
        <v>0.41388888888888886</v>
      </c>
      <c r="D798" s="4">
        <f t="shared" si="72"/>
        <v>9.7916666666666652E-2</v>
      </c>
      <c r="E798" s="6">
        <v>0.31597222222222221</v>
      </c>
      <c r="F798" s="5">
        <f t="shared" si="70"/>
        <v>0.76342281879194629</v>
      </c>
      <c r="G798" s="5">
        <v>0.80200000000000005</v>
      </c>
      <c r="H798" s="4">
        <f>64.8/1440</f>
        <v>4.4999999999999998E-2</v>
      </c>
      <c r="I798" s="5">
        <v>0.114</v>
      </c>
      <c r="J798" s="11" t="s">
        <v>1545</v>
      </c>
    </row>
    <row r="799" spans="1:10" ht="13.15" customHeight="1" x14ac:dyDescent="0.25">
      <c r="A799">
        <f t="shared" si="71"/>
        <v>794</v>
      </c>
      <c r="B799" t="s">
        <v>616</v>
      </c>
      <c r="C799" s="2">
        <v>0.45416666666666666</v>
      </c>
      <c r="D799" s="4">
        <f t="shared" si="72"/>
        <v>0.1388888888888889</v>
      </c>
      <c r="E799" s="6">
        <v>0.31527777777777777</v>
      </c>
      <c r="F799" s="5">
        <f t="shared" si="70"/>
        <v>0.6941896024464832</v>
      </c>
      <c r="G799" s="5">
        <v>0.92600000000000005</v>
      </c>
      <c r="H799" s="4">
        <f>72.7/1440</f>
        <v>5.0486111111111114E-2</v>
      </c>
      <c r="I799" s="5">
        <v>0.14799999999999999</v>
      </c>
      <c r="J799" s="11" t="s">
        <v>619</v>
      </c>
    </row>
    <row r="800" spans="1:10" ht="13.15" customHeight="1" x14ac:dyDescent="0.25">
      <c r="A800">
        <f t="shared" si="71"/>
        <v>795</v>
      </c>
      <c r="B800" t="s">
        <v>625</v>
      </c>
      <c r="C800" s="2">
        <v>0.44722222222222219</v>
      </c>
      <c r="D800" s="4">
        <f t="shared" si="72"/>
        <v>0.13194444444444442</v>
      </c>
      <c r="E800" s="6">
        <v>0.31527777777777777</v>
      </c>
      <c r="F800" s="5">
        <f t="shared" si="70"/>
        <v>0.70496894409937894</v>
      </c>
      <c r="G800" s="5">
        <v>0.81100000000000005</v>
      </c>
      <c r="H800" s="4">
        <f>59.8/1440</f>
        <v>4.1527777777777775E-2</v>
      </c>
      <c r="I800" s="5">
        <v>0.107</v>
      </c>
      <c r="J800" s="11" t="s">
        <v>627</v>
      </c>
    </row>
    <row r="801" spans="1:10" ht="13.15" customHeight="1" x14ac:dyDescent="0.25">
      <c r="A801">
        <f t="shared" si="71"/>
        <v>796</v>
      </c>
      <c r="B801" t="s">
        <v>727</v>
      </c>
      <c r="C801" s="2">
        <v>0.43402777777777779</v>
      </c>
      <c r="D801" s="4">
        <v>0.11875000000000002</v>
      </c>
      <c r="E801" s="6">
        <v>0.31527777777777777</v>
      </c>
      <c r="F801" s="5">
        <v>0.72639999999999993</v>
      </c>
      <c r="G801" s="5">
        <v>0.83299999999999996</v>
      </c>
      <c r="H801" s="4">
        <v>4.7986111111111104E-2</v>
      </c>
      <c r="I801" s="5">
        <v>0.127</v>
      </c>
      <c r="J801" s="11" t="s">
        <v>731</v>
      </c>
    </row>
    <row r="802" spans="1:10" ht="13.15" customHeight="1" x14ac:dyDescent="0.25">
      <c r="A802">
        <f t="shared" si="71"/>
        <v>797</v>
      </c>
      <c r="B802" t="s">
        <v>926</v>
      </c>
      <c r="C802" s="2">
        <v>0.42777777777777776</v>
      </c>
      <c r="D802" s="4">
        <f t="shared" ref="D802:D813" si="73">C802-E802</f>
        <v>0.11249999999999999</v>
      </c>
      <c r="E802" s="6">
        <v>0.31527777777777777</v>
      </c>
      <c r="F802" s="5">
        <f t="shared" ref="F802:F813" si="74">E802/C802</f>
        <v>0.73701298701298701</v>
      </c>
      <c r="G802" s="5">
        <v>0.84699999999999998</v>
      </c>
      <c r="H802" s="4">
        <f>69.4/1440</f>
        <v>4.8194444444444449E-2</v>
      </c>
      <c r="I802" s="5">
        <v>0.129</v>
      </c>
      <c r="J802" s="11" t="s">
        <v>929</v>
      </c>
    </row>
    <row r="803" spans="1:10" ht="13.15" customHeight="1" x14ac:dyDescent="0.25">
      <c r="A803">
        <f t="shared" si="71"/>
        <v>798</v>
      </c>
      <c r="B803" t="s">
        <v>984</v>
      </c>
      <c r="C803" s="2">
        <v>0.42916666666666664</v>
      </c>
      <c r="D803" s="4">
        <f t="shared" si="73"/>
        <v>0.11388888888888887</v>
      </c>
      <c r="E803" s="6">
        <v>0.31527777777777777</v>
      </c>
      <c r="F803" s="5">
        <f t="shared" si="74"/>
        <v>0.7346278317152104</v>
      </c>
      <c r="G803" s="5">
        <v>0.80800000000000005</v>
      </c>
      <c r="H803" s="4">
        <f>62/1440</f>
        <v>4.3055555555555555E-2</v>
      </c>
      <c r="I803" s="5">
        <v>0.11</v>
      </c>
      <c r="J803" s="11" t="s">
        <v>985</v>
      </c>
    </row>
    <row r="804" spans="1:10" ht="13.15" customHeight="1" x14ac:dyDescent="0.25">
      <c r="A804">
        <f t="shared" si="71"/>
        <v>799</v>
      </c>
      <c r="B804" t="s">
        <v>1456</v>
      </c>
      <c r="C804" s="2">
        <v>0.42083333333333334</v>
      </c>
      <c r="D804" s="4">
        <f t="shared" si="73"/>
        <v>0.10555555555555557</v>
      </c>
      <c r="E804" s="6">
        <v>0.31527777777777777</v>
      </c>
      <c r="F804" s="5">
        <f t="shared" si="74"/>
        <v>0.74917491749174914</v>
      </c>
      <c r="G804" s="5">
        <v>0.85599999999999998</v>
      </c>
      <c r="H804" s="4">
        <f>69.7/1440</f>
        <v>4.8402777777777781E-2</v>
      </c>
      <c r="I804" s="5">
        <v>0.13100000000000001</v>
      </c>
      <c r="J804" s="11" t="s">
        <v>1441</v>
      </c>
    </row>
    <row r="805" spans="1:10" ht="13.15" customHeight="1" x14ac:dyDescent="0.25">
      <c r="A805">
        <f t="shared" si="71"/>
        <v>800</v>
      </c>
      <c r="B805" t="s">
        <v>1591</v>
      </c>
      <c r="C805" s="2">
        <v>0.41249999999999998</v>
      </c>
      <c r="D805" s="4">
        <f t="shared" si="73"/>
        <v>9.722222222222221E-2</v>
      </c>
      <c r="E805" s="6">
        <v>0.31527777777777777</v>
      </c>
      <c r="F805" s="5">
        <f t="shared" si="74"/>
        <v>0.76430976430976427</v>
      </c>
      <c r="G805" s="5">
        <v>0.83899999999999997</v>
      </c>
      <c r="H805" s="4">
        <f>75.2/1440</f>
        <v>5.2222222222222225E-2</v>
      </c>
      <c r="I805" s="5">
        <v>0.13900000000000001</v>
      </c>
      <c r="J805" s="11" t="s">
        <v>1589</v>
      </c>
    </row>
    <row r="806" spans="1:10" ht="13.15" customHeight="1" x14ac:dyDescent="0.25">
      <c r="A806">
        <f t="shared" si="71"/>
        <v>801</v>
      </c>
      <c r="B806" t="s">
        <v>1596</v>
      </c>
      <c r="C806" s="2">
        <v>0.41597222222222224</v>
      </c>
      <c r="D806" s="4">
        <f t="shared" si="73"/>
        <v>0.10069444444444448</v>
      </c>
      <c r="E806" s="6">
        <v>0.31527777777777777</v>
      </c>
      <c r="F806" s="5">
        <f t="shared" si="74"/>
        <v>0.75792988313856424</v>
      </c>
      <c r="G806" s="5">
        <v>0.8</v>
      </c>
      <c r="H806" s="4">
        <f>70.6/1440</f>
        <v>4.9027777777777774E-2</v>
      </c>
      <c r="I806" s="5">
        <v>0.124</v>
      </c>
      <c r="J806" s="11" t="s">
        <v>1590</v>
      </c>
    </row>
    <row r="807" spans="1:10" ht="13.15" customHeight="1" x14ac:dyDescent="0.25">
      <c r="A807">
        <f t="shared" si="71"/>
        <v>802</v>
      </c>
      <c r="B807" t="s">
        <v>1741</v>
      </c>
      <c r="C807" s="2">
        <v>0.46111111111111114</v>
      </c>
      <c r="D807" s="4">
        <f t="shared" si="73"/>
        <v>0.14583333333333337</v>
      </c>
      <c r="E807" s="6">
        <v>0.31527777777777777</v>
      </c>
      <c r="F807" s="5">
        <f t="shared" si="74"/>
        <v>0.6837349397590361</v>
      </c>
      <c r="G807" s="5">
        <v>1</v>
      </c>
      <c r="H807" s="4">
        <f>69.5/1440</f>
        <v>4.8263888888888891E-2</v>
      </c>
      <c r="I807" s="5">
        <v>0.153</v>
      </c>
      <c r="J807" s="11" t="s">
        <v>1748</v>
      </c>
    </row>
    <row r="808" spans="1:10" ht="13.15" customHeight="1" x14ac:dyDescent="0.25">
      <c r="A808">
        <f t="shared" si="71"/>
        <v>803</v>
      </c>
      <c r="B808" t="s">
        <v>1745</v>
      </c>
      <c r="C808" s="2">
        <v>0.4236111111111111</v>
      </c>
      <c r="D808" s="4">
        <f t="shared" si="73"/>
        <v>0.10833333333333334</v>
      </c>
      <c r="E808" s="6">
        <v>0.31527777777777777</v>
      </c>
      <c r="F808" s="5">
        <f t="shared" si="74"/>
        <v>0.74426229508196717</v>
      </c>
      <c r="G808" s="5">
        <v>1</v>
      </c>
      <c r="H808" s="4">
        <f>79.3/1440</f>
        <v>5.5069444444444442E-2</v>
      </c>
      <c r="I808" s="5">
        <v>0.17399999999999999</v>
      </c>
      <c r="J808" s="11" t="s">
        <v>1749</v>
      </c>
    </row>
    <row r="809" spans="1:10" ht="13.15" customHeight="1" x14ac:dyDescent="0.25">
      <c r="A809">
        <f t="shared" si="71"/>
        <v>804</v>
      </c>
      <c r="B809" t="s">
        <v>1755</v>
      </c>
      <c r="C809" s="2">
        <v>0.40902777777777777</v>
      </c>
      <c r="D809" s="4">
        <f t="shared" si="73"/>
        <v>9.375E-2</v>
      </c>
      <c r="E809" s="6">
        <v>0.31527777777777777</v>
      </c>
      <c r="F809" s="5">
        <f t="shared" si="74"/>
        <v>0.77079796264855682</v>
      </c>
      <c r="G809" s="5">
        <v>0.89200000000000002</v>
      </c>
      <c r="H809" s="4">
        <f>78.7/1440</f>
        <v>5.4652777777777779E-2</v>
      </c>
      <c r="I809" s="5">
        <v>0.155</v>
      </c>
      <c r="J809" s="11" t="s">
        <v>1752</v>
      </c>
    </row>
    <row r="810" spans="1:10" ht="13.15" customHeight="1" x14ac:dyDescent="0.25">
      <c r="A810">
        <f t="shared" si="71"/>
        <v>805</v>
      </c>
      <c r="B810" t="s">
        <v>1767</v>
      </c>
      <c r="C810" s="2">
        <v>0.4597222222222222</v>
      </c>
      <c r="D810" s="4">
        <f t="shared" si="73"/>
        <v>0.14444444444444443</v>
      </c>
      <c r="E810" s="6">
        <v>0.31527777777777777</v>
      </c>
      <c r="F810" s="5">
        <f t="shared" si="74"/>
        <v>0.68580060422960731</v>
      </c>
      <c r="G810" s="5">
        <v>0.83699999999999997</v>
      </c>
      <c r="H810" s="4">
        <f>60/1440</f>
        <v>4.1666666666666664E-2</v>
      </c>
      <c r="I810" s="5">
        <v>0.111</v>
      </c>
      <c r="J810" s="11" t="s">
        <v>1762</v>
      </c>
    </row>
    <row r="811" spans="1:10" ht="13.15" customHeight="1" x14ac:dyDescent="0.25">
      <c r="A811">
        <f t="shared" si="71"/>
        <v>806</v>
      </c>
      <c r="B811" t="s">
        <v>485</v>
      </c>
      <c r="C811" s="2">
        <v>0.45208333333333334</v>
      </c>
      <c r="D811" s="4">
        <f t="shared" si="73"/>
        <v>0.13750000000000001</v>
      </c>
      <c r="E811" s="6">
        <v>0.31458333333333333</v>
      </c>
      <c r="F811" s="5">
        <f t="shared" si="74"/>
        <v>0.69585253456221197</v>
      </c>
      <c r="G811" s="5">
        <v>0.78800000000000003</v>
      </c>
      <c r="H811" s="4">
        <f>79.4/1440</f>
        <v>5.513888888888889E-2</v>
      </c>
      <c r="I811" s="5">
        <v>0.13800000000000001</v>
      </c>
      <c r="J811" s="11" t="s">
        <v>486</v>
      </c>
    </row>
    <row r="812" spans="1:10" ht="13.15" customHeight="1" x14ac:dyDescent="0.25">
      <c r="A812">
        <f t="shared" si="71"/>
        <v>807</v>
      </c>
      <c r="B812" t="s">
        <v>647</v>
      </c>
      <c r="C812" s="2">
        <v>0.44027777777777777</v>
      </c>
      <c r="D812" s="4">
        <f t="shared" si="73"/>
        <v>0.12569444444444444</v>
      </c>
      <c r="E812" s="6">
        <v>0.31458333333333333</v>
      </c>
      <c r="F812" s="5">
        <f t="shared" si="74"/>
        <v>0.71451104100946372</v>
      </c>
      <c r="G812" s="5">
        <v>0.80100000000000005</v>
      </c>
      <c r="H812" s="4">
        <f>64.4/1440</f>
        <v>4.4722222222222226E-2</v>
      </c>
      <c r="I812" s="5">
        <v>0.114</v>
      </c>
      <c r="J812" s="11" t="s">
        <v>649</v>
      </c>
    </row>
    <row r="813" spans="1:10" ht="13.15" customHeight="1" x14ac:dyDescent="0.25">
      <c r="A813">
        <f t="shared" si="71"/>
        <v>808</v>
      </c>
      <c r="B813" t="s">
        <v>660</v>
      </c>
      <c r="C813" s="2">
        <v>0.42708333333333331</v>
      </c>
      <c r="D813" s="4">
        <f t="shared" si="73"/>
        <v>0.11249999999999999</v>
      </c>
      <c r="E813" s="6">
        <v>0.31458333333333333</v>
      </c>
      <c r="F813" s="5">
        <f t="shared" si="74"/>
        <v>0.73658536585365852</v>
      </c>
      <c r="G813" s="5">
        <v>0.80900000000000005</v>
      </c>
      <c r="H813" s="4">
        <f>72.9/1440</f>
        <v>5.0625000000000003E-2</v>
      </c>
      <c r="I813" s="5">
        <v>0.13</v>
      </c>
      <c r="J813" s="11" t="s">
        <v>663</v>
      </c>
    </row>
    <row r="814" spans="1:10" ht="13.15" customHeight="1" x14ac:dyDescent="0.25">
      <c r="A814">
        <f t="shared" si="71"/>
        <v>809</v>
      </c>
      <c r="B814" t="s">
        <v>726</v>
      </c>
      <c r="C814" s="2">
        <v>0.43888888888888888</v>
      </c>
      <c r="D814" s="4">
        <v>0.12430555555555556</v>
      </c>
      <c r="E814" s="6">
        <v>0.31458333333333333</v>
      </c>
      <c r="F814" s="5">
        <v>0.71677215189873422</v>
      </c>
      <c r="G814" s="5">
        <v>0.83199999999999996</v>
      </c>
      <c r="H814" s="4">
        <v>4.7500000000000001E-2</v>
      </c>
      <c r="I814" s="5">
        <v>0.125</v>
      </c>
      <c r="J814" s="11" t="s">
        <v>731</v>
      </c>
    </row>
    <row r="815" spans="1:10" ht="13.15" customHeight="1" x14ac:dyDescent="0.25">
      <c r="A815">
        <f t="shared" si="71"/>
        <v>810</v>
      </c>
      <c r="B815" t="s">
        <v>736</v>
      </c>
      <c r="C815" s="2">
        <v>0.48819444444444443</v>
      </c>
      <c r="D815" s="4">
        <f t="shared" ref="D815:D831" si="75">C815-E815</f>
        <v>0.1736111111111111</v>
      </c>
      <c r="E815" s="6">
        <v>0.31458333333333333</v>
      </c>
      <c r="F815" s="5">
        <f t="shared" ref="F815:F831" si="76">E815/C815</f>
        <v>0.64438122332859171</v>
      </c>
      <c r="G815" s="5">
        <v>0.78200000000000003</v>
      </c>
      <c r="H815" s="4">
        <f>86/1440</f>
        <v>5.9722222222222225E-2</v>
      </c>
      <c r="I815" s="5">
        <v>0.14799999999999999</v>
      </c>
      <c r="J815" s="11" t="s">
        <v>737</v>
      </c>
    </row>
    <row r="816" spans="1:10" ht="13.15" customHeight="1" x14ac:dyDescent="0.25">
      <c r="A816">
        <f t="shared" si="71"/>
        <v>811</v>
      </c>
      <c r="B816" t="s">
        <v>870</v>
      </c>
      <c r="C816" s="2">
        <v>0.4152777777777778</v>
      </c>
      <c r="D816" s="4">
        <f t="shared" si="75"/>
        <v>0.10069444444444448</v>
      </c>
      <c r="E816" s="6">
        <v>0.31458333333333333</v>
      </c>
      <c r="F816" s="5">
        <f t="shared" si="76"/>
        <v>0.75752508361204007</v>
      </c>
      <c r="G816" s="5">
        <v>0.85699999999999998</v>
      </c>
      <c r="H816" s="4">
        <f>73.5/1440</f>
        <v>5.1041666666666666E-2</v>
      </c>
      <c r="I816" s="5">
        <v>0.13900000000000001</v>
      </c>
      <c r="J816" s="11" t="s">
        <v>877</v>
      </c>
    </row>
    <row r="817" spans="1:10" ht="13.15" customHeight="1" x14ac:dyDescent="0.25">
      <c r="A817">
        <f t="shared" si="71"/>
        <v>812</v>
      </c>
      <c r="B817" t="s">
        <v>1044</v>
      </c>
      <c r="C817" s="2">
        <v>0.44027777777777777</v>
      </c>
      <c r="D817" s="4">
        <f t="shared" si="75"/>
        <v>0.12569444444444444</v>
      </c>
      <c r="E817" s="6">
        <v>0.31458333333333333</v>
      </c>
      <c r="F817" s="5">
        <f t="shared" si="76"/>
        <v>0.71451104100946372</v>
      </c>
      <c r="G817" s="5">
        <v>0.82299999999999995</v>
      </c>
      <c r="H817" s="4">
        <f>68.1/1440</f>
        <v>4.7291666666666662E-2</v>
      </c>
      <c r="I817" s="5">
        <v>0.124</v>
      </c>
      <c r="J817" s="11" t="s">
        <v>1036</v>
      </c>
    </row>
    <row r="818" spans="1:10" ht="13.15" customHeight="1" x14ac:dyDescent="0.25">
      <c r="A818">
        <f t="shared" si="71"/>
        <v>813</v>
      </c>
      <c r="B818" t="s">
        <v>1702</v>
      </c>
      <c r="C818" s="2">
        <v>0.43680555555555556</v>
      </c>
      <c r="D818" s="4">
        <f t="shared" si="75"/>
        <v>0.12222222222222223</v>
      </c>
      <c r="E818" s="6">
        <v>0.31458333333333333</v>
      </c>
      <c r="F818" s="5">
        <f t="shared" si="76"/>
        <v>0.72019077901430839</v>
      </c>
      <c r="G818" s="5">
        <v>0.70399999999999996</v>
      </c>
      <c r="H818" s="4">
        <f>53.9/1440</f>
        <v>3.7430555555555557E-2</v>
      </c>
      <c r="I818" s="5">
        <v>8.4000000000000005E-2</v>
      </c>
      <c r="J818" s="11" t="s">
        <v>1696</v>
      </c>
    </row>
    <row r="819" spans="1:10" ht="13.15" customHeight="1" x14ac:dyDescent="0.25">
      <c r="A819">
        <f t="shared" si="71"/>
        <v>814</v>
      </c>
      <c r="B819" t="s">
        <v>1732</v>
      </c>
      <c r="C819" s="2">
        <v>0.43194444444444446</v>
      </c>
      <c r="D819" s="4">
        <f t="shared" si="75"/>
        <v>0.11736111111111114</v>
      </c>
      <c r="E819" s="6">
        <v>0.31458333333333333</v>
      </c>
      <c r="F819" s="5">
        <f t="shared" si="76"/>
        <v>0.72829581993569126</v>
      </c>
      <c r="G819" s="5">
        <v>0.83299999999999996</v>
      </c>
      <c r="H819" s="4">
        <f>69.9/1440</f>
        <v>4.854166666666667E-2</v>
      </c>
      <c r="I819" s="5">
        <v>0.128</v>
      </c>
      <c r="J819" s="11" t="s">
        <v>1727</v>
      </c>
    </row>
    <row r="820" spans="1:10" ht="13.15" customHeight="1" x14ac:dyDescent="0.25">
      <c r="A820">
        <f t="shared" si="71"/>
        <v>815</v>
      </c>
      <c r="B820" t="s">
        <v>317</v>
      </c>
      <c r="C820" s="2">
        <v>0.45069444444444445</v>
      </c>
      <c r="D820" s="4">
        <f t="shared" si="75"/>
        <v>0.13680555555555557</v>
      </c>
      <c r="E820" s="6">
        <v>0.31388888888888888</v>
      </c>
      <c r="F820" s="5">
        <f t="shared" si="76"/>
        <v>0.69645608628659472</v>
      </c>
      <c r="G820" s="5">
        <v>0.66700000000000004</v>
      </c>
      <c r="H820" s="4">
        <f>59.7/1440</f>
        <v>4.1458333333333333E-2</v>
      </c>
      <c r="I820" s="5">
        <v>8.7999999999999995E-2</v>
      </c>
      <c r="J820" s="11" t="s">
        <v>318</v>
      </c>
    </row>
    <row r="821" spans="1:10" ht="13.15" customHeight="1" x14ac:dyDescent="0.25">
      <c r="A821">
        <f t="shared" si="71"/>
        <v>816</v>
      </c>
      <c r="B821" t="s">
        <v>750</v>
      </c>
      <c r="C821" s="2">
        <v>0.43680555555555556</v>
      </c>
      <c r="D821" s="4">
        <f t="shared" si="75"/>
        <v>0.12291666666666667</v>
      </c>
      <c r="E821" s="6">
        <v>0.31388888888888888</v>
      </c>
      <c r="F821" s="5">
        <f t="shared" si="76"/>
        <v>0.7186009538950715</v>
      </c>
      <c r="G821" s="5">
        <v>0.84699999999999998</v>
      </c>
      <c r="H821" s="4">
        <f>76.4/1440</f>
        <v>5.3055555555555557E-2</v>
      </c>
      <c r="I821" s="5">
        <v>0.14299999999999999</v>
      </c>
      <c r="J821" s="11" t="s">
        <v>758</v>
      </c>
    </row>
    <row r="822" spans="1:10" ht="13.15" customHeight="1" x14ac:dyDescent="0.25">
      <c r="A822">
        <f t="shared" si="71"/>
        <v>817</v>
      </c>
      <c r="B822" t="s">
        <v>1039</v>
      </c>
      <c r="C822" s="2">
        <v>0.44374999999999998</v>
      </c>
      <c r="D822" s="4">
        <f t="shared" si="75"/>
        <v>0.12986111111111109</v>
      </c>
      <c r="E822" s="6">
        <v>0.31388888888888888</v>
      </c>
      <c r="F822" s="5">
        <f t="shared" si="76"/>
        <v>0.70735524256651017</v>
      </c>
      <c r="G822" s="5">
        <v>0.82899999999999996</v>
      </c>
      <c r="H822" s="4">
        <f>63.6/1440</f>
        <v>4.4166666666666667E-2</v>
      </c>
      <c r="I822" s="5">
        <v>0.11700000000000001</v>
      </c>
      <c r="J822" s="11" t="s">
        <v>1035</v>
      </c>
    </row>
    <row r="823" spans="1:10" ht="13.15" customHeight="1" x14ac:dyDescent="0.25">
      <c r="A823">
        <f t="shared" si="71"/>
        <v>818</v>
      </c>
      <c r="B823" t="s">
        <v>1226</v>
      </c>
      <c r="C823" s="2">
        <v>0.42430555555555555</v>
      </c>
      <c r="D823" s="4">
        <f t="shared" si="75"/>
        <v>0.11041666666666666</v>
      </c>
      <c r="E823" s="6">
        <v>0.31388888888888888</v>
      </c>
      <c r="F823" s="5">
        <f t="shared" si="76"/>
        <v>0.73977086743044185</v>
      </c>
      <c r="G823" s="5">
        <v>0.78200000000000003</v>
      </c>
      <c r="H823" s="4">
        <f>58/1440</f>
        <v>4.027777777777778E-2</v>
      </c>
      <c r="I823" s="5">
        <v>0.1</v>
      </c>
      <c r="J823" s="11" t="s">
        <v>1225</v>
      </c>
    </row>
    <row r="824" spans="1:10" ht="13.15" customHeight="1" x14ac:dyDescent="0.25">
      <c r="A824">
        <f t="shared" si="71"/>
        <v>819</v>
      </c>
      <c r="B824" t="s">
        <v>1228</v>
      </c>
      <c r="C824" s="2">
        <v>0.45763888888888887</v>
      </c>
      <c r="D824" s="4">
        <f t="shared" si="75"/>
        <v>0.14374999999999999</v>
      </c>
      <c r="E824" s="6">
        <v>0.31388888888888888</v>
      </c>
      <c r="F824" s="5">
        <f t="shared" si="76"/>
        <v>0.68588770864946891</v>
      </c>
      <c r="G824" s="5">
        <v>0.83699999999999997</v>
      </c>
      <c r="H824" s="4">
        <f>64.2/1440</f>
        <v>4.4583333333333336E-2</v>
      </c>
      <c r="I824" s="5">
        <v>0.11899999999999999</v>
      </c>
      <c r="J824" s="11" t="s">
        <v>1225</v>
      </c>
    </row>
    <row r="825" spans="1:10" ht="13.15" customHeight="1" x14ac:dyDescent="0.25">
      <c r="A825">
        <f t="shared" si="71"/>
        <v>820</v>
      </c>
      <c r="B825" t="s">
        <v>1298</v>
      </c>
      <c r="C825" s="2">
        <v>0.42777777777777776</v>
      </c>
      <c r="D825" s="4">
        <f t="shared" si="75"/>
        <v>0.11388888888888887</v>
      </c>
      <c r="E825" s="6">
        <v>0.31388888888888888</v>
      </c>
      <c r="F825" s="5">
        <f t="shared" si="76"/>
        <v>0.73376623376623384</v>
      </c>
      <c r="G825" s="5">
        <v>0.82399999999999995</v>
      </c>
      <c r="H825" s="4">
        <f>60.1/1440</f>
        <v>4.1736111111111113E-2</v>
      </c>
      <c r="I825" s="5">
        <v>0.109</v>
      </c>
      <c r="J825" s="11" t="s">
        <v>1288</v>
      </c>
    </row>
    <row r="826" spans="1:10" ht="13.15" customHeight="1" x14ac:dyDescent="0.25">
      <c r="A826">
        <f t="shared" si="71"/>
        <v>821</v>
      </c>
      <c r="B826" t="s">
        <v>1797</v>
      </c>
      <c r="C826" s="2">
        <v>0.41111111111111109</v>
      </c>
      <c r="D826" s="4">
        <f t="shared" si="75"/>
        <v>9.722222222222221E-2</v>
      </c>
      <c r="E826" s="6">
        <v>0.31388888888888888</v>
      </c>
      <c r="F826" s="5">
        <f t="shared" si="76"/>
        <v>0.76351351351351349</v>
      </c>
      <c r="G826" s="5">
        <v>0.84599999999999997</v>
      </c>
      <c r="H826" s="4">
        <f>66.1/1440</f>
        <v>4.5902777777777772E-2</v>
      </c>
      <c r="I826" s="5">
        <v>0.124</v>
      </c>
      <c r="J826" s="11" t="s">
        <v>1811</v>
      </c>
    </row>
    <row r="827" spans="1:10" ht="13.15" customHeight="1" x14ac:dyDescent="0.25">
      <c r="A827">
        <f t="shared" si="71"/>
        <v>822</v>
      </c>
      <c r="B827" t="s">
        <v>57</v>
      </c>
      <c r="C827" s="2">
        <v>0.42152777777777778</v>
      </c>
      <c r="D827" s="4">
        <f t="shared" si="75"/>
        <v>0.10833333333333334</v>
      </c>
      <c r="E827" s="6">
        <v>0.31319444444444444</v>
      </c>
      <c r="F827" s="5">
        <f t="shared" si="76"/>
        <v>0.74299835255354196</v>
      </c>
      <c r="G827" s="5">
        <v>0.70199999999999996</v>
      </c>
      <c r="H827" s="4">
        <f>90.6/1440</f>
        <v>6.2916666666666662E-2</v>
      </c>
      <c r="I827" s="5">
        <v>0.14099999999999999</v>
      </c>
      <c r="J827" s="11" t="s">
        <v>122</v>
      </c>
    </row>
    <row r="828" spans="1:10" ht="13.15" customHeight="1" x14ac:dyDescent="0.25">
      <c r="A828">
        <f t="shared" si="71"/>
        <v>823</v>
      </c>
      <c r="B828" t="s">
        <v>218</v>
      </c>
      <c r="C828" s="2">
        <v>0.43611111111111112</v>
      </c>
      <c r="D828" s="4">
        <f t="shared" si="75"/>
        <v>0.12291666666666667</v>
      </c>
      <c r="E828" s="6">
        <v>0.31319444444444444</v>
      </c>
      <c r="F828" s="5">
        <f t="shared" si="76"/>
        <v>0.71815286624203822</v>
      </c>
      <c r="G828" s="5">
        <v>0.874</v>
      </c>
      <c r="H828" s="4">
        <f>85.9/1440</f>
        <v>5.9652777777777784E-2</v>
      </c>
      <c r="I828" s="5">
        <v>0.16600000000000001</v>
      </c>
      <c r="J828" s="11" t="s">
        <v>219</v>
      </c>
    </row>
    <row r="829" spans="1:10" ht="13.15" customHeight="1" x14ac:dyDescent="0.25">
      <c r="A829">
        <f t="shared" si="71"/>
        <v>824</v>
      </c>
      <c r="B829" t="s">
        <v>605</v>
      </c>
      <c r="C829" s="2">
        <v>0.4513888888888889</v>
      </c>
      <c r="D829" s="4">
        <f t="shared" si="75"/>
        <v>0.13819444444444445</v>
      </c>
      <c r="E829" s="6">
        <v>0.31319444444444444</v>
      </c>
      <c r="F829" s="5">
        <f t="shared" si="76"/>
        <v>0.69384615384615378</v>
      </c>
      <c r="G829" s="5">
        <v>0.82199999999999995</v>
      </c>
      <c r="H829" s="4">
        <f>66.6/1440</f>
        <v>4.6249999999999999E-2</v>
      </c>
      <c r="I829" s="5">
        <v>0.121</v>
      </c>
      <c r="J829" s="11" t="s">
        <v>606</v>
      </c>
    </row>
    <row r="830" spans="1:10" ht="13.15" customHeight="1" x14ac:dyDescent="0.25">
      <c r="A830">
        <f t="shared" si="71"/>
        <v>825</v>
      </c>
      <c r="B830" t="s">
        <v>621</v>
      </c>
      <c r="C830" s="2">
        <v>0.43194444444444446</v>
      </c>
      <c r="D830" s="4">
        <f t="shared" si="75"/>
        <v>0.11875000000000002</v>
      </c>
      <c r="E830" s="6">
        <v>0.31319444444444444</v>
      </c>
      <c r="F830" s="5">
        <f t="shared" si="76"/>
        <v>0.72508038585209</v>
      </c>
      <c r="G830" s="5">
        <v>0.94799999999999995</v>
      </c>
      <c r="H830" s="4">
        <f>75.8/1440</f>
        <v>5.2638888888888888E-2</v>
      </c>
      <c r="I830" s="5">
        <v>0.159</v>
      </c>
      <c r="J830" s="11" t="s">
        <v>624</v>
      </c>
    </row>
    <row r="831" spans="1:10" ht="13.15" customHeight="1" x14ac:dyDescent="0.25">
      <c r="A831">
        <f t="shared" si="71"/>
        <v>826</v>
      </c>
      <c r="B831" t="s">
        <v>911</v>
      </c>
      <c r="C831" s="2">
        <v>0.43819444444444444</v>
      </c>
      <c r="D831" s="4">
        <f t="shared" si="75"/>
        <v>0.125</v>
      </c>
      <c r="E831" s="6">
        <v>0.31319444444444444</v>
      </c>
      <c r="F831" s="5">
        <f t="shared" si="76"/>
        <v>0.71473851030110935</v>
      </c>
      <c r="G831" s="5">
        <v>0.80800000000000005</v>
      </c>
      <c r="H831" s="4">
        <f>62.5/1440</f>
        <v>4.3402777777777776E-2</v>
      </c>
      <c r="I831" s="5">
        <v>0.112</v>
      </c>
      <c r="J831" s="11" t="s">
        <v>914</v>
      </c>
    </row>
    <row r="832" spans="1:10" ht="13.15" customHeight="1" x14ac:dyDescent="0.25">
      <c r="A832">
        <f t="shared" si="71"/>
        <v>827</v>
      </c>
      <c r="B832" t="s">
        <v>1265</v>
      </c>
      <c r="C832" s="2">
        <v>0.42499999999999999</v>
      </c>
      <c r="D832" s="4">
        <v>0.11180555555555555</v>
      </c>
      <c r="E832" s="6">
        <v>0.31319444444444444</v>
      </c>
      <c r="F832" s="5">
        <v>0.73692810457516345</v>
      </c>
      <c r="G832" s="5">
        <v>0.878</v>
      </c>
      <c r="H832" s="4">
        <v>4.4999999999999998E-2</v>
      </c>
      <c r="I832" s="5">
        <v>0.126</v>
      </c>
      <c r="J832" s="11" t="s">
        <v>1245</v>
      </c>
    </row>
    <row r="833" spans="1:10" ht="13.15" customHeight="1" x14ac:dyDescent="0.25">
      <c r="A833">
        <f t="shared" si="71"/>
        <v>828</v>
      </c>
      <c r="B833" t="s">
        <v>1725</v>
      </c>
      <c r="C833" s="2">
        <v>0.42152777777777778</v>
      </c>
      <c r="D833" s="4">
        <f t="shared" ref="D833:D848" si="77">C833-E833</f>
        <v>0.10833333333333334</v>
      </c>
      <c r="E833" s="6">
        <v>0.31319444444444444</v>
      </c>
      <c r="F833" s="5">
        <f t="shared" ref="F833:F848" si="78">E833/C833</f>
        <v>0.74299835255354196</v>
      </c>
      <c r="G833" s="5">
        <v>0.78800000000000003</v>
      </c>
      <c r="H833" s="4">
        <f>66.2/1440</f>
        <v>4.5972222222222227E-2</v>
      </c>
      <c r="I833" s="5">
        <v>0.115</v>
      </c>
      <c r="J833" s="11" t="s">
        <v>1709</v>
      </c>
    </row>
    <row r="834" spans="1:10" ht="13.15" customHeight="1" x14ac:dyDescent="0.25">
      <c r="A834">
        <f t="shared" si="71"/>
        <v>829</v>
      </c>
      <c r="B834" t="s">
        <v>1805</v>
      </c>
      <c r="C834" s="2">
        <v>0.39583333333333331</v>
      </c>
      <c r="D834" s="4">
        <f t="shared" si="77"/>
        <v>8.2638888888888873E-2</v>
      </c>
      <c r="E834" s="6">
        <v>0.31319444444444444</v>
      </c>
      <c r="F834" s="5">
        <f t="shared" si="78"/>
        <v>0.79122807017543861</v>
      </c>
      <c r="G834" s="5">
        <v>1</v>
      </c>
      <c r="H834" s="4">
        <f>74.6/1440</f>
        <v>5.1805555555555549E-2</v>
      </c>
      <c r="I834" s="5">
        <v>0.16500000000000001</v>
      </c>
      <c r="J834" s="11" t="s">
        <v>1812</v>
      </c>
    </row>
    <row r="835" spans="1:10" ht="13.15" customHeight="1" x14ac:dyDescent="0.25">
      <c r="A835">
        <f t="shared" si="71"/>
        <v>830</v>
      </c>
      <c r="B835" t="s">
        <v>467</v>
      </c>
      <c r="C835" s="2">
        <v>0.45902777777777781</v>
      </c>
      <c r="D835" s="4">
        <f t="shared" si="77"/>
        <v>0.14652777777777781</v>
      </c>
      <c r="E835" s="6">
        <v>0.3125</v>
      </c>
      <c r="F835" s="5">
        <f t="shared" si="78"/>
        <v>0.68078668683812404</v>
      </c>
      <c r="G835" s="5">
        <v>0.90800000000000003</v>
      </c>
      <c r="H835" s="4">
        <f>66/1440</f>
        <v>4.583333333333333E-2</v>
      </c>
      <c r="I835" s="5">
        <v>0.13300000000000001</v>
      </c>
      <c r="J835" s="11" t="s">
        <v>475</v>
      </c>
    </row>
    <row r="836" spans="1:10" ht="13.15" customHeight="1" x14ac:dyDescent="0.25">
      <c r="A836">
        <f t="shared" si="71"/>
        <v>831</v>
      </c>
      <c r="B836" t="s">
        <v>546</v>
      </c>
      <c r="C836" s="2">
        <v>0.43888888888888888</v>
      </c>
      <c r="D836" s="4">
        <f t="shared" si="77"/>
        <v>0.12638888888888888</v>
      </c>
      <c r="E836" s="6">
        <v>0.3125</v>
      </c>
      <c r="F836" s="5">
        <f t="shared" si="78"/>
        <v>0.71202531645569622</v>
      </c>
      <c r="G836" s="5">
        <v>0.78100000000000003</v>
      </c>
      <c r="H836" s="4">
        <f>72.9/1440</f>
        <v>5.0625000000000003E-2</v>
      </c>
      <c r="I836" s="5">
        <v>0.126</v>
      </c>
      <c r="J836" s="11" t="s">
        <v>549</v>
      </c>
    </row>
    <row r="837" spans="1:10" ht="13.15" customHeight="1" x14ac:dyDescent="0.25">
      <c r="A837">
        <f t="shared" si="71"/>
        <v>832</v>
      </c>
      <c r="B837" t="s">
        <v>571</v>
      </c>
      <c r="C837" s="2">
        <v>0.47013888888888888</v>
      </c>
      <c r="D837" s="4">
        <f t="shared" si="77"/>
        <v>0.15763888888888888</v>
      </c>
      <c r="E837" s="6">
        <v>0.3125</v>
      </c>
      <c r="F837" s="5">
        <f t="shared" si="78"/>
        <v>0.66469719350073853</v>
      </c>
      <c r="G837" s="5">
        <v>0.84299999999999997</v>
      </c>
      <c r="H837" s="4">
        <f>63.6/1440</f>
        <v>4.4166666666666667E-2</v>
      </c>
      <c r="I837" s="5">
        <v>0.11899999999999999</v>
      </c>
      <c r="J837" s="11" t="s">
        <v>576</v>
      </c>
    </row>
    <row r="838" spans="1:10" ht="13.15" customHeight="1" x14ac:dyDescent="0.25">
      <c r="A838">
        <f t="shared" si="71"/>
        <v>833</v>
      </c>
      <c r="B838" t="s">
        <v>761</v>
      </c>
      <c r="C838" s="2">
        <v>0.44374999999999998</v>
      </c>
      <c r="D838" s="4">
        <f t="shared" si="77"/>
        <v>0.13124999999999998</v>
      </c>
      <c r="E838" s="6">
        <v>0.3125</v>
      </c>
      <c r="F838" s="5">
        <f t="shared" si="78"/>
        <v>0.70422535211267612</v>
      </c>
      <c r="G838" s="5">
        <v>0.83599999999999997</v>
      </c>
      <c r="H838" s="4">
        <f>69.7/1440</f>
        <v>4.8402777777777781E-2</v>
      </c>
      <c r="I838" s="5">
        <v>0.129</v>
      </c>
      <c r="J838" s="11" t="s">
        <v>764</v>
      </c>
    </row>
    <row r="839" spans="1:10" ht="13.15" customHeight="1" x14ac:dyDescent="0.25">
      <c r="A839">
        <f t="shared" si="71"/>
        <v>834</v>
      </c>
      <c r="B839" t="s">
        <v>1477</v>
      </c>
      <c r="C839" s="2">
        <v>0.44583333333333336</v>
      </c>
      <c r="D839" s="4">
        <f t="shared" si="77"/>
        <v>0.13333333333333336</v>
      </c>
      <c r="E839" s="6">
        <v>0.3125</v>
      </c>
      <c r="F839" s="5">
        <f t="shared" si="78"/>
        <v>0.7009345794392523</v>
      </c>
      <c r="G839" s="5">
        <v>0.82899999999999996</v>
      </c>
      <c r="H839" s="4">
        <f>77.5/1440</f>
        <v>5.3819444444444448E-2</v>
      </c>
      <c r="I839" s="5">
        <v>0.14299999999999999</v>
      </c>
      <c r="J839" s="11" t="s">
        <v>1470</v>
      </c>
    </row>
    <row r="840" spans="1:10" ht="13.15" customHeight="1" x14ac:dyDescent="0.25">
      <c r="A840">
        <f t="shared" si="71"/>
        <v>835</v>
      </c>
      <c r="B840" t="s">
        <v>1744</v>
      </c>
      <c r="C840" s="2">
        <v>0.41736111111111113</v>
      </c>
      <c r="D840" s="4">
        <f t="shared" si="77"/>
        <v>0.10486111111111113</v>
      </c>
      <c r="E840" s="6">
        <v>0.3125</v>
      </c>
      <c r="F840" s="5">
        <f t="shared" si="78"/>
        <v>0.74875207986688852</v>
      </c>
      <c r="G840" s="5">
        <v>1</v>
      </c>
      <c r="H840" s="4">
        <f>69.1/1440</f>
        <v>4.7986111111111104E-2</v>
      </c>
      <c r="I840" s="5">
        <v>0.153</v>
      </c>
      <c r="J840" s="11" t="s">
        <v>1749</v>
      </c>
    </row>
    <row r="841" spans="1:10" ht="13.15" customHeight="1" x14ac:dyDescent="0.25">
      <c r="A841">
        <f t="shared" si="71"/>
        <v>836</v>
      </c>
      <c r="B841" t="s">
        <v>1772</v>
      </c>
      <c r="C841" s="2">
        <v>0.43333333333333335</v>
      </c>
      <c r="D841" s="4">
        <f t="shared" si="77"/>
        <v>0.12083333333333335</v>
      </c>
      <c r="E841" s="6">
        <v>0.3125</v>
      </c>
      <c r="F841" s="5">
        <f t="shared" si="78"/>
        <v>0.72115384615384615</v>
      </c>
      <c r="G841" s="5">
        <v>0.85</v>
      </c>
      <c r="H841" s="4">
        <f>66/1440</f>
        <v>4.583333333333333E-2</v>
      </c>
      <c r="I841" s="5">
        <v>0.125</v>
      </c>
      <c r="J841" s="11" t="s">
        <v>1763</v>
      </c>
    </row>
    <row r="842" spans="1:10" ht="13.15" customHeight="1" x14ac:dyDescent="0.25">
      <c r="A842">
        <f t="shared" si="71"/>
        <v>837</v>
      </c>
      <c r="B842" t="s">
        <v>242</v>
      </c>
      <c r="C842" s="2">
        <v>0.45</v>
      </c>
      <c r="D842" s="4">
        <f t="shared" si="77"/>
        <v>0.13819444444444445</v>
      </c>
      <c r="E842" s="6">
        <v>0.31180555555555556</v>
      </c>
      <c r="F842" s="5">
        <f t="shared" si="78"/>
        <v>0.6929012345679012</v>
      </c>
      <c r="G842" s="5">
        <v>0.79700000000000004</v>
      </c>
      <c r="H842" s="4">
        <f>65.3/1440</f>
        <v>4.5347222222222219E-2</v>
      </c>
      <c r="I842" s="5">
        <v>0.11600000000000001</v>
      </c>
      <c r="J842" s="11" t="s">
        <v>244</v>
      </c>
    </row>
    <row r="843" spans="1:10" ht="13.15" customHeight="1" x14ac:dyDescent="0.25">
      <c r="A843">
        <f t="shared" si="71"/>
        <v>838</v>
      </c>
      <c r="B843" t="s">
        <v>497</v>
      </c>
      <c r="C843" s="2">
        <v>0.44097222222222227</v>
      </c>
      <c r="D843" s="4">
        <f t="shared" si="77"/>
        <v>0.12916666666666671</v>
      </c>
      <c r="E843" s="6">
        <v>0.31180555555555556</v>
      </c>
      <c r="F843" s="5">
        <f t="shared" si="78"/>
        <v>0.70708661417322827</v>
      </c>
      <c r="G843" s="5">
        <v>0.754</v>
      </c>
      <c r="H843" s="4">
        <f>61.6/1440</f>
        <v>4.2777777777777776E-2</v>
      </c>
      <c r="I843" s="5">
        <v>0.104</v>
      </c>
      <c r="J843" s="11" t="s">
        <v>502</v>
      </c>
    </row>
    <row r="844" spans="1:10" ht="13.15" customHeight="1" x14ac:dyDescent="0.25">
      <c r="A844">
        <f t="shared" si="71"/>
        <v>839</v>
      </c>
      <c r="B844" t="s">
        <v>766</v>
      </c>
      <c r="C844" s="2">
        <v>0.42708333333333331</v>
      </c>
      <c r="D844" s="4">
        <f t="shared" si="77"/>
        <v>0.11527777777777776</v>
      </c>
      <c r="E844" s="6">
        <v>0.31180555555555556</v>
      </c>
      <c r="F844" s="5">
        <f t="shared" si="78"/>
        <v>0.73008130081300815</v>
      </c>
      <c r="G844" s="5">
        <v>0.82499999999999996</v>
      </c>
      <c r="H844" s="4">
        <f>67.5/1440</f>
        <v>4.6875E-2</v>
      </c>
      <c r="I844" s="5">
        <v>0.124</v>
      </c>
      <c r="J844" s="11" t="s">
        <v>776</v>
      </c>
    </row>
    <row r="845" spans="1:10" ht="13.15" customHeight="1" x14ac:dyDescent="0.25">
      <c r="A845">
        <f t="shared" si="71"/>
        <v>840</v>
      </c>
      <c r="B845" t="s">
        <v>940</v>
      </c>
      <c r="C845" s="2">
        <v>0.45277777777777778</v>
      </c>
      <c r="D845" s="4">
        <f t="shared" si="77"/>
        <v>0.14097222222222222</v>
      </c>
      <c r="E845" s="6">
        <v>0.31180555555555556</v>
      </c>
      <c r="F845" s="5">
        <f t="shared" si="78"/>
        <v>0.68865030674846628</v>
      </c>
      <c r="G845" s="5">
        <v>0.78900000000000003</v>
      </c>
      <c r="H845" s="4">
        <f>66.4/1440</f>
        <v>4.6111111111111117E-2</v>
      </c>
      <c r="I845" s="5">
        <v>0.11700000000000001</v>
      </c>
      <c r="J845" s="11" t="s">
        <v>937</v>
      </c>
    </row>
    <row r="846" spans="1:10" ht="13.15" customHeight="1" x14ac:dyDescent="0.25">
      <c r="A846">
        <f t="shared" si="71"/>
        <v>841</v>
      </c>
      <c r="B846" t="s">
        <v>1118</v>
      </c>
      <c r="C846" s="2">
        <v>0.42569444444444443</v>
      </c>
      <c r="D846" s="4">
        <f t="shared" si="77"/>
        <v>0.11388888888888887</v>
      </c>
      <c r="E846" s="6">
        <v>0.31180555555555556</v>
      </c>
      <c r="F846" s="5">
        <f t="shared" si="78"/>
        <v>0.73246329526916809</v>
      </c>
      <c r="G846" s="5" t="s">
        <v>1123</v>
      </c>
      <c r="H846" s="4">
        <f>73.7/1440</f>
        <v>5.1180555555555556E-2</v>
      </c>
      <c r="I846" s="5">
        <v>0.13600000000000001</v>
      </c>
      <c r="J846" s="11" t="s">
        <v>1102</v>
      </c>
    </row>
    <row r="847" spans="1:10" ht="13.15" customHeight="1" x14ac:dyDescent="0.25">
      <c r="A847">
        <f t="shared" si="71"/>
        <v>842</v>
      </c>
      <c r="B847" t="s">
        <v>1122</v>
      </c>
      <c r="C847" s="2">
        <v>0.4284722222222222</v>
      </c>
      <c r="D847" s="4">
        <f t="shared" si="77"/>
        <v>0.11666666666666664</v>
      </c>
      <c r="E847" s="6">
        <v>0.31180555555555556</v>
      </c>
      <c r="F847" s="5">
        <f t="shared" si="78"/>
        <v>0.72771474878444087</v>
      </c>
      <c r="G847" s="5">
        <v>0.84599999999999997</v>
      </c>
      <c r="H847" s="4">
        <f>69/1440</f>
        <v>4.791666666666667E-2</v>
      </c>
      <c r="I847" s="5">
        <v>0.13</v>
      </c>
      <c r="J847" s="11" t="s">
        <v>1102</v>
      </c>
    </row>
    <row r="848" spans="1:10" ht="13.15" customHeight="1" x14ac:dyDescent="0.25">
      <c r="A848">
        <f t="shared" si="71"/>
        <v>843</v>
      </c>
      <c r="B848" t="s">
        <v>1156</v>
      </c>
      <c r="C848" s="2">
        <v>0.46944444444444444</v>
      </c>
      <c r="D848" s="4">
        <f t="shared" si="77"/>
        <v>0.15763888888888888</v>
      </c>
      <c r="E848" s="6">
        <v>0.31180555555555556</v>
      </c>
      <c r="F848" s="5">
        <f t="shared" si="78"/>
        <v>0.66420118343195267</v>
      </c>
      <c r="G848" s="5">
        <v>0.83799999999999997</v>
      </c>
      <c r="H848" s="4">
        <f>69.4/1440</f>
        <v>4.8194444444444449E-2</v>
      </c>
      <c r="I848" s="5">
        <v>0.129</v>
      </c>
      <c r="J848" s="11" t="s">
        <v>1147</v>
      </c>
    </row>
    <row r="849" spans="1:10" ht="13.15" customHeight="1" x14ac:dyDescent="0.25">
      <c r="A849">
        <f t="shared" si="71"/>
        <v>844</v>
      </c>
      <c r="B849" t="s">
        <v>1252</v>
      </c>
      <c r="C849" s="2">
        <v>0.40833333333333333</v>
      </c>
      <c r="D849" s="4">
        <v>9.6527777777777768E-2</v>
      </c>
      <c r="E849" s="6">
        <v>0.31180555555555556</v>
      </c>
      <c r="F849" s="5">
        <v>0.76360544217687076</v>
      </c>
      <c r="G849" s="5">
        <v>0.82599999999999996</v>
      </c>
      <c r="H849" s="4">
        <v>4.0625000000000001E-2</v>
      </c>
      <c r="I849" s="5">
        <v>0.107</v>
      </c>
      <c r="J849" s="11" t="s">
        <v>1243</v>
      </c>
    </row>
    <row r="850" spans="1:10" ht="13.15" customHeight="1" x14ac:dyDescent="0.25">
      <c r="A850">
        <f t="shared" si="71"/>
        <v>845</v>
      </c>
      <c r="B850" t="s">
        <v>1263</v>
      </c>
      <c r="C850" s="2">
        <v>0.4152777777777778</v>
      </c>
      <c r="D850" s="4">
        <v>0.10347222222222224</v>
      </c>
      <c r="E850" s="6">
        <v>0.31180555555555556</v>
      </c>
      <c r="F850" s="5">
        <v>0.75083612040133774</v>
      </c>
      <c r="G850" s="5">
        <v>0.82799999999999996</v>
      </c>
      <c r="H850" s="4">
        <v>4.4652777777777777E-2</v>
      </c>
      <c r="I850" s="5">
        <v>0.11899999999999999</v>
      </c>
      <c r="J850" s="11" t="s">
        <v>1245</v>
      </c>
    </row>
    <row r="851" spans="1:10" ht="13.15" customHeight="1" x14ac:dyDescent="0.25">
      <c r="A851">
        <f t="shared" ref="A851:A914" si="79">A850+1</f>
        <v>846</v>
      </c>
      <c r="B851" t="s">
        <v>1301</v>
      </c>
      <c r="C851" s="2">
        <v>0.44166666666666665</v>
      </c>
      <c r="D851" s="4">
        <f>C851-E851</f>
        <v>0.12986111111111109</v>
      </c>
      <c r="E851" s="6">
        <v>0.31180555555555556</v>
      </c>
      <c r="F851" s="5">
        <f t="shared" ref="F851:F882" si="80">E851/C851</f>
        <v>0.70597484276729561</v>
      </c>
      <c r="G851" s="5">
        <v>0.88900000000000001</v>
      </c>
      <c r="H851" s="4">
        <f>60.3/1440</f>
        <v>4.1874999999999996E-2</v>
      </c>
      <c r="I851" s="5">
        <v>0.11899999999999999</v>
      </c>
      <c r="J851" s="11" t="s">
        <v>1289</v>
      </c>
    </row>
    <row r="852" spans="1:10" ht="13.15" customHeight="1" x14ac:dyDescent="0.25">
      <c r="A852">
        <f t="shared" si="79"/>
        <v>847</v>
      </c>
      <c r="B852" t="s">
        <v>1422</v>
      </c>
      <c r="C852" s="2">
        <v>0.42499999999999999</v>
      </c>
      <c r="D852" s="4">
        <v>0.10347222222222222</v>
      </c>
      <c r="E852" s="6">
        <v>0.31180555555555556</v>
      </c>
      <c r="F852" s="5">
        <f t="shared" si="80"/>
        <v>0.73366013071895431</v>
      </c>
      <c r="G852" s="5">
        <v>0.88500000000000001</v>
      </c>
      <c r="H852" s="4">
        <f>74.6/1440</f>
        <v>5.1805555555555549E-2</v>
      </c>
      <c r="I852" s="5">
        <v>0.14699999999999999</v>
      </c>
      <c r="J852" s="11" t="s">
        <v>1415</v>
      </c>
    </row>
    <row r="853" spans="1:10" ht="13.15" customHeight="1" x14ac:dyDescent="0.25">
      <c r="A853">
        <f t="shared" si="79"/>
        <v>848</v>
      </c>
      <c r="B853" t="s">
        <v>46</v>
      </c>
      <c r="C853" s="2">
        <v>0.43611111111111112</v>
      </c>
      <c r="D853" s="4">
        <f t="shared" ref="D853:D896" si="81">C853-E853</f>
        <v>0.125</v>
      </c>
      <c r="E853" s="6">
        <v>0.31111111111111112</v>
      </c>
      <c r="F853" s="5">
        <f t="shared" si="80"/>
        <v>0.7133757961783439</v>
      </c>
      <c r="G853" s="5">
        <v>0.85699999999999998</v>
      </c>
      <c r="H853" s="4">
        <f>80/1440</f>
        <v>5.5555555555555552E-2</v>
      </c>
      <c r="I853" s="5">
        <v>0.153</v>
      </c>
      <c r="J853" s="11" t="s">
        <v>77</v>
      </c>
    </row>
    <row r="854" spans="1:10" ht="13.15" customHeight="1" x14ac:dyDescent="0.25">
      <c r="A854">
        <f t="shared" si="79"/>
        <v>849</v>
      </c>
      <c r="B854" t="s">
        <v>184</v>
      </c>
      <c r="C854" s="2">
        <v>0.44930555555555557</v>
      </c>
      <c r="D854" s="4">
        <f t="shared" si="81"/>
        <v>0.13819444444444445</v>
      </c>
      <c r="E854" s="6">
        <v>0.31111111111111112</v>
      </c>
      <c r="F854" s="5">
        <f t="shared" si="80"/>
        <v>0.69242658423493042</v>
      </c>
      <c r="G854" s="5">
        <v>0.76600000000000001</v>
      </c>
      <c r="H854" s="4">
        <f>70.9/1440</f>
        <v>4.9236111111111112E-2</v>
      </c>
      <c r="I854" s="5">
        <v>0.121</v>
      </c>
      <c r="J854" s="11" t="s">
        <v>185</v>
      </c>
    </row>
    <row r="855" spans="1:10" ht="13.15" customHeight="1" x14ac:dyDescent="0.25">
      <c r="A855">
        <f t="shared" si="79"/>
        <v>850</v>
      </c>
      <c r="B855" t="s">
        <v>641</v>
      </c>
      <c r="C855" s="2">
        <v>0.43263888888888885</v>
      </c>
      <c r="D855" s="4">
        <f t="shared" si="81"/>
        <v>0.12152777777777773</v>
      </c>
      <c r="E855" s="6">
        <v>0.31111111111111112</v>
      </c>
      <c r="F855" s="5">
        <f t="shared" si="80"/>
        <v>0.71910112359550571</v>
      </c>
      <c r="G855" s="5">
        <v>0.79100000000000004</v>
      </c>
      <c r="H855" s="4">
        <f>63.5/1440</f>
        <v>4.4097222222222225E-2</v>
      </c>
      <c r="I855" s="5">
        <v>0.112</v>
      </c>
      <c r="J855" s="11" t="s">
        <v>643</v>
      </c>
    </row>
    <row r="856" spans="1:10" ht="13.15" customHeight="1" x14ac:dyDescent="0.25">
      <c r="A856">
        <f t="shared" si="79"/>
        <v>851</v>
      </c>
      <c r="B856" t="s">
        <v>818</v>
      </c>
      <c r="C856" s="2">
        <v>0.42430555555555555</v>
      </c>
      <c r="D856" s="4">
        <f t="shared" si="81"/>
        <v>0.11319444444444443</v>
      </c>
      <c r="E856" s="6">
        <v>0.31111111111111112</v>
      </c>
      <c r="F856" s="5">
        <f t="shared" si="80"/>
        <v>0.73322422258592479</v>
      </c>
      <c r="G856" s="5">
        <v>0.80300000000000005</v>
      </c>
      <c r="H856" s="4">
        <f>66.9/1440</f>
        <v>4.6458333333333338E-2</v>
      </c>
      <c r="I856" s="5">
        <v>0.12</v>
      </c>
      <c r="J856" s="11" t="s">
        <v>822</v>
      </c>
    </row>
    <row r="857" spans="1:10" ht="13.15" customHeight="1" x14ac:dyDescent="0.25">
      <c r="A857">
        <f t="shared" si="79"/>
        <v>852</v>
      </c>
      <c r="B857" t="s">
        <v>828</v>
      </c>
      <c r="C857" s="2">
        <v>0.44305555555555554</v>
      </c>
      <c r="D857" s="4">
        <f t="shared" si="81"/>
        <v>0.13194444444444442</v>
      </c>
      <c r="E857" s="6">
        <v>0.31111111111111112</v>
      </c>
      <c r="F857" s="5">
        <f t="shared" si="80"/>
        <v>0.70219435736677116</v>
      </c>
      <c r="G857" s="5">
        <v>0.78100000000000003</v>
      </c>
      <c r="H857" s="4">
        <f>69.2/1440</f>
        <v>4.805555555555556E-2</v>
      </c>
      <c r="I857" s="5">
        <v>0.12</v>
      </c>
      <c r="J857" s="11" t="s">
        <v>823</v>
      </c>
    </row>
    <row r="858" spans="1:10" ht="13.15" customHeight="1" x14ac:dyDescent="0.25">
      <c r="A858">
        <f t="shared" si="79"/>
        <v>853</v>
      </c>
      <c r="B858" t="s">
        <v>907</v>
      </c>
      <c r="C858" s="2">
        <v>0.45347222222222222</v>
      </c>
      <c r="D858" s="4">
        <f t="shared" si="81"/>
        <v>0.1423611111111111</v>
      </c>
      <c r="E858" s="6">
        <v>0.31111111111111112</v>
      </c>
      <c r="F858" s="5">
        <f t="shared" si="80"/>
        <v>0.68606431852986216</v>
      </c>
      <c r="G858" s="5">
        <v>0.78700000000000003</v>
      </c>
      <c r="H858" s="4">
        <f>73.2/1440</f>
        <v>5.0833333333333335E-2</v>
      </c>
      <c r="I858" s="5">
        <v>0.129</v>
      </c>
      <c r="J858" s="11" t="s">
        <v>904</v>
      </c>
    </row>
    <row r="859" spans="1:10" ht="13.15" customHeight="1" x14ac:dyDescent="0.25">
      <c r="A859">
        <f t="shared" si="79"/>
        <v>854</v>
      </c>
      <c r="B859" t="s">
        <v>984</v>
      </c>
      <c r="C859" s="2">
        <v>0.42638888888888887</v>
      </c>
      <c r="D859" s="4">
        <f t="shared" si="81"/>
        <v>0.11527777777777776</v>
      </c>
      <c r="E859" s="6">
        <v>0.31111111111111112</v>
      </c>
      <c r="F859" s="5">
        <f t="shared" si="80"/>
        <v>0.72964169381107491</v>
      </c>
      <c r="G859" s="5">
        <v>0.80800000000000005</v>
      </c>
      <c r="H859" s="4">
        <f>62/1440</f>
        <v>4.3055555555555555E-2</v>
      </c>
      <c r="I859" s="5">
        <v>0.112</v>
      </c>
      <c r="J859" s="11" t="s">
        <v>990</v>
      </c>
    </row>
    <row r="860" spans="1:10" ht="13.15" customHeight="1" x14ac:dyDescent="0.25">
      <c r="A860">
        <f t="shared" si="79"/>
        <v>855</v>
      </c>
      <c r="B860" t="s">
        <v>1084</v>
      </c>
      <c r="C860" s="2">
        <v>0.42916666666666664</v>
      </c>
      <c r="D860" s="4">
        <f t="shared" si="81"/>
        <v>0.11805555555555552</v>
      </c>
      <c r="E860" s="6">
        <v>0.31111111111111112</v>
      </c>
      <c r="F860" s="5">
        <f t="shared" si="80"/>
        <v>0.72491909385113273</v>
      </c>
      <c r="G860" s="5">
        <v>0.82199999999999995</v>
      </c>
      <c r="H860" s="4">
        <f>66.1/1440</f>
        <v>4.5902777777777772E-2</v>
      </c>
      <c r="I860" s="5">
        <v>0.121</v>
      </c>
      <c r="J860" s="11" t="s">
        <v>1074</v>
      </c>
    </row>
    <row r="861" spans="1:10" ht="13.15" customHeight="1" x14ac:dyDescent="0.25">
      <c r="A861">
        <f t="shared" si="79"/>
        <v>856</v>
      </c>
      <c r="B861" t="s">
        <v>1455</v>
      </c>
      <c r="C861" s="2">
        <v>0.41180555555555554</v>
      </c>
      <c r="D861" s="4">
        <f t="shared" si="81"/>
        <v>0.10069444444444442</v>
      </c>
      <c r="E861" s="6">
        <v>0.31111111111111112</v>
      </c>
      <c r="F861" s="5">
        <f t="shared" si="80"/>
        <v>0.75548060708263076</v>
      </c>
      <c r="G861" s="5">
        <v>0.84199999999999997</v>
      </c>
      <c r="H861" s="4">
        <f>68.3/1440</f>
        <v>4.7430555555555552E-2</v>
      </c>
      <c r="I861" s="5">
        <v>0.128</v>
      </c>
      <c r="J861" s="11" t="s">
        <v>1441</v>
      </c>
    </row>
    <row r="862" spans="1:10" ht="13.15" customHeight="1" x14ac:dyDescent="0.25">
      <c r="A862">
        <f t="shared" si="79"/>
        <v>857</v>
      </c>
      <c r="B862" t="s">
        <v>1488</v>
      </c>
      <c r="C862" s="2">
        <v>0.42569444444444443</v>
      </c>
      <c r="D862" s="4">
        <f t="shared" si="81"/>
        <v>0.11458333333333331</v>
      </c>
      <c r="E862" s="6">
        <v>0.31111111111111112</v>
      </c>
      <c r="F862" s="5">
        <f t="shared" si="80"/>
        <v>0.73083197389885812</v>
      </c>
      <c r="G862" s="5">
        <v>0.751</v>
      </c>
      <c r="H862" s="4">
        <f>57.9/1440</f>
        <v>4.0208333333333332E-2</v>
      </c>
      <c r="I862" s="5">
        <v>9.7000000000000003E-2</v>
      </c>
      <c r="J862" s="11" t="s">
        <v>1486</v>
      </c>
    </row>
    <row r="863" spans="1:10" ht="13.15" customHeight="1" x14ac:dyDescent="0.25">
      <c r="A863">
        <f t="shared" si="79"/>
        <v>858</v>
      </c>
      <c r="B863" t="s">
        <v>349</v>
      </c>
      <c r="C863" s="2">
        <v>0.4368055555555555</v>
      </c>
      <c r="D863" s="4">
        <f t="shared" si="81"/>
        <v>0.12638888888888883</v>
      </c>
      <c r="E863" s="6">
        <v>0.31041666666666667</v>
      </c>
      <c r="F863" s="5">
        <f t="shared" si="80"/>
        <v>0.71065182829888718</v>
      </c>
      <c r="G863" s="5">
        <v>0.76300000000000001</v>
      </c>
      <c r="H863" s="4">
        <f>71.4/1440</f>
        <v>4.958333333333334E-2</v>
      </c>
      <c r="I863" s="5">
        <v>0.122</v>
      </c>
      <c r="J863" s="11" t="s">
        <v>350</v>
      </c>
    </row>
    <row r="864" spans="1:10" ht="13.15" customHeight="1" x14ac:dyDescent="0.25">
      <c r="A864">
        <f t="shared" si="79"/>
        <v>859</v>
      </c>
      <c r="B864" t="s">
        <v>354</v>
      </c>
      <c r="C864" s="2">
        <v>0.44236111111111115</v>
      </c>
      <c r="D864" s="4">
        <f t="shared" si="81"/>
        <v>0.13194444444444448</v>
      </c>
      <c r="E864" s="6">
        <v>0.31041666666666667</v>
      </c>
      <c r="F864" s="5">
        <f t="shared" si="80"/>
        <v>0.70172684458398737</v>
      </c>
      <c r="G864" s="5">
        <v>0.84899999999999998</v>
      </c>
      <c r="H864" s="4">
        <f>75.6/1440</f>
        <v>5.2499999999999998E-2</v>
      </c>
      <c r="I864" s="5">
        <v>0.14299999999999999</v>
      </c>
      <c r="J864" s="11" t="s">
        <v>364</v>
      </c>
    </row>
    <row r="865" spans="1:10" ht="13.15" customHeight="1" x14ac:dyDescent="0.25">
      <c r="A865">
        <f t="shared" si="79"/>
        <v>860</v>
      </c>
      <c r="B865" t="s">
        <v>659</v>
      </c>
      <c r="C865" s="2">
        <v>0.43055555555555558</v>
      </c>
      <c r="D865" s="4">
        <f t="shared" si="81"/>
        <v>0.12013888888888891</v>
      </c>
      <c r="E865" s="6">
        <v>0.31041666666666667</v>
      </c>
      <c r="F865" s="5">
        <f t="shared" si="80"/>
        <v>0.72096774193548385</v>
      </c>
      <c r="G865" s="5">
        <v>0.83</v>
      </c>
      <c r="H865" s="4">
        <f>65.8/1440</f>
        <v>4.569444444444444E-2</v>
      </c>
      <c r="I865" s="5">
        <v>0.122</v>
      </c>
      <c r="J865" s="11" t="s">
        <v>663</v>
      </c>
    </row>
    <row r="866" spans="1:10" ht="13.15" customHeight="1" x14ac:dyDescent="0.25">
      <c r="A866">
        <f t="shared" si="79"/>
        <v>861</v>
      </c>
      <c r="B866" t="s">
        <v>733</v>
      </c>
      <c r="C866" s="2">
        <v>0.45624999999999999</v>
      </c>
      <c r="D866" s="4">
        <f t="shared" si="81"/>
        <v>0.14583333333333331</v>
      </c>
      <c r="E866" s="6">
        <v>0.31041666666666667</v>
      </c>
      <c r="F866" s="5">
        <f t="shared" si="80"/>
        <v>0.68036529680365299</v>
      </c>
      <c r="G866" s="5">
        <v>0.84299999999999997</v>
      </c>
      <c r="H866" s="4">
        <f>66.6/1440</f>
        <v>4.6249999999999999E-2</v>
      </c>
      <c r="I866" s="5">
        <v>0.126</v>
      </c>
      <c r="J866" s="11" t="s">
        <v>737</v>
      </c>
    </row>
    <row r="867" spans="1:10" ht="13.15" customHeight="1" x14ac:dyDescent="0.25">
      <c r="A867">
        <f t="shared" si="79"/>
        <v>862</v>
      </c>
      <c r="B867" t="s">
        <v>820</v>
      </c>
      <c r="C867" s="2">
        <v>0.42499999999999999</v>
      </c>
      <c r="D867" s="4">
        <f t="shared" si="81"/>
        <v>0.11458333333333331</v>
      </c>
      <c r="E867" s="6">
        <v>0.31041666666666667</v>
      </c>
      <c r="F867" s="5">
        <f t="shared" si="80"/>
        <v>0.73039215686274517</v>
      </c>
      <c r="G867" s="5">
        <v>0.81</v>
      </c>
      <c r="H867" s="4">
        <f>71.3/1440</f>
        <v>4.9513888888888885E-2</v>
      </c>
      <c r="I867" s="5">
        <v>0.129</v>
      </c>
      <c r="J867" s="11" t="s">
        <v>822</v>
      </c>
    </row>
    <row r="868" spans="1:10" ht="13.15" customHeight="1" x14ac:dyDescent="0.25">
      <c r="A868">
        <f t="shared" si="79"/>
        <v>863</v>
      </c>
      <c r="B868" t="s">
        <v>829</v>
      </c>
      <c r="C868" s="2">
        <v>0.42638888888888887</v>
      </c>
      <c r="D868" s="4">
        <f t="shared" si="81"/>
        <v>0.1159722222222222</v>
      </c>
      <c r="E868" s="6">
        <v>0.31041666666666667</v>
      </c>
      <c r="F868" s="5">
        <f t="shared" si="80"/>
        <v>0.7280130293159609</v>
      </c>
      <c r="G868" s="5">
        <v>0.80700000000000005</v>
      </c>
      <c r="H868" s="4">
        <f>70.2/1440</f>
        <v>4.8750000000000002E-2</v>
      </c>
      <c r="I868" s="5">
        <v>0.127</v>
      </c>
      <c r="J868" s="11" t="s">
        <v>839</v>
      </c>
    </row>
    <row r="869" spans="1:10" ht="13.15" customHeight="1" x14ac:dyDescent="0.25">
      <c r="A869">
        <f t="shared" si="79"/>
        <v>864</v>
      </c>
      <c r="B869" t="s">
        <v>873</v>
      </c>
      <c r="C869" s="2">
        <v>0.4284722222222222</v>
      </c>
      <c r="D869" s="4">
        <f t="shared" si="81"/>
        <v>0.11805555555555552</v>
      </c>
      <c r="E869" s="6">
        <v>0.31041666666666667</v>
      </c>
      <c r="F869" s="5">
        <f t="shared" si="80"/>
        <v>0.72447325769854143</v>
      </c>
      <c r="G869" s="5">
        <v>0.72799999999999998</v>
      </c>
      <c r="H869" s="4">
        <f>55.7/1440</f>
        <v>3.8680555555555558E-2</v>
      </c>
      <c r="I869" s="5">
        <v>0.09</v>
      </c>
      <c r="J869" s="11" t="s">
        <v>878</v>
      </c>
    </row>
    <row r="870" spans="1:10" ht="13.15" customHeight="1" x14ac:dyDescent="0.25">
      <c r="A870">
        <f t="shared" si="79"/>
        <v>865</v>
      </c>
      <c r="B870" t="s">
        <v>895</v>
      </c>
      <c r="C870" s="2">
        <v>0.46944444444444444</v>
      </c>
      <c r="D870" s="4">
        <f t="shared" si="81"/>
        <v>0.15902777777777777</v>
      </c>
      <c r="E870" s="6">
        <v>0.31041666666666667</v>
      </c>
      <c r="F870" s="5">
        <f t="shared" si="80"/>
        <v>0.66124260355029585</v>
      </c>
      <c r="G870" s="5">
        <v>0.78700000000000003</v>
      </c>
      <c r="H870" s="4">
        <f>62.4/1440</f>
        <v>4.3333333333333335E-2</v>
      </c>
      <c r="I870" s="5">
        <v>0.11</v>
      </c>
      <c r="J870" s="11" t="s">
        <v>896</v>
      </c>
    </row>
    <row r="871" spans="1:10" ht="13.15" customHeight="1" x14ac:dyDescent="0.25">
      <c r="A871">
        <f t="shared" si="79"/>
        <v>866</v>
      </c>
      <c r="B871" t="s">
        <v>951</v>
      </c>
      <c r="C871" s="2">
        <v>0.4284722222222222</v>
      </c>
      <c r="D871" s="4">
        <f t="shared" si="81"/>
        <v>0.11805555555555552</v>
      </c>
      <c r="E871" s="6">
        <v>0.31041666666666667</v>
      </c>
      <c r="F871" s="5">
        <f t="shared" si="80"/>
        <v>0.72447325769854143</v>
      </c>
      <c r="G871" s="5">
        <v>0.76500000000000001</v>
      </c>
      <c r="H871" s="4">
        <f>55.1/1440</f>
        <v>3.8263888888888889E-2</v>
      </c>
      <c r="I871" s="5">
        <v>9.4E-2</v>
      </c>
      <c r="J871" s="11" t="s">
        <v>953</v>
      </c>
    </row>
    <row r="872" spans="1:10" ht="13.15" customHeight="1" x14ac:dyDescent="0.25">
      <c r="A872">
        <f t="shared" si="79"/>
        <v>867</v>
      </c>
      <c r="B872" t="s">
        <v>1373</v>
      </c>
      <c r="C872" s="2">
        <v>0.4201388888888889</v>
      </c>
      <c r="D872" s="4">
        <f t="shared" si="81"/>
        <v>0.10972222222222222</v>
      </c>
      <c r="E872" s="6">
        <v>0.31041666666666667</v>
      </c>
      <c r="F872" s="5">
        <f t="shared" si="80"/>
        <v>0.73884297520661157</v>
      </c>
      <c r="G872" s="5">
        <v>0.81699999999999995</v>
      </c>
      <c r="H872" s="4">
        <f>64.7/1440</f>
        <v>4.4930555555555557E-2</v>
      </c>
      <c r="I872" s="5">
        <v>0.11799999999999999</v>
      </c>
      <c r="J872" s="11" t="s">
        <v>1366</v>
      </c>
    </row>
    <row r="873" spans="1:10" ht="13.15" customHeight="1" x14ac:dyDescent="0.25">
      <c r="A873">
        <f t="shared" si="79"/>
        <v>868</v>
      </c>
      <c r="B873" t="s">
        <v>1457</v>
      </c>
      <c r="C873" s="2">
        <v>0.43611111111111112</v>
      </c>
      <c r="D873" s="4">
        <f t="shared" si="81"/>
        <v>0.12569444444444444</v>
      </c>
      <c r="E873" s="6">
        <v>0.31041666666666667</v>
      </c>
      <c r="F873" s="5">
        <f t="shared" si="80"/>
        <v>0.71178343949044587</v>
      </c>
      <c r="G873" s="5">
        <v>0.83299999999999996</v>
      </c>
      <c r="H873" s="4">
        <f>66.2/1440</f>
        <v>4.5972222222222227E-2</v>
      </c>
      <c r="I873" s="5">
        <v>0.123</v>
      </c>
      <c r="J873" s="11" t="s">
        <v>1441</v>
      </c>
    </row>
    <row r="874" spans="1:10" ht="13.15" customHeight="1" x14ac:dyDescent="0.25">
      <c r="A874">
        <f t="shared" si="79"/>
        <v>869</v>
      </c>
      <c r="B874" t="s">
        <v>1607</v>
      </c>
      <c r="C874" s="2">
        <v>0.42986111111111114</v>
      </c>
      <c r="D874" s="4">
        <f t="shared" si="81"/>
        <v>0.11944444444444446</v>
      </c>
      <c r="E874" s="6">
        <v>0.31041666666666667</v>
      </c>
      <c r="F874" s="5">
        <f t="shared" si="80"/>
        <v>0.72213247172859452</v>
      </c>
      <c r="G874" s="5">
        <v>0.82799999999999996</v>
      </c>
      <c r="H874" s="4">
        <f>73/1440</f>
        <v>5.0694444444444445E-2</v>
      </c>
      <c r="I874" s="5">
        <v>0.13500000000000001</v>
      </c>
      <c r="J874" s="11" t="s">
        <v>1601</v>
      </c>
    </row>
    <row r="875" spans="1:10" ht="13.15" customHeight="1" x14ac:dyDescent="0.25">
      <c r="A875">
        <f t="shared" si="79"/>
        <v>870</v>
      </c>
      <c r="B875" t="s">
        <v>992</v>
      </c>
      <c r="C875" s="2">
        <v>0.45</v>
      </c>
      <c r="D875" s="4">
        <f t="shared" si="81"/>
        <v>0.14027777777777778</v>
      </c>
      <c r="E875" s="6">
        <v>0.30972222222222223</v>
      </c>
      <c r="F875" s="5">
        <f t="shared" si="80"/>
        <v>0.68827160493827166</v>
      </c>
      <c r="G875" s="5">
        <v>0.80900000000000005</v>
      </c>
      <c r="H875" s="4">
        <f>57.3/1440</f>
        <v>3.9791666666666663E-2</v>
      </c>
      <c r="I875" s="5">
        <v>0.104</v>
      </c>
      <c r="J875" s="11" t="s">
        <v>990</v>
      </c>
    </row>
    <row r="876" spans="1:10" ht="13.15" customHeight="1" x14ac:dyDescent="0.25">
      <c r="A876">
        <f t="shared" si="79"/>
        <v>871</v>
      </c>
      <c r="B876" t="s">
        <v>1333</v>
      </c>
      <c r="C876" s="2">
        <v>0.42430555555555555</v>
      </c>
      <c r="D876" s="4">
        <f t="shared" si="81"/>
        <v>0.11458333333333331</v>
      </c>
      <c r="E876" s="6">
        <v>0.30972222222222223</v>
      </c>
      <c r="F876" s="5">
        <f t="shared" si="80"/>
        <v>0.72995090016366615</v>
      </c>
      <c r="G876" s="5">
        <v>0.81699999999999995</v>
      </c>
      <c r="H876" s="4">
        <f>65.1/1440</f>
        <v>4.520833333333333E-2</v>
      </c>
      <c r="I876" s="5">
        <v>0.11899999999999999</v>
      </c>
      <c r="J876" s="11" t="s">
        <v>1334</v>
      </c>
    </row>
    <row r="877" spans="1:10" ht="13.15" customHeight="1" x14ac:dyDescent="0.25">
      <c r="A877">
        <f t="shared" si="79"/>
        <v>872</v>
      </c>
      <c r="B877" t="s">
        <v>1345</v>
      </c>
      <c r="C877" s="2">
        <v>0.40625</v>
      </c>
      <c r="D877" s="4">
        <f t="shared" si="81"/>
        <v>9.6527777777777768E-2</v>
      </c>
      <c r="E877" s="6">
        <v>0.30972222222222223</v>
      </c>
      <c r="F877" s="5">
        <f t="shared" si="80"/>
        <v>0.76239316239316246</v>
      </c>
      <c r="G877" s="5">
        <v>0.82899999999999996</v>
      </c>
      <c r="H877" s="4">
        <f>66.8/1440</f>
        <v>4.6388888888888889E-2</v>
      </c>
      <c r="I877" s="5">
        <v>0.124</v>
      </c>
      <c r="J877" s="11" t="s">
        <v>1346</v>
      </c>
    </row>
    <row r="878" spans="1:10" ht="13.15" customHeight="1" x14ac:dyDescent="0.25">
      <c r="A878">
        <f t="shared" si="79"/>
        <v>873</v>
      </c>
      <c r="B878" t="s">
        <v>435</v>
      </c>
      <c r="C878" s="2">
        <v>0.48819444444444443</v>
      </c>
      <c r="D878" s="4">
        <f t="shared" si="81"/>
        <v>0.17916666666666664</v>
      </c>
      <c r="E878" s="6">
        <v>0.30902777777777779</v>
      </c>
      <c r="F878" s="5">
        <f t="shared" si="80"/>
        <v>0.63300142247510671</v>
      </c>
      <c r="G878" s="5">
        <v>0.76800000000000002</v>
      </c>
      <c r="H878" s="4">
        <f>85.9/1440</f>
        <v>5.9652777777777784E-2</v>
      </c>
      <c r="I878" s="5">
        <v>0.14799999999999999</v>
      </c>
      <c r="J878" s="11" t="s">
        <v>438</v>
      </c>
    </row>
    <row r="879" spans="1:10" ht="13.15" customHeight="1" x14ac:dyDescent="0.25">
      <c r="A879">
        <f t="shared" si="79"/>
        <v>874</v>
      </c>
      <c r="B879" t="s">
        <v>651</v>
      </c>
      <c r="C879" s="2">
        <v>0.41944444444444445</v>
      </c>
      <c r="D879" s="4">
        <f t="shared" si="81"/>
        <v>0.11041666666666666</v>
      </c>
      <c r="E879" s="6">
        <v>0.30902777777777779</v>
      </c>
      <c r="F879" s="5">
        <f t="shared" si="80"/>
        <v>0.73675496688741726</v>
      </c>
      <c r="G879" s="5">
        <v>0.80900000000000005</v>
      </c>
      <c r="H879" s="4">
        <f>68.5/1440</f>
        <v>4.7569444444444442E-2</v>
      </c>
      <c r="I879" s="5">
        <v>0.125</v>
      </c>
      <c r="J879" s="11" t="s">
        <v>652</v>
      </c>
    </row>
    <row r="880" spans="1:10" ht="13.15" customHeight="1" x14ac:dyDescent="0.25">
      <c r="A880">
        <f t="shared" si="79"/>
        <v>875</v>
      </c>
      <c r="B880" t="s">
        <v>762</v>
      </c>
      <c r="C880" s="2">
        <v>0.41944444444444445</v>
      </c>
      <c r="D880" s="4">
        <f t="shared" si="81"/>
        <v>0.11041666666666666</v>
      </c>
      <c r="E880" s="6">
        <v>0.30902777777777779</v>
      </c>
      <c r="F880" s="5">
        <f t="shared" si="80"/>
        <v>0.73675496688741726</v>
      </c>
      <c r="G880" s="5">
        <v>0.83199999999999996</v>
      </c>
      <c r="H880" s="4">
        <f>67.1/1440</f>
        <v>4.659722222222222E-2</v>
      </c>
      <c r="I880" s="5">
        <v>0.125</v>
      </c>
      <c r="J880" s="11" t="s">
        <v>764</v>
      </c>
    </row>
    <row r="881" spans="1:10" ht="13.15" customHeight="1" x14ac:dyDescent="0.25">
      <c r="A881">
        <f t="shared" si="79"/>
        <v>876</v>
      </c>
      <c r="B881" t="s">
        <v>791</v>
      </c>
      <c r="C881" s="2">
        <v>0.43541666666666667</v>
      </c>
      <c r="D881" s="4">
        <f t="shared" si="81"/>
        <v>0.12638888888888888</v>
      </c>
      <c r="E881" s="6">
        <v>0.30902777777777779</v>
      </c>
      <c r="F881" s="5">
        <f t="shared" si="80"/>
        <v>0.70972886762360443</v>
      </c>
      <c r="G881" s="5">
        <v>0.77600000000000002</v>
      </c>
      <c r="H881" s="4">
        <f>55/1440</f>
        <v>3.8194444444444448E-2</v>
      </c>
      <c r="I881" s="5">
        <v>9.6000000000000002E-2</v>
      </c>
      <c r="J881" s="11" t="s">
        <v>794</v>
      </c>
    </row>
    <row r="882" spans="1:10" ht="13.15" customHeight="1" x14ac:dyDescent="0.25">
      <c r="A882">
        <f t="shared" si="79"/>
        <v>877</v>
      </c>
      <c r="B882" t="s">
        <v>893</v>
      </c>
      <c r="C882" s="2">
        <v>0.43402777777777779</v>
      </c>
      <c r="D882" s="4">
        <f t="shared" si="81"/>
        <v>0.125</v>
      </c>
      <c r="E882" s="6">
        <v>0.30902777777777779</v>
      </c>
      <c r="F882" s="5">
        <f t="shared" si="80"/>
        <v>0.71199999999999997</v>
      </c>
      <c r="G882" s="5">
        <v>0.82499999999999996</v>
      </c>
      <c r="H882" s="4">
        <f>60.2/1440</f>
        <v>4.1805555555555554E-2</v>
      </c>
      <c r="I882" s="5">
        <v>0.112</v>
      </c>
      <c r="J882" s="11" t="s">
        <v>896</v>
      </c>
    </row>
    <row r="883" spans="1:10" ht="13.15" customHeight="1" x14ac:dyDescent="0.25">
      <c r="A883">
        <f t="shared" si="79"/>
        <v>878</v>
      </c>
      <c r="B883" t="s">
        <v>933</v>
      </c>
      <c r="C883" s="2">
        <v>0.41736111111111113</v>
      </c>
      <c r="D883" s="4">
        <f t="shared" si="81"/>
        <v>0.10833333333333334</v>
      </c>
      <c r="E883" s="6">
        <v>0.30902777777777779</v>
      </c>
      <c r="F883" s="5">
        <f t="shared" ref="F883:F914" si="82">E883/C883</f>
        <v>0.74043261231281199</v>
      </c>
      <c r="G883" s="5">
        <v>0.85799999999999998</v>
      </c>
      <c r="H883" s="4">
        <f>69.5/1440</f>
        <v>4.8263888888888891E-2</v>
      </c>
      <c r="I883" s="5">
        <v>0.13400000000000001</v>
      </c>
      <c r="J883" s="11" t="s">
        <v>935</v>
      </c>
    </row>
    <row r="884" spans="1:10" ht="13.15" customHeight="1" x14ac:dyDescent="0.25">
      <c r="A884">
        <f t="shared" si="79"/>
        <v>879</v>
      </c>
      <c r="B884" t="s">
        <v>1089</v>
      </c>
      <c r="C884" s="2">
        <v>0.42291666666666666</v>
      </c>
      <c r="D884" s="4">
        <f t="shared" si="81"/>
        <v>0.11388888888888887</v>
      </c>
      <c r="E884" s="6">
        <v>0.30902777777777779</v>
      </c>
      <c r="F884" s="5">
        <f t="shared" si="82"/>
        <v>0.73070607553366174</v>
      </c>
      <c r="G884" s="5">
        <v>0.81799999999999995</v>
      </c>
      <c r="H884" s="4">
        <f>70.6/1440</f>
        <v>4.9027777777777774E-2</v>
      </c>
      <c r="I884" s="5">
        <v>0.13</v>
      </c>
      <c r="J884" s="11" t="s">
        <v>1075</v>
      </c>
    </row>
    <row r="885" spans="1:10" ht="13.15" customHeight="1" x14ac:dyDescent="0.25">
      <c r="A885">
        <f t="shared" si="79"/>
        <v>880</v>
      </c>
      <c r="B885" t="s">
        <v>1634</v>
      </c>
      <c r="C885" s="2">
        <v>0.39444444444444443</v>
      </c>
      <c r="D885" s="4">
        <f t="shared" si="81"/>
        <v>8.5416666666666641E-2</v>
      </c>
      <c r="E885" s="6">
        <v>0.30902777777777779</v>
      </c>
      <c r="F885" s="5">
        <f t="shared" si="82"/>
        <v>0.78345070422535212</v>
      </c>
      <c r="G885" s="5">
        <v>0.83</v>
      </c>
      <c r="H885" s="4">
        <f>68.4/1440</f>
        <v>4.7500000000000001E-2</v>
      </c>
      <c r="I885" s="5">
        <v>0.128</v>
      </c>
      <c r="J885" s="11" t="s">
        <v>1625</v>
      </c>
    </row>
    <row r="886" spans="1:10" ht="13.15" customHeight="1" x14ac:dyDescent="0.25">
      <c r="A886">
        <f t="shared" si="79"/>
        <v>881</v>
      </c>
      <c r="B886" t="s">
        <v>295</v>
      </c>
      <c r="C886" s="2">
        <v>0.43055555555555558</v>
      </c>
      <c r="D886" s="4">
        <f t="shared" si="81"/>
        <v>0.12222222222222223</v>
      </c>
      <c r="E886" s="6">
        <v>0.30833333333333335</v>
      </c>
      <c r="F886" s="5">
        <f t="shared" si="82"/>
        <v>0.71612903225806446</v>
      </c>
      <c r="G886" s="5">
        <v>0.68200000000000005</v>
      </c>
      <c r="H886" s="4">
        <f>69.8/1440</f>
        <v>4.8472222222222222E-2</v>
      </c>
      <c r="I886" s="5">
        <v>0.107</v>
      </c>
      <c r="J886" s="11" t="s">
        <v>296</v>
      </c>
    </row>
    <row r="887" spans="1:10" ht="13.15" customHeight="1" x14ac:dyDescent="0.25">
      <c r="A887">
        <f t="shared" si="79"/>
        <v>882</v>
      </c>
      <c r="B887" t="s">
        <v>436</v>
      </c>
      <c r="C887" s="2">
        <v>0.42430555555555555</v>
      </c>
      <c r="D887" s="4">
        <f t="shared" si="81"/>
        <v>0.1159722222222222</v>
      </c>
      <c r="E887" s="6">
        <v>0.30833333333333335</v>
      </c>
      <c r="F887" s="5">
        <f t="shared" si="82"/>
        <v>0.72667757774140762</v>
      </c>
      <c r="G887" s="5">
        <v>0.83599999999999997</v>
      </c>
      <c r="H887" s="4">
        <f>70.2/1440</f>
        <v>4.8750000000000002E-2</v>
      </c>
      <c r="I887" s="5">
        <v>0.13200000000000001</v>
      </c>
      <c r="J887" s="11" t="s">
        <v>437</v>
      </c>
    </row>
    <row r="888" spans="1:10" ht="13.15" customHeight="1" x14ac:dyDescent="0.25">
      <c r="A888">
        <f t="shared" si="79"/>
        <v>883</v>
      </c>
      <c r="B888" t="s">
        <v>769</v>
      </c>
      <c r="C888" s="2">
        <v>0.43472222222222223</v>
      </c>
      <c r="D888" s="4">
        <f t="shared" si="81"/>
        <v>0.12638888888888888</v>
      </c>
      <c r="E888" s="6">
        <v>0.30833333333333335</v>
      </c>
      <c r="F888" s="5">
        <f t="shared" si="82"/>
        <v>0.70926517571884984</v>
      </c>
      <c r="G888" s="5">
        <v>0.84199999999999997</v>
      </c>
      <c r="H888" s="4">
        <f>71/1440</f>
        <v>4.9305555555555554E-2</v>
      </c>
      <c r="I888" s="5">
        <v>0.13400000000000001</v>
      </c>
      <c r="J888" s="11" t="s">
        <v>776</v>
      </c>
    </row>
    <row r="889" spans="1:10" ht="13.15" customHeight="1" x14ac:dyDescent="0.25">
      <c r="A889">
        <f t="shared" si="79"/>
        <v>884</v>
      </c>
      <c r="B889" t="s">
        <v>811</v>
      </c>
      <c r="C889" s="2">
        <v>0.43333333333333335</v>
      </c>
      <c r="D889" s="4">
        <f t="shared" si="81"/>
        <v>0.125</v>
      </c>
      <c r="E889" s="6">
        <v>0.30833333333333335</v>
      </c>
      <c r="F889" s="5">
        <f t="shared" si="82"/>
        <v>0.71153846153846156</v>
      </c>
      <c r="G889" s="5">
        <v>0.81100000000000005</v>
      </c>
      <c r="H889" s="4">
        <f>65.8/1440</f>
        <v>4.569444444444444E-2</v>
      </c>
      <c r="I889" s="5">
        <v>0.12</v>
      </c>
      <c r="J889" s="11" t="s">
        <v>814</v>
      </c>
    </row>
    <row r="890" spans="1:10" ht="13.15" customHeight="1" x14ac:dyDescent="0.25">
      <c r="A890">
        <f t="shared" si="79"/>
        <v>885</v>
      </c>
      <c r="B890" t="s">
        <v>812</v>
      </c>
      <c r="C890" s="2">
        <v>0.44027777777777777</v>
      </c>
      <c r="D890" s="4">
        <f t="shared" si="81"/>
        <v>0.13194444444444442</v>
      </c>
      <c r="E890" s="6">
        <v>0.30833333333333335</v>
      </c>
      <c r="F890" s="5">
        <f t="shared" si="82"/>
        <v>0.7003154574132493</v>
      </c>
      <c r="G890" s="5">
        <v>0.83499999999999996</v>
      </c>
      <c r="H890" s="4">
        <f>68.3/1440</f>
        <v>4.7430555555555552E-2</v>
      </c>
      <c r="I890" s="5">
        <v>0.128</v>
      </c>
      <c r="J890" s="11" t="s">
        <v>814</v>
      </c>
    </row>
    <row r="891" spans="1:10" ht="13.15" customHeight="1" x14ac:dyDescent="0.25">
      <c r="A891">
        <f t="shared" si="79"/>
        <v>886</v>
      </c>
      <c r="B891" t="s">
        <v>969</v>
      </c>
      <c r="C891" s="2">
        <v>0.41666666666666669</v>
      </c>
      <c r="D891" s="4">
        <f t="shared" si="81"/>
        <v>0.10833333333333334</v>
      </c>
      <c r="E891" s="6">
        <v>0.30833333333333335</v>
      </c>
      <c r="F891" s="5">
        <f t="shared" si="82"/>
        <v>0.74</v>
      </c>
      <c r="G891" s="5">
        <v>0.82499999999999996</v>
      </c>
      <c r="H891" s="4">
        <f>67/1440</f>
        <v>4.6527777777777779E-2</v>
      </c>
      <c r="I891" s="5">
        <v>0.125</v>
      </c>
      <c r="J891" s="11" t="s">
        <v>967</v>
      </c>
    </row>
    <row r="892" spans="1:10" ht="13.15" customHeight="1" x14ac:dyDescent="0.25">
      <c r="A892">
        <f t="shared" si="79"/>
        <v>887</v>
      </c>
      <c r="B892" t="s">
        <v>1085</v>
      </c>
      <c r="C892" s="2">
        <v>0.42777777777777776</v>
      </c>
      <c r="D892" s="4">
        <f t="shared" si="81"/>
        <v>0.11944444444444441</v>
      </c>
      <c r="E892" s="6">
        <v>0.30833333333333335</v>
      </c>
      <c r="F892" s="5">
        <f t="shared" si="82"/>
        <v>0.72077922077922085</v>
      </c>
      <c r="G892" s="5">
        <v>0.80300000000000005</v>
      </c>
      <c r="H892" s="4">
        <f>61.8/1440</f>
        <v>4.2916666666666665E-2</v>
      </c>
      <c r="I892" s="5">
        <v>0.112</v>
      </c>
      <c r="J892" s="11" t="s">
        <v>1074</v>
      </c>
    </row>
    <row r="893" spans="1:10" ht="13.15" customHeight="1" x14ac:dyDescent="0.25">
      <c r="A893">
        <f t="shared" si="79"/>
        <v>888</v>
      </c>
      <c r="B893" t="s">
        <v>1096</v>
      </c>
      <c r="C893" s="2">
        <v>0.4284722222222222</v>
      </c>
      <c r="D893" s="4">
        <f t="shared" si="81"/>
        <v>0.12013888888888885</v>
      </c>
      <c r="E893" s="6">
        <v>0.30833333333333335</v>
      </c>
      <c r="F893" s="5">
        <f t="shared" si="82"/>
        <v>0.7196110210696921</v>
      </c>
      <c r="G893" s="5">
        <v>0.84</v>
      </c>
      <c r="H893" s="4">
        <f>62.9/1440</f>
        <v>4.3680555555555556E-2</v>
      </c>
      <c r="I893" s="5">
        <v>0.11899999999999999</v>
      </c>
      <c r="J893" s="11" t="s">
        <v>1076</v>
      </c>
    </row>
    <row r="894" spans="1:10" ht="13.15" customHeight="1" x14ac:dyDescent="0.25">
      <c r="A894">
        <f t="shared" si="79"/>
        <v>889</v>
      </c>
      <c r="B894" t="s">
        <v>1142</v>
      </c>
      <c r="C894" s="2">
        <v>0.43194444444444446</v>
      </c>
      <c r="D894" s="4">
        <f t="shared" si="81"/>
        <v>0.12361111111111112</v>
      </c>
      <c r="E894" s="6">
        <v>0.30833333333333335</v>
      </c>
      <c r="F894" s="5">
        <f t="shared" si="82"/>
        <v>0.7138263665594855</v>
      </c>
      <c r="G894" s="5">
        <v>0.80700000000000005</v>
      </c>
      <c r="H894" s="4">
        <f>59.8/1440</f>
        <v>4.1527777777777775E-2</v>
      </c>
      <c r="I894" s="5">
        <v>0.109</v>
      </c>
      <c r="J894" s="11" t="s">
        <v>1127</v>
      </c>
    </row>
    <row r="895" spans="1:10" ht="13.15" customHeight="1" x14ac:dyDescent="0.25">
      <c r="A895">
        <f t="shared" si="79"/>
        <v>890</v>
      </c>
      <c r="B895" t="s">
        <v>1240</v>
      </c>
      <c r="C895" s="2">
        <v>0.43263888888888891</v>
      </c>
      <c r="D895" s="4">
        <f t="shared" si="81"/>
        <v>0.12430555555555556</v>
      </c>
      <c r="E895" s="6">
        <v>0.30833333333333335</v>
      </c>
      <c r="F895" s="5">
        <f t="shared" si="82"/>
        <v>0.7126805778491172</v>
      </c>
      <c r="G895" s="5">
        <v>0.88</v>
      </c>
      <c r="H895" s="4">
        <f>88.5/1440</f>
        <v>6.145833333333333E-2</v>
      </c>
      <c r="I895" s="5">
        <v>0.16900000000000001</v>
      </c>
      <c r="J895" s="11" t="s">
        <v>1237</v>
      </c>
    </row>
    <row r="896" spans="1:10" ht="13.15" customHeight="1" x14ac:dyDescent="0.25">
      <c r="A896">
        <f t="shared" si="79"/>
        <v>891</v>
      </c>
      <c r="B896" t="s">
        <v>1354</v>
      </c>
      <c r="C896" s="2">
        <v>0.40972222222222221</v>
      </c>
      <c r="D896" s="4">
        <f t="shared" si="81"/>
        <v>0.10138888888888886</v>
      </c>
      <c r="E896" s="6">
        <v>0.30833333333333335</v>
      </c>
      <c r="F896" s="5">
        <f t="shared" si="82"/>
        <v>0.75254237288135595</v>
      </c>
      <c r="G896" s="5">
        <v>0.80400000000000005</v>
      </c>
      <c r="H896" s="4">
        <f>55.7/1440</f>
        <v>3.8680555555555558E-2</v>
      </c>
      <c r="I896" s="5">
        <v>0.10100000000000001</v>
      </c>
      <c r="J896" s="11" t="s">
        <v>1352</v>
      </c>
    </row>
    <row r="897" spans="1:10" ht="13.15" customHeight="1" x14ac:dyDescent="0.25">
      <c r="A897">
        <f t="shared" si="79"/>
        <v>892</v>
      </c>
      <c r="B897" t="s">
        <v>1429</v>
      </c>
      <c r="C897" s="2">
        <v>0.40208333333333335</v>
      </c>
      <c r="D897" s="4">
        <v>0.10347222222222222</v>
      </c>
      <c r="E897" s="6">
        <v>0.30833333333333335</v>
      </c>
      <c r="F897" s="5">
        <f t="shared" si="82"/>
        <v>0.76683937823834203</v>
      </c>
      <c r="G897" s="5">
        <v>0.82899999999999996</v>
      </c>
      <c r="H897" s="4">
        <f>62.7/1440</f>
        <v>4.3541666666666666E-2</v>
      </c>
      <c r="I897" s="5">
        <v>0.11700000000000001</v>
      </c>
      <c r="J897" s="11" t="s">
        <v>1417</v>
      </c>
    </row>
    <row r="898" spans="1:10" ht="13.15" customHeight="1" x14ac:dyDescent="0.25">
      <c r="A898">
        <f t="shared" si="79"/>
        <v>893</v>
      </c>
      <c r="B898" t="s">
        <v>1500</v>
      </c>
      <c r="C898" s="2">
        <v>0.39930555555555558</v>
      </c>
      <c r="D898" s="4">
        <f t="shared" ref="D898:D915" si="83">C898-E898</f>
        <v>9.0972222222222232E-2</v>
      </c>
      <c r="E898" s="6">
        <v>0.30833333333333335</v>
      </c>
      <c r="F898" s="5">
        <f t="shared" si="82"/>
        <v>0.77217391304347827</v>
      </c>
      <c r="G898" s="5">
        <v>0.86699999999999999</v>
      </c>
      <c r="H898" s="4">
        <f>60.6/1440</f>
        <v>4.2083333333333334E-2</v>
      </c>
      <c r="I898" s="5">
        <v>0.11799999999999999</v>
      </c>
      <c r="J898" s="11" t="s">
        <v>1498</v>
      </c>
    </row>
    <row r="899" spans="1:10" ht="13.15" customHeight="1" x14ac:dyDescent="0.25">
      <c r="A899">
        <f t="shared" si="79"/>
        <v>894</v>
      </c>
      <c r="B899" t="s">
        <v>1750</v>
      </c>
      <c r="C899" s="2">
        <v>0.40277777777777779</v>
      </c>
      <c r="D899" s="4">
        <f t="shared" si="83"/>
        <v>9.4444444444444442E-2</v>
      </c>
      <c r="E899" s="6">
        <v>0.30833333333333335</v>
      </c>
      <c r="F899" s="5">
        <f t="shared" si="82"/>
        <v>0.76551724137931032</v>
      </c>
      <c r="G899" s="5">
        <v>1</v>
      </c>
      <c r="H899" s="4">
        <f>67.5/1440</f>
        <v>4.6875E-2</v>
      </c>
      <c r="I899" s="5">
        <v>0.152</v>
      </c>
      <c r="J899" s="11" t="s">
        <v>1749</v>
      </c>
    </row>
    <row r="900" spans="1:10" ht="13.15" customHeight="1" x14ac:dyDescent="0.25">
      <c r="A900">
        <f t="shared" si="79"/>
        <v>895</v>
      </c>
      <c r="B900" t="s">
        <v>682</v>
      </c>
      <c r="C900" s="2">
        <v>0.41944444444444445</v>
      </c>
      <c r="D900" s="4">
        <f t="shared" si="83"/>
        <v>0.11180555555555555</v>
      </c>
      <c r="E900" s="6">
        <v>0.30763888888888891</v>
      </c>
      <c r="F900" s="5">
        <f t="shared" si="82"/>
        <v>0.73344370860927155</v>
      </c>
      <c r="G900" s="5">
        <v>0.81799999999999995</v>
      </c>
      <c r="H900" s="4">
        <f>63.7/1440</f>
        <v>4.4236111111111115E-2</v>
      </c>
      <c r="I900" s="5">
        <v>0.11799999999999999</v>
      </c>
      <c r="J900" s="11" t="s">
        <v>687</v>
      </c>
    </row>
    <row r="901" spans="1:10" ht="13.15" customHeight="1" x14ac:dyDescent="0.25">
      <c r="A901">
        <f t="shared" si="79"/>
        <v>896</v>
      </c>
      <c r="B901" t="s">
        <v>884</v>
      </c>
      <c r="C901" s="2">
        <v>0.40069444444444446</v>
      </c>
      <c r="D901" s="4">
        <f t="shared" si="83"/>
        <v>9.3055555555555558E-2</v>
      </c>
      <c r="E901" s="6">
        <v>0.30763888888888891</v>
      </c>
      <c r="F901" s="5">
        <f t="shared" si="82"/>
        <v>0.76776429809358748</v>
      </c>
      <c r="G901" s="5">
        <v>0.78800000000000003</v>
      </c>
      <c r="H901" s="4">
        <f>81/1440</f>
        <v>5.6250000000000001E-2</v>
      </c>
      <c r="I901" s="5">
        <v>0.14399999999999999</v>
      </c>
      <c r="J901" s="11" t="s">
        <v>890</v>
      </c>
    </row>
    <row r="902" spans="1:10" ht="13.15" customHeight="1" x14ac:dyDescent="0.25">
      <c r="A902">
        <f t="shared" si="79"/>
        <v>897</v>
      </c>
      <c r="B902" t="s">
        <v>891</v>
      </c>
      <c r="C902" s="2">
        <v>0.42986111111111114</v>
      </c>
      <c r="D902" s="4">
        <f t="shared" si="83"/>
        <v>0.12222222222222223</v>
      </c>
      <c r="E902" s="6">
        <v>0.30763888888888891</v>
      </c>
      <c r="F902" s="5">
        <f t="shared" si="82"/>
        <v>0.71567043618739901</v>
      </c>
      <c r="G902" s="5">
        <v>0.82</v>
      </c>
      <c r="H902" s="4">
        <f>62.7/1440</f>
        <v>4.3541666666666666E-2</v>
      </c>
      <c r="I902" s="5">
        <v>0.11600000000000001</v>
      </c>
      <c r="J902" s="11" t="s">
        <v>896</v>
      </c>
    </row>
    <row r="903" spans="1:10" ht="13.15" customHeight="1" x14ac:dyDescent="0.25">
      <c r="A903">
        <f t="shared" si="79"/>
        <v>898</v>
      </c>
      <c r="B903" t="s">
        <v>975</v>
      </c>
      <c r="C903" s="2">
        <v>0.46250000000000002</v>
      </c>
      <c r="D903" s="4">
        <f t="shared" si="83"/>
        <v>0.15486111111111112</v>
      </c>
      <c r="E903" s="6">
        <v>0.30763888888888891</v>
      </c>
      <c r="F903" s="5">
        <f t="shared" si="82"/>
        <v>0.66516516516516522</v>
      </c>
      <c r="G903" s="5">
        <v>0.82299999999999995</v>
      </c>
      <c r="H903" s="4">
        <f>62.4/1440</f>
        <v>4.3333333333333335E-2</v>
      </c>
      <c r="I903" s="5">
        <v>0.11600000000000001</v>
      </c>
      <c r="J903" s="11" t="s">
        <v>973</v>
      </c>
    </row>
    <row r="904" spans="1:10" ht="13.15" customHeight="1" x14ac:dyDescent="0.25">
      <c r="A904">
        <f t="shared" si="79"/>
        <v>899</v>
      </c>
      <c r="B904" t="s">
        <v>1318</v>
      </c>
      <c r="C904" s="2">
        <v>0.46250000000000002</v>
      </c>
      <c r="D904" s="4">
        <f t="shared" si="83"/>
        <v>0.15486111111111112</v>
      </c>
      <c r="E904" s="6">
        <v>0.30763888888888891</v>
      </c>
      <c r="F904" s="5">
        <f t="shared" si="82"/>
        <v>0.66516516516516522</v>
      </c>
      <c r="G904" s="5" t="s">
        <v>1326</v>
      </c>
      <c r="H904" s="4">
        <f>82.8/1440</f>
        <v>5.7499999999999996E-2</v>
      </c>
      <c r="I904" s="5">
        <v>0.158</v>
      </c>
      <c r="J904" s="11" t="s">
        <v>1292</v>
      </c>
    </row>
    <row r="905" spans="1:10" ht="13.15" customHeight="1" x14ac:dyDescent="0.25">
      <c r="A905">
        <f t="shared" si="79"/>
        <v>900</v>
      </c>
      <c r="B905" t="s">
        <v>1734</v>
      </c>
      <c r="C905" s="2">
        <v>0.41805555555555557</v>
      </c>
      <c r="D905" s="4">
        <f t="shared" si="83"/>
        <v>0.11041666666666666</v>
      </c>
      <c r="E905" s="6">
        <v>0.30763888888888891</v>
      </c>
      <c r="F905" s="5">
        <f t="shared" si="82"/>
        <v>0.73588039867109634</v>
      </c>
      <c r="G905" s="5">
        <v>0.79700000000000004</v>
      </c>
      <c r="H905" s="4">
        <f>61.1/1440</f>
        <v>4.2430555555555555E-2</v>
      </c>
      <c r="I905" s="5">
        <v>0.11</v>
      </c>
      <c r="J905" s="11" t="s">
        <v>1728</v>
      </c>
    </row>
    <row r="906" spans="1:10" ht="13.15" customHeight="1" x14ac:dyDescent="0.25">
      <c r="A906">
        <f t="shared" si="79"/>
        <v>901</v>
      </c>
      <c r="B906" t="s">
        <v>1746</v>
      </c>
      <c r="C906" s="2">
        <v>0.41875000000000001</v>
      </c>
      <c r="D906" s="4">
        <f t="shared" si="83"/>
        <v>0.1111111111111111</v>
      </c>
      <c r="E906" s="6">
        <v>0.30763888888888891</v>
      </c>
      <c r="F906" s="5">
        <f t="shared" si="82"/>
        <v>0.73466003316749584</v>
      </c>
      <c r="G906" s="5">
        <v>1</v>
      </c>
      <c r="H906" s="4">
        <f>88.2/1440</f>
        <v>6.1249999999999999E-2</v>
      </c>
      <c r="I906" s="5">
        <v>0.19900000000000001</v>
      </c>
      <c r="J906" s="11" t="s">
        <v>1749</v>
      </c>
    </row>
    <row r="907" spans="1:10" ht="13.15" customHeight="1" x14ac:dyDescent="0.25">
      <c r="A907">
        <f t="shared" si="79"/>
        <v>902</v>
      </c>
      <c r="B907" t="s">
        <v>742</v>
      </c>
      <c r="C907" s="2">
        <v>0.4152777777777778</v>
      </c>
      <c r="D907" s="4">
        <f t="shared" si="83"/>
        <v>0.10833333333333334</v>
      </c>
      <c r="E907" s="6">
        <v>0.30694444444444446</v>
      </c>
      <c r="F907" s="5">
        <f t="shared" si="82"/>
        <v>0.73913043478260865</v>
      </c>
      <c r="G907" s="5">
        <v>0.90200000000000002</v>
      </c>
      <c r="H907" s="4">
        <f>71.3/1440</f>
        <v>4.9513888888888885E-2</v>
      </c>
      <c r="I907" s="5">
        <v>0.14499999999999999</v>
      </c>
      <c r="J907" s="11" t="s">
        <v>748</v>
      </c>
    </row>
    <row r="908" spans="1:10" ht="13.15" customHeight="1" x14ac:dyDescent="0.25">
      <c r="A908">
        <f t="shared" si="79"/>
        <v>903</v>
      </c>
      <c r="B908" t="s">
        <v>792</v>
      </c>
      <c r="C908" s="2">
        <v>0.42708333333333331</v>
      </c>
      <c r="D908" s="4">
        <f t="shared" si="83"/>
        <v>0.12013888888888885</v>
      </c>
      <c r="E908" s="6">
        <v>0.30694444444444446</v>
      </c>
      <c r="F908" s="5">
        <f t="shared" si="82"/>
        <v>0.71869918699186996</v>
      </c>
      <c r="G908" s="5">
        <v>0.80600000000000005</v>
      </c>
      <c r="H908" s="4">
        <f>67.8/1440</f>
        <v>4.7083333333333331E-2</v>
      </c>
      <c r="I908" s="5">
        <v>0.123</v>
      </c>
      <c r="J908" s="11" t="s">
        <v>794</v>
      </c>
    </row>
    <row r="909" spans="1:10" ht="13.15" customHeight="1" x14ac:dyDescent="0.25">
      <c r="A909">
        <f t="shared" si="79"/>
        <v>904</v>
      </c>
      <c r="B909" t="s">
        <v>825</v>
      </c>
      <c r="C909" s="2">
        <v>0.47361111111111109</v>
      </c>
      <c r="D909" s="4">
        <f t="shared" si="83"/>
        <v>0.16666666666666663</v>
      </c>
      <c r="E909" s="6">
        <v>0.30694444444444446</v>
      </c>
      <c r="F909" s="5">
        <f t="shared" si="82"/>
        <v>0.64809384164222883</v>
      </c>
      <c r="G909" s="5">
        <v>0.77900000000000003</v>
      </c>
      <c r="H909" s="4">
        <f>67.9/1440</f>
        <v>4.715277777777778E-2</v>
      </c>
      <c r="I909" s="5">
        <v>0.11899999999999999</v>
      </c>
      <c r="J909" s="11" t="s">
        <v>823</v>
      </c>
    </row>
    <row r="910" spans="1:10" ht="13.15" customHeight="1" x14ac:dyDescent="0.25">
      <c r="A910">
        <f t="shared" si="79"/>
        <v>905</v>
      </c>
      <c r="B910" t="s">
        <v>1008</v>
      </c>
      <c r="C910" s="2">
        <v>0.45069444444444445</v>
      </c>
      <c r="D910" s="4">
        <f t="shared" si="83"/>
        <v>0.14374999999999999</v>
      </c>
      <c r="E910" s="6">
        <v>0.30694444444444446</v>
      </c>
      <c r="F910" s="5">
        <f t="shared" si="82"/>
        <v>0.68104776579352855</v>
      </c>
      <c r="G910" s="5">
        <v>0.82899999999999996</v>
      </c>
      <c r="H910" s="4">
        <f>65.8/1440</f>
        <v>4.569444444444444E-2</v>
      </c>
      <c r="I910" s="5">
        <v>0.123</v>
      </c>
      <c r="J910" s="11" t="s">
        <v>1004</v>
      </c>
    </row>
    <row r="911" spans="1:10" ht="13.15" customHeight="1" x14ac:dyDescent="0.25">
      <c r="A911">
        <f t="shared" si="79"/>
        <v>906</v>
      </c>
      <c r="B911" t="s">
        <v>1037</v>
      </c>
      <c r="C911" s="2">
        <v>0.40763888888888888</v>
      </c>
      <c r="D911" s="4">
        <f t="shared" si="83"/>
        <v>0.10069444444444442</v>
      </c>
      <c r="E911" s="6">
        <v>0.30694444444444446</v>
      </c>
      <c r="F911" s="5">
        <f t="shared" si="82"/>
        <v>0.75298126064735948</v>
      </c>
      <c r="G911" s="5">
        <v>0.72199999999999998</v>
      </c>
      <c r="H911" s="4">
        <f>63.9/1440</f>
        <v>4.4374999999999998E-2</v>
      </c>
      <c r="I911" s="5">
        <v>0.104</v>
      </c>
      <c r="J911" s="11" t="s">
        <v>1033</v>
      </c>
    </row>
    <row r="912" spans="1:10" ht="13.15" customHeight="1" x14ac:dyDescent="0.25">
      <c r="A912">
        <f t="shared" si="79"/>
        <v>907</v>
      </c>
      <c r="B912" t="s">
        <v>1090</v>
      </c>
      <c r="C912" s="2">
        <v>0.40347222222222223</v>
      </c>
      <c r="D912" s="4">
        <f t="shared" si="83"/>
        <v>9.6527777777777768E-2</v>
      </c>
      <c r="E912" s="6">
        <v>0.30694444444444446</v>
      </c>
      <c r="F912" s="5">
        <f t="shared" si="82"/>
        <v>0.76075731497418242</v>
      </c>
      <c r="G912" s="5">
        <v>0.85399999999999998</v>
      </c>
      <c r="H912" s="4">
        <f>76.3/1440</f>
        <v>5.2986111111111109E-2</v>
      </c>
      <c r="I912" s="5">
        <v>0.14699999999999999</v>
      </c>
      <c r="J912" s="11" t="s">
        <v>1075</v>
      </c>
    </row>
    <row r="913" spans="1:10" ht="13.15" customHeight="1" x14ac:dyDescent="0.25">
      <c r="A913">
        <f t="shared" si="79"/>
        <v>908</v>
      </c>
      <c r="B913" t="s">
        <v>1106</v>
      </c>
      <c r="C913" s="2">
        <v>0.44236111111111109</v>
      </c>
      <c r="D913" s="4">
        <f t="shared" si="83"/>
        <v>0.13541666666666663</v>
      </c>
      <c r="E913" s="6">
        <v>0.30694444444444446</v>
      </c>
      <c r="F913" s="5">
        <f t="shared" si="82"/>
        <v>0.69387755102040827</v>
      </c>
      <c r="G913" s="5">
        <v>0.82699999999999996</v>
      </c>
      <c r="H913" s="4">
        <f>64.5/1440</f>
        <v>4.4791666666666667E-2</v>
      </c>
      <c r="I913" s="5">
        <v>0.12</v>
      </c>
      <c r="J913" s="11" t="s">
        <v>1099</v>
      </c>
    </row>
    <row r="914" spans="1:10" ht="13.15" customHeight="1" x14ac:dyDescent="0.25">
      <c r="A914">
        <f t="shared" si="79"/>
        <v>909</v>
      </c>
      <c r="B914" t="s">
        <v>1170</v>
      </c>
      <c r="C914" s="2">
        <v>0.40277777777777779</v>
      </c>
      <c r="D914" s="4">
        <f t="shared" si="83"/>
        <v>9.5833333333333326E-2</v>
      </c>
      <c r="E914" s="6">
        <v>0.30694444444444446</v>
      </c>
      <c r="F914" s="5">
        <f t="shared" si="82"/>
        <v>0.76206896551724146</v>
      </c>
      <c r="G914" s="5">
        <v>0.85299999999999998</v>
      </c>
      <c r="H914" s="4">
        <f>78.9/1440</f>
        <v>5.4791666666666669E-2</v>
      </c>
      <c r="I914" s="5">
        <v>0.152</v>
      </c>
      <c r="J914" s="11" t="s">
        <v>1150</v>
      </c>
    </row>
    <row r="915" spans="1:10" ht="13.15" customHeight="1" x14ac:dyDescent="0.25">
      <c r="A915">
        <f t="shared" ref="A915:A979" si="84">A914+1</f>
        <v>910</v>
      </c>
      <c r="B915" t="s">
        <v>1199</v>
      </c>
      <c r="C915" s="2">
        <v>0.42916666666666664</v>
      </c>
      <c r="D915" s="4">
        <f t="shared" si="83"/>
        <v>0.12222222222222218</v>
      </c>
      <c r="E915" s="6">
        <v>0.30694444444444446</v>
      </c>
      <c r="F915" s="5">
        <f t="shared" ref="F915" si="85">E915/C915</f>
        <v>0.71521035598705507</v>
      </c>
      <c r="G915" s="5">
        <v>0.82399999999999995</v>
      </c>
      <c r="H915" s="4">
        <f>59.5/1440</f>
        <v>4.1319444444444443E-2</v>
      </c>
      <c r="I915" s="5">
        <v>0.111</v>
      </c>
      <c r="J915" s="11" t="s">
        <v>1183</v>
      </c>
    </row>
    <row r="916" spans="1:10" ht="13.15" customHeight="1" x14ac:dyDescent="0.25">
      <c r="A916">
        <f t="shared" si="84"/>
        <v>911</v>
      </c>
      <c r="B916" t="s">
        <v>1264</v>
      </c>
      <c r="C916" s="2">
        <v>0.41111111111111109</v>
      </c>
      <c r="D916" s="4">
        <v>0.10416666666666663</v>
      </c>
      <c r="E916" s="6">
        <v>0.30694444444444446</v>
      </c>
      <c r="F916" s="5">
        <v>0.74662162162162171</v>
      </c>
      <c r="G916" s="5">
        <v>0.81599999999999995</v>
      </c>
      <c r="H916" s="4">
        <v>4.3680555555555556E-2</v>
      </c>
      <c r="I916" s="5">
        <v>0.11600000000000001</v>
      </c>
      <c r="J916" s="11" t="s">
        <v>1245</v>
      </c>
    </row>
    <row r="917" spans="1:10" ht="13.15" customHeight="1" x14ac:dyDescent="0.25">
      <c r="A917">
        <f t="shared" si="84"/>
        <v>912</v>
      </c>
      <c r="B917" t="s">
        <v>1272</v>
      </c>
      <c r="C917" s="2">
        <v>0.40902777777777777</v>
      </c>
      <c r="D917" s="4">
        <f t="shared" ref="D917:D922" si="86">C917-E917</f>
        <v>0.1020833333333333</v>
      </c>
      <c r="E917" s="6">
        <v>0.30694444444444446</v>
      </c>
      <c r="F917" s="5">
        <f t="shared" ref="F917:F922" si="87">E917/C917</f>
        <v>0.75042444821731757</v>
      </c>
      <c r="G917" s="5">
        <v>0.77200000000000002</v>
      </c>
      <c r="H917" s="4">
        <f>59.2/1440</f>
        <v>4.1111111111111112E-2</v>
      </c>
      <c r="I917" s="5">
        <v>0.10299999999999999</v>
      </c>
      <c r="J917" s="11" t="s">
        <v>1266</v>
      </c>
    </row>
    <row r="918" spans="1:10" ht="13.15" customHeight="1" x14ac:dyDescent="0.25">
      <c r="A918">
        <f t="shared" si="84"/>
        <v>913</v>
      </c>
      <c r="B918" t="s">
        <v>1308</v>
      </c>
      <c r="C918" s="2">
        <v>0.41666666666666669</v>
      </c>
      <c r="D918" s="4">
        <f t="shared" si="86"/>
        <v>0.10972222222222222</v>
      </c>
      <c r="E918" s="6">
        <v>0.30694444444444446</v>
      </c>
      <c r="F918" s="5">
        <f t="shared" si="87"/>
        <v>0.73666666666666669</v>
      </c>
      <c r="G918" s="5">
        <v>0.78</v>
      </c>
      <c r="H918" s="4">
        <f>61.3/1440</f>
        <v>4.2569444444444444E-2</v>
      </c>
      <c r="I918" s="5">
        <v>0.108</v>
      </c>
      <c r="J918" s="11" t="s">
        <v>1290</v>
      </c>
    </row>
    <row r="919" spans="1:10" ht="13.15" customHeight="1" x14ac:dyDescent="0.25">
      <c r="A919">
        <f t="shared" si="84"/>
        <v>914</v>
      </c>
      <c r="B919" t="s">
        <v>1475</v>
      </c>
      <c r="C919" s="2">
        <v>0.42083333333333334</v>
      </c>
      <c r="D919" s="4">
        <f t="shared" si="86"/>
        <v>0.11388888888888887</v>
      </c>
      <c r="E919" s="6">
        <v>0.30694444444444446</v>
      </c>
      <c r="F919" s="5">
        <f t="shared" si="87"/>
        <v>0.72937293729372943</v>
      </c>
      <c r="G919" s="5">
        <v>0.83</v>
      </c>
      <c r="H919" s="4">
        <f>67.1/1440</f>
        <v>4.659722222222222E-2</v>
      </c>
      <c r="I919" s="5">
        <v>0.126</v>
      </c>
      <c r="J919" s="11" t="s">
        <v>1469</v>
      </c>
    </row>
    <row r="920" spans="1:10" ht="13.15" customHeight="1" x14ac:dyDescent="0.25">
      <c r="A920">
        <f t="shared" si="84"/>
        <v>915</v>
      </c>
      <c r="B920" t="s">
        <v>1720</v>
      </c>
      <c r="C920" s="2">
        <v>0.39513888888888887</v>
      </c>
      <c r="D920" s="4">
        <f t="shared" si="86"/>
        <v>8.8194444444444409E-2</v>
      </c>
      <c r="E920" s="6">
        <v>0.30694444444444446</v>
      </c>
      <c r="F920" s="5">
        <f t="shared" si="87"/>
        <v>0.77680140597539549</v>
      </c>
      <c r="G920" s="5">
        <v>0.81100000000000005</v>
      </c>
      <c r="H920" s="4">
        <f>63.3/1440</f>
        <v>4.3958333333333328E-2</v>
      </c>
      <c r="I920" s="5">
        <v>0.11600000000000001</v>
      </c>
      <c r="J920" s="11" t="s">
        <v>1706</v>
      </c>
    </row>
    <row r="921" spans="1:10" ht="13.15" customHeight="1" x14ac:dyDescent="0.25">
      <c r="A921">
        <f t="shared" si="84"/>
        <v>916</v>
      </c>
      <c r="B921" t="s">
        <v>1715</v>
      </c>
      <c r="C921" s="2">
        <v>0.40277777777777779</v>
      </c>
      <c r="D921" s="4">
        <f t="shared" si="86"/>
        <v>9.5833333333333326E-2</v>
      </c>
      <c r="E921" s="6">
        <v>0.30694444444444446</v>
      </c>
      <c r="F921" s="5">
        <f t="shared" si="87"/>
        <v>0.76206896551724146</v>
      </c>
      <c r="G921" s="5">
        <v>1</v>
      </c>
      <c r="H921" s="4">
        <f>74.6/1440</f>
        <v>5.1805555555555549E-2</v>
      </c>
      <c r="I921" s="5">
        <v>0.16900000000000001</v>
      </c>
      <c r="J921" s="11" t="s">
        <v>1707</v>
      </c>
    </row>
    <row r="922" spans="1:10" ht="13.15" customHeight="1" x14ac:dyDescent="0.25">
      <c r="A922">
        <f t="shared" si="84"/>
        <v>917</v>
      </c>
      <c r="B922" t="s">
        <v>910</v>
      </c>
      <c r="C922" s="2">
        <v>0.42222222222222222</v>
      </c>
      <c r="D922" s="4">
        <f t="shared" si="86"/>
        <v>0.1159722222222222</v>
      </c>
      <c r="E922" s="6">
        <v>0.30625000000000002</v>
      </c>
      <c r="F922" s="5">
        <f t="shared" si="87"/>
        <v>0.72532894736842113</v>
      </c>
      <c r="G922" s="5">
        <v>0.80100000000000005</v>
      </c>
      <c r="H922" s="4">
        <f>62.8/1440</f>
        <v>4.3611111111111107E-2</v>
      </c>
      <c r="I922" s="5">
        <v>0.114</v>
      </c>
      <c r="J922" s="11" t="s">
        <v>914</v>
      </c>
    </row>
    <row r="923" spans="1:10" ht="13.15" customHeight="1" x14ac:dyDescent="0.25">
      <c r="A923">
        <f t="shared" si="84"/>
        <v>918</v>
      </c>
      <c r="B923" t="s">
        <v>1247</v>
      </c>
      <c r="C923" s="2">
        <v>0.41666666666666669</v>
      </c>
      <c r="D923" s="4">
        <v>0.11041666666666666</v>
      </c>
      <c r="E923" s="6">
        <v>0.30625000000000002</v>
      </c>
      <c r="F923" s="5">
        <v>0.73499999999999999</v>
      </c>
      <c r="G923" s="5">
        <v>0.81299999999999994</v>
      </c>
      <c r="H923" s="4">
        <v>3.9375E-2</v>
      </c>
      <c r="I923" s="5">
        <v>0.104</v>
      </c>
      <c r="J923" s="11" t="s">
        <v>1242</v>
      </c>
    </row>
    <row r="924" spans="1:10" ht="13.15" customHeight="1" x14ac:dyDescent="0.25">
      <c r="A924">
        <f t="shared" si="84"/>
        <v>919</v>
      </c>
      <c r="B924" t="s">
        <v>1262</v>
      </c>
      <c r="C924" s="2">
        <v>0.41944444444444445</v>
      </c>
      <c r="D924" s="4">
        <v>0.11319444444444443</v>
      </c>
      <c r="E924" s="6">
        <v>0.30625000000000002</v>
      </c>
      <c r="F924" s="5">
        <v>0.73013245033112584</v>
      </c>
      <c r="G924" s="5">
        <v>0.85499999999999998</v>
      </c>
      <c r="H924" s="4">
        <v>4.5347222222222219E-2</v>
      </c>
      <c r="I924" s="5">
        <v>0.127</v>
      </c>
      <c r="J924" s="11" t="s">
        <v>1245</v>
      </c>
    </row>
    <row r="925" spans="1:10" ht="13.15" customHeight="1" x14ac:dyDescent="0.25">
      <c r="A925">
        <f t="shared" si="84"/>
        <v>920</v>
      </c>
      <c r="B925" t="s">
        <v>1501</v>
      </c>
      <c r="C925" s="2">
        <v>0.43472222222222223</v>
      </c>
      <c r="D925" s="4">
        <f t="shared" ref="D925:D930" si="88">C925-E925</f>
        <v>0.12847222222222221</v>
      </c>
      <c r="E925" s="6">
        <v>0.30625000000000002</v>
      </c>
      <c r="F925" s="5">
        <f t="shared" ref="F925:F930" si="89">E925/C925</f>
        <v>0.70447284345047922</v>
      </c>
      <c r="G925" s="5">
        <v>0.81399999999999995</v>
      </c>
      <c r="H925" s="4">
        <f>70.7/1440</f>
        <v>4.9097222222222223E-2</v>
      </c>
      <c r="I925" s="5">
        <v>0.13</v>
      </c>
      <c r="J925" s="11" t="s">
        <v>1498</v>
      </c>
    </row>
    <row r="926" spans="1:10" ht="13.15" customHeight="1" x14ac:dyDescent="0.25">
      <c r="A926">
        <f t="shared" si="84"/>
        <v>921</v>
      </c>
      <c r="B926" t="s">
        <v>1552</v>
      </c>
      <c r="C926" s="2">
        <v>0.41180555555555554</v>
      </c>
      <c r="D926" s="4">
        <f t="shared" si="88"/>
        <v>0.10555555555555551</v>
      </c>
      <c r="E926" s="6">
        <v>0.30625000000000002</v>
      </c>
      <c r="F926" s="5">
        <f t="shared" si="89"/>
        <v>0.74367622259696464</v>
      </c>
      <c r="G926" s="5">
        <v>0.748</v>
      </c>
      <c r="H926" s="4">
        <f>56.6/1440</f>
        <v>3.9305555555555559E-2</v>
      </c>
      <c r="I926" s="5">
        <v>9.6000000000000002E-2</v>
      </c>
      <c r="J926" s="11" t="s">
        <v>1553</v>
      </c>
    </row>
    <row r="927" spans="1:10" ht="13.15" customHeight="1" x14ac:dyDescent="0.25">
      <c r="A927">
        <f t="shared" si="84"/>
        <v>922</v>
      </c>
      <c r="B927" t="s">
        <v>1765</v>
      </c>
      <c r="C927" s="2">
        <v>0.44444444444444442</v>
      </c>
      <c r="D927" s="4">
        <f t="shared" si="88"/>
        <v>0.1381944444444444</v>
      </c>
      <c r="E927" s="6">
        <v>0.30625000000000002</v>
      </c>
      <c r="F927" s="5">
        <f t="shared" si="89"/>
        <v>0.68906250000000013</v>
      </c>
      <c r="G927" s="5">
        <v>0.83499999999999996</v>
      </c>
      <c r="H927" s="4">
        <f>59.1/1440</f>
        <v>4.1041666666666671E-2</v>
      </c>
      <c r="I927" s="5">
        <v>0.112</v>
      </c>
      <c r="J927" s="11" t="s">
        <v>1762</v>
      </c>
    </row>
    <row r="928" spans="1:10" ht="13.15" customHeight="1" x14ac:dyDescent="0.25">
      <c r="A928">
        <f t="shared" si="84"/>
        <v>923</v>
      </c>
      <c r="B928" t="s">
        <v>763</v>
      </c>
      <c r="C928" s="2">
        <v>0.43680555555555556</v>
      </c>
      <c r="D928" s="4">
        <f t="shared" si="88"/>
        <v>0.13124999999999998</v>
      </c>
      <c r="E928" s="6">
        <v>0.30555555555555558</v>
      </c>
      <c r="F928" s="5">
        <f t="shared" si="89"/>
        <v>0.69952305246422897</v>
      </c>
      <c r="G928" s="5">
        <v>0.85699999999999998</v>
      </c>
      <c r="H928" s="4">
        <f>70.7/1440</f>
        <v>4.9097222222222223E-2</v>
      </c>
      <c r="I928" s="5">
        <v>0.13800000000000001</v>
      </c>
      <c r="J928" s="11" t="s">
        <v>764</v>
      </c>
    </row>
    <row r="929" spans="1:10" ht="13.15" customHeight="1" x14ac:dyDescent="0.25">
      <c r="A929">
        <f t="shared" si="84"/>
        <v>924</v>
      </c>
      <c r="B929" t="s">
        <v>1119</v>
      </c>
      <c r="C929" s="2">
        <v>0.4152777777777778</v>
      </c>
      <c r="D929" s="4">
        <f t="shared" si="88"/>
        <v>0.10972222222222222</v>
      </c>
      <c r="E929" s="6">
        <v>0.30555555555555558</v>
      </c>
      <c r="F929" s="5">
        <f t="shared" si="89"/>
        <v>0.73578595317725759</v>
      </c>
      <c r="G929" s="5">
        <v>0.85399999999999998</v>
      </c>
      <c r="H929" s="4">
        <f>69.4/1440</f>
        <v>4.8194444444444449E-2</v>
      </c>
      <c r="I929" s="5">
        <v>0.13500000000000001</v>
      </c>
      <c r="J929" s="11" t="s">
        <v>1102</v>
      </c>
    </row>
    <row r="930" spans="1:10" ht="13.15" customHeight="1" x14ac:dyDescent="0.25">
      <c r="A930">
        <f t="shared" si="84"/>
        <v>925</v>
      </c>
      <c r="B930" t="s">
        <v>1195</v>
      </c>
      <c r="C930" s="2">
        <v>0.45277777777777778</v>
      </c>
      <c r="D930" s="4">
        <f t="shared" si="88"/>
        <v>0.1472222222222222</v>
      </c>
      <c r="E930" s="6">
        <v>0.30555555555555558</v>
      </c>
      <c r="F930" s="5">
        <f t="shared" si="89"/>
        <v>0.67484662576687127</v>
      </c>
      <c r="G930" s="5">
        <v>0.75700000000000001</v>
      </c>
      <c r="H930" s="4">
        <f>59.5/1440</f>
        <v>4.1319444444444443E-2</v>
      </c>
      <c r="I930" s="5">
        <v>0.10199999999999999</v>
      </c>
      <c r="J930" s="11" t="s">
        <v>1182</v>
      </c>
    </row>
    <row r="931" spans="1:10" ht="13.15" customHeight="1" x14ac:dyDescent="0.25">
      <c r="A931">
        <f t="shared" si="84"/>
        <v>926</v>
      </c>
      <c r="B931" t="s">
        <v>1246</v>
      </c>
      <c r="C931" s="2">
        <v>0.42291666666666666</v>
      </c>
      <c r="D931" s="4">
        <v>0.11736111111111108</v>
      </c>
      <c r="E931" s="6">
        <v>0.30555555555555558</v>
      </c>
      <c r="F931" s="5">
        <v>0.72249589490968813</v>
      </c>
      <c r="G931" s="5">
        <v>0.79200000000000004</v>
      </c>
      <c r="H931" s="4">
        <v>3.9305555555555559E-2</v>
      </c>
      <c r="I931" s="5">
        <v>0.10199999999999999</v>
      </c>
      <c r="J931" s="11" t="s">
        <v>1242</v>
      </c>
    </row>
    <row r="932" spans="1:10" ht="13.15" customHeight="1" x14ac:dyDescent="0.25">
      <c r="A932">
        <f t="shared" si="84"/>
        <v>927</v>
      </c>
      <c r="B932" t="s">
        <v>369</v>
      </c>
      <c r="C932" s="2">
        <v>0.43333333333333335</v>
      </c>
      <c r="D932" s="4">
        <f t="shared" ref="D932:D952" si="90">C932-E932</f>
        <v>0.12777777777777782</v>
      </c>
      <c r="E932" s="6">
        <v>0.30555555555555552</v>
      </c>
      <c r="F932" s="5">
        <f t="shared" ref="F932:F963" si="91">E932/C932</f>
        <v>0.70512820512820507</v>
      </c>
      <c r="G932" s="5">
        <v>0.752</v>
      </c>
      <c r="H932" s="4">
        <f>63.7/1440</f>
        <v>4.4236111111111115E-2</v>
      </c>
      <c r="I932" s="5">
        <v>0.109</v>
      </c>
      <c r="J932" s="11" t="s">
        <v>370</v>
      </c>
    </row>
    <row r="933" spans="1:10" ht="13.15" customHeight="1" x14ac:dyDescent="0.25">
      <c r="A933">
        <f t="shared" si="84"/>
        <v>928</v>
      </c>
      <c r="B933" t="s">
        <v>381</v>
      </c>
      <c r="C933" s="2">
        <v>0.41736111111111113</v>
      </c>
      <c r="D933" s="4">
        <f t="shared" si="90"/>
        <v>0.1118055555555556</v>
      </c>
      <c r="E933" s="6">
        <v>0.30555555555555552</v>
      </c>
      <c r="F933" s="5">
        <f t="shared" si="91"/>
        <v>0.73211314475873535</v>
      </c>
      <c r="G933" s="5">
        <v>0.73599999999999999</v>
      </c>
      <c r="H933" s="4">
        <f>92.9/1440</f>
        <v>6.4513888888888898E-2</v>
      </c>
      <c r="I933" s="5">
        <v>0.155</v>
      </c>
      <c r="J933" s="11" t="s">
        <v>382</v>
      </c>
    </row>
    <row r="934" spans="1:10" ht="13.15" customHeight="1" x14ac:dyDescent="0.25">
      <c r="A934">
        <f t="shared" si="84"/>
        <v>929</v>
      </c>
      <c r="B934" t="s">
        <v>585</v>
      </c>
      <c r="C934" s="2">
        <v>0.4368055555555555</v>
      </c>
      <c r="D934" s="4">
        <f t="shared" si="90"/>
        <v>0.13124999999999998</v>
      </c>
      <c r="E934" s="6">
        <v>0.30555555555555552</v>
      </c>
      <c r="F934" s="5">
        <f t="shared" si="91"/>
        <v>0.69952305246422897</v>
      </c>
      <c r="G934" s="5">
        <v>0.83799999999999997</v>
      </c>
      <c r="H934" s="4">
        <f>62.5/1440</f>
        <v>4.3402777777777776E-2</v>
      </c>
      <c r="I934" s="5">
        <v>0.11899999999999999</v>
      </c>
      <c r="J934" s="11" t="s">
        <v>587</v>
      </c>
    </row>
    <row r="935" spans="1:10" ht="13.15" customHeight="1" x14ac:dyDescent="0.25">
      <c r="A935">
        <f t="shared" si="84"/>
        <v>930</v>
      </c>
      <c r="B935" t="s">
        <v>632</v>
      </c>
      <c r="C935" s="2">
        <v>0.42569444444444443</v>
      </c>
      <c r="D935" s="4">
        <f t="shared" si="90"/>
        <v>0.12013888888888891</v>
      </c>
      <c r="E935" s="6">
        <v>0.30555555555555552</v>
      </c>
      <c r="F935" s="5">
        <f t="shared" si="91"/>
        <v>0.71778140293637838</v>
      </c>
      <c r="G935" s="5">
        <v>0.71699999999999997</v>
      </c>
      <c r="H935" s="4">
        <f>59.2/1440</f>
        <v>4.1111111111111112E-2</v>
      </c>
      <c r="I935" s="5">
        <v>9.6000000000000002E-2</v>
      </c>
      <c r="J935" s="11" t="s">
        <v>635</v>
      </c>
    </row>
    <row r="936" spans="1:10" ht="13.15" customHeight="1" x14ac:dyDescent="0.25">
      <c r="A936">
        <f t="shared" si="84"/>
        <v>931</v>
      </c>
      <c r="B936" t="s">
        <v>796</v>
      </c>
      <c r="C936" s="2">
        <v>0.4375</v>
      </c>
      <c r="D936" s="4">
        <f t="shared" si="90"/>
        <v>0.13263888888888886</v>
      </c>
      <c r="E936" s="6">
        <v>0.30486111111111114</v>
      </c>
      <c r="F936" s="5">
        <f t="shared" si="91"/>
        <v>0.6968253968253969</v>
      </c>
      <c r="G936" s="5">
        <v>0.79700000000000004</v>
      </c>
      <c r="H936" s="4">
        <f>54.7/1440</f>
        <v>3.7986111111111116E-2</v>
      </c>
      <c r="I936" s="5">
        <v>9.9000000000000005E-2</v>
      </c>
      <c r="J936" s="11" t="s">
        <v>800</v>
      </c>
    </row>
    <row r="937" spans="1:10" ht="13.15" customHeight="1" x14ac:dyDescent="0.25">
      <c r="A937">
        <f t="shared" si="84"/>
        <v>932</v>
      </c>
      <c r="B937" t="s">
        <v>539</v>
      </c>
      <c r="C937" s="2">
        <v>0.43124999999999997</v>
      </c>
      <c r="D937" s="4">
        <f t="shared" si="90"/>
        <v>0.12638888888888888</v>
      </c>
      <c r="E937" s="6">
        <v>0.30486111111111108</v>
      </c>
      <c r="F937" s="5">
        <f t="shared" si="91"/>
        <v>0.70692431561996782</v>
      </c>
      <c r="G937" s="5">
        <v>0.76200000000000001</v>
      </c>
      <c r="H937" s="4">
        <f>64.9/1440</f>
        <v>4.5069444444444447E-2</v>
      </c>
      <c r="I937" s="5">
        <v>0.113</v>
      </c>
      <c r="J937" s="11" t="s">
        <v>541</v>
      </c>
    </row>
    <row r="938" spans="1:10" ht="13.15" customHeight="1" x14ac:dyDescent="0.25">
      <c r="A938">
        <f t="shared" si="84"/>
        <v>933</v>
      </c>
      <c r="B938" t="s">
        <v>4</v>
      </c>
      <c r="C938" s="2">
        <v>0.45347222222222222</v>
      </c>
      <c r="D938" s="4">
        <f t="shared" si="90"/>
        <v>0.14930555555555558</v>
      </c>
      <c r="E938" s="6">
        <v>0.30416666666666664</v>
      </c>
      <c r="F938" s="5">
        <f t="shared" si="91"/>
        <v>0.67075038284839195</v>
      </c>
      <c r="G938" s="5">
        <v>0.58299999999999996</v>
      </c>
      <c r="H938" s="4">
        <f>67.5/1440</f>
        <v>4.6875E-2</v>
      </c>
      <c r="I938" s="5">
        <v>0.09</v>
      </c>
      <c r="J938" s="11" t="s">
        <v>70</v>
      </c>
    </row>
    <row r="939" spans="1:10" ht="13.15" customHeight="1" x14ac:dyDescent="0.25">
      <c r="A939">
        <f t="shared" si="84"/>
        <v>934</v>
      </c>
      <c r="B939" t="s">
        <v>180</v>
      </c>
      <c r="C939" s="2">
        <v>0.4375</v>
      </c>
      <c r="D939" s="4">
        <f t="shared" si="90"/>
        <v>0.13333333333333336</v>
      </c>
      <c r="E939" s="6">
        <v>0.30416666666666664</v>
      </c>
      <c r="F939" s="5">
        <f t="shared" si="91"/>
        <v>0.69523809523809521</v>
      </c>
      <c r="G939" s="5">
        <v>0.87</v>
      </c>
      <c r="H939" s="4">
        <f>63.9/1440</f>
        <v>4.4374999999999998E-2</v>
      </c>
      <c r="I939" s="5">
        <v>0.127</v>
      </c>
      <c r="J939" s="11" t="s">
        <v>73</v>
      </c>
    </row>
    <row r="940" spans="1:10" ht="13.15" customHeight="1" x14ac:dyDescent="0.25">
      <c r="A940">
        <f t="shared" si="84"/>
        <v>935</v>
      </c>
      <c r="B940" t="s">
        <v>672</v>
      </c>
      <c r="C940" s="2">
        <v>0.4284722222222222</v>
      </c>
      <c r="D940" s="4">
        <f t="shared" si="90"/>
        <v>0.12430555555555556</v>
      </c>
      <c r="E940" s="6">
        <v>0.30416666666666664</v>
      </c>
      <c r="F940" s="5">
        <f t="shared" si="91"/>
        <v>0.70988654781199345</v>
      </c>
      <c r="G940" s="5">
        <v>0.77</v>
      </c>
      <c r="H940" s="4">
        <f>63.6/1440</f>
        <v>4.4166666666666667E-2</v>
      </c>
      <c r="I940" s="5">
        <v>0.112</v>
      </c>
      <c r="J940" s="11" t="s">
        <v>673</v>
      </c>
    </row>
    <row r="941" spans="1:10" ht="13.15" customHeight="1" x14ac:dyDescent="0.25">
      <c r="A941">
        <f t="shared" si="84"/>
        <v>936</v>
      </c>
      <c r="B941" t="s">
        <v>754</v>
      </c>
      <c r="C941" s="2">
        <v>0.42430555555555555</v>
      </c>
      <c r="D941" s="4">
        <f t="shared" si="90"/>
        <v>0.12013888888888891</v>
      </c>
      <c r="E941" s="6">
        <v>0.30416666666666664</v>
      </c>
      <c r="F941" s="5">
        <f t="shared" si="91"/>
        <v>0.7168576104746317</v>
      </c>
      <c r="G941" s="5">
        <v>0.81399999999999995</v>
      </c>
      <c r="H941" s="4">
        <f>63.2/1440</f>
        <v>4.3888888888888894E-2</v>
      </c>
      <c r="I941" s="5">
        <v>0.11700000000000001</v>
      </c>
      <c r="J941" s="11" t="s">
        <v>759</v>
      </c>
    </row>
    <row r="942" spans="1:10" ht="13.15" customHeight="1" x14ac:dyDescent="0.25">
      <c r="A942">
        <f t="shared" si="84"/>
        <v>937</v>
      </c>
      <c r="B942" t="s">
        <v>803</v>
      </c>
      <c r="C942" s="2">
        <v>0.41249999999999998</v>
      </c>
      <c r="D942" s="4">
        <f t="shared" si="90"/>
        <v>0.10833333333333334</v>
      </c>
      <c r="E942" s="6">
        <v>0.30416666666666664</v>
      </c>
      <c r="F942" s="5">
        <f t="shared" si="91"/>
        <v>0.73737373737373735</v>
      </c>
      <c r="G942" s="5">
        <v>0.82899999999999996</v>
      </c>
      <c r="H942" s="4">
        <f>67.8/1440</f>
        <v>4.7083333333333331E-2</v>
      </c>
      <c r="I942" s="5">
        <v>0.128</v>
      </c>
      <c r="J942" s="11" t="s">
        <v>801</v>
      </c>
    </row>
    <row r="943" spans="1:10" ht="13.15" customHeight="1" x14ac:dyDescent="0.25">
      <c r="A943">
        <f t="shared" si="84"/>
        <v>938</v>
      </c>
      <c r="B943" t="s">
        <v>930</v>
      </c>
      <c r="C943" s="2">
        <v>0.40902777777777777</v>
      </c>
      <c r="D943" s="4">
        <f t="shared" si="90"/>
        <v>0.10486111111111113</v>
      </c>
      <c r="E943" s="6">
        <v>0.30416666666666664</v>
      </c>
      <c r="F943" s="5">
        <f t="shared" si="91"/>
        <v>0.7436332767402376</v>
      </c>
      <c r="G943" s="5">
        <v>0.84899999999999998</v>
      </c>
      <c r="H943" s="4">
        <f>66/1440</f>
        <v>4.583333333333333E-2</v>
      </c>
      <c r="I943" s="5">
        <v>0.128</v>
      </c>
      <c r="J943" s="11" t="s">
        <v>935</v>
      </c>
    </row>
    <row r="944" spans="1:10" ht="13.15" customHeight="1" x14ac:dyDescent="0.25">
      <c r="A944">
        <f t="shared" si="84"/>
        <v>939</v>
      </c>
      <c r="B944" t="s">
        <v>1030</v>
      </c>
      <c r="C944" s="2">
        <v>0.42638888888888887</v>
      </c>
      <c r="D944" s="4">
        <f t="shared" si="90"/>
        <v>0.12222222222222223</v>
      </c>
      <c r="E944" s="6">
        <v>0.30416666666666664</v>
      </c>
      <c r="F944" s="5">
        <f t="shared" si="91"/>
        <v>0.71335504885993484</v>
      </c>
      <c r="G944" s="5">
        <v>0.81200000000000006</v>
      </c>
      <c r="H944" s="4">
        <f>63.6/1440</f>
        <v>4.4166666666666667E-2</v>
      </c>
      <c r="I944" s="5">
        <v>0.11799999999999999</v>
      </c>
      <c r="J944" s="11" t="s">
        <v>1022</v>
      </c>
    </row>
    <row r="945" spans="1:10" ht="13.15" customHeight="1" x14ac:dyDescent="0.25">
      <c r="A945">
        <f t="shared" si="84"/>
        <v>940</v>
      </c>
      <c r="B945" t="s">
        <v>1566</v>
      </c>
      <c r="C945" s="2">
        <v>0.43125000000000002</v>
      </c>
      <c r="D945" s="4">
        <f t="shared" si="90"/>
        <v>0.12708333333333338</v>
      </c>
      <c r="E945" s="6">
        <v>0.30416666666666664</v>
      </c>
      <c r="F945" s="5">
        <f t="shared" si="91"/>
        <v>0.70531400966183566</v>
      </c>
      <c r="G945" s="5">
        <v>0.80100000000000005</v>
      </c>
      <c r="H945" s="4">
        <f>61/1440</f>
        <v>4.2361111111111113E-2</v>
      </c>
      <c r="I945" s="5">
        <v>0.1111</v>
      </c>
      <c r="J945" s="11" t="s">
        <v>1563</v>
      </c>
    </row>
    <row r="946" spans="1:10" ht="13.15" customHeight="1" x14ac:dyDescent="0.25">
      <c r="A946">
        <f t="shared" si="84"/>
        <v>941</v>
      </c>
      <c r="B946" t="s">
        <v>1770</v>
      </c>
      <c r="C946" s="2">
        <v>0.42083333333333334</v>
      </c>
      <c r="D946" s="4">
        <f t="shared" si="90"/>
        <v>0.1166666666666667</v>
      </c>
      <c r="E946" s="6">
        <v>0.30416666666666664</v>
      </c>
      <c r="F946" s="5">
        <f t="shared" si="91"/>
        <v>0.72277227722772275</v>
      </c>
      <c r="G946" s="5">
        <v>0.84399999999999997</v>
      </c>
      <c r="H946" s="4">
        <f>66.1/1440</f>
        <v>4.5902777777777772E-2</v>
      </c>
      <c r="I946" s="5">
        <v>0.127</v>
      </c>
      <c r="J946" s="11" t="s">
        <v>1763</v>
      </c>
    </row>
    <row r="947" spans="1:10" ht="13.15" customHeight="1" x14ac:dyDescent="0.25">
      <c r="A947">
        <f t="shared" si="84"/>
        <v>942</v>
      </c>
      <c r="B947" t="s">
        <v>269</v>
      </c>
      <c r="C947" s="2">
        <v>0.46180555555555558</v>
      </c>
      <c r="D947" s="4">
        <f t="shared" si="90"/>
        <v>0.15833333333333338</v>
      </c>
      <c r="E947" s="6">
        <v>0.3034722222222222</v>
      </c>
      <c r="F947" s="5">
        <f t="shared" si="91"/>
        <v>0.65714285714285703</v>
      </c>
      <c r="G947" s="5">
        <v>0.63800000000000001</v>
      </c>
      <c r="H947" s="4">
        <f>59.7/1440</f>
        <v>4.1458333333333333E-2</v>
      </c>
      <c r="I947" s="5">
        <v>8.6999999999999994E-2</v>
      </c>
      <c r="J947" s="11" t="s">
        <v>270</v>
      </c>
    </row>
    <row r="948" spans="1:10" ht="13.15" customHeight="1" x14ac:dyDescent="0.25">
      <c r="A948">
        <f t="shared" si="84"/>
        <v>943</v>
      </c>
      <c r="B948" t="s">
        <v>684</v>
      </c>
      <c r="C948" s="2">
        <v>0.42638888888888887</v>
      </c>
      <c r="D948" s="4">
        <f t="shared" si="90"/>
        <v>0.12291666666666667</v>
      </c>
      <c r="E948" s="6">
        <v>0.3034722222222222</v>
      </c>
      <c r="F948" s="5">
        <f t="shared" si="91"/>
        <v>0.71172638436482083</v>
      </c>
      <c r="G948" s="5">
        <v>0.78</v>
      </c>
      <c r="H948" s="4">
        <f>63.3/1440</f>
        <v>4.3958333333333328E-2</v>
      </c>
      <c r="I948" s="5">
        <v>0.113</v>
      </c>
      <c r="J948" s="11" t="s">
        <v>687</v>
      </c>
    </row>
    <row r="949" spans="1:10" ht="13.15" customHeight="1" x14ac:dyDescent="0.25">
      <c r="A949">
        <f t="shared" si="84"/>
        <v>944</v>
      </c>
      <c r="B949" t="s">
        <v>780</v>
      </c>
      <c r="C949" s="2">
        <v>0.41666666666666669</v>
      </c>
      <c r="D949" s="4">
        <f t="shared" si="90"/>
        <v>0.11319444444444449</v>
      </c>
      <c r="E949" s="6">
        <v>0.3034722222222222</v>
      </c>
      <c r="F949" s="5">
        <f t="shared" si="91"/>
        <v>0.72833333333333328</v>
      </c>
      <c r="G949" s="5">
        <v>0.86899999999999999</v>
      </c>
      <c r="H949" s="4">
        <f>62.3/1440</f>
        <v>4.3263888888888886E-2</v>
      </c>
      <c r="I949" s="5">
        <v>0.124</v>
      </c>
      <c r="J949" s="11" t="s">
        <v>782</v>
      </c>
    </row>
    <row r="950" spans="1:10" ht="13.15" customHeight="1" x14ac:dyDescent="0.25">
      <c r="A950">
        <f t="shared" si="84"/>
        <v>945</v>
      </c>
      <c r="B950" t="s">
        <v>863</v>
      </c>
      <c r="C950" s="2">
        <v>0.42569444444444443</v>
      </c>
      <c r="D950" s="4">
        <f t="shared" si="90"/>
        <v>0.12222222222222223</v>
      </c>
      <c r="E950" s="6">
        <v>0.3034722222222222</v>
      </c>
      <c r="F950" s="5">
        <f t="shared" si="91"/>
        <v>0.71288743882544858</v>
      </c>
      <c r="G950" s="5">
        <v>0.874</v>
      </c>
      <c r="H950" s="4">
        <f>61.8/1440</f>
        <v>4.2916666666666665E-2</v>
      </c>
      <c r="I950" s="5">
        <v>0.123</v>
      </c>
      <c r="J950" s="11" t="s">
        <v>866</v>
      </c>
    </row>
    <row r="951" spans="1:10" ht="13.15" customHeight="1" x14ac:dyDescent="0.25">
      <c r="A951">
        <f t="shared" si="84"/>
        <v>946</v>
      </c>
      <c r="B951" t="s">
        <v>970</v>
      </c>
      <c r="C951" s="2">
        <v>0.39513888888888887</v>
      </c>
      <c r="D951" s="4">
        <f t="shared" si="90"/>
        <v>9.1666666666666674E-2</v>
      </c>
      <c r="E951" s="6">
        <v>0.3034722222222222</v>
      </c>
      <c r="F951" s="5">
        <f t="shared" si="91"/>
        <v>0.76801405975395431</v>
      </c>
      <c r="G951" s="5">
        <v>0.82899999999999996</v>
      </c>
      <c r="H951" s="4">
        <f>65.3/1440</f>
        <v>4.5347222222222219E-2</v>
      </c>
      <c r="I951" s="5">
        <v>0.124</v>
      </c>
      <c r="J951" s="11" t="s">
        <v>967</v>
      </c>
    </row>
    <row r="952" spans="1:10" ht="13.15" customHeight="1" x14ac:dyDescent="0.25">
      <c r="A952">
        <f t="shared" si="84"/>
        <v>947</v>
      </c>
      <c r="B952" t="s">
        <v>974</v>
      </c>
      <c r="C952" s="2">
        <v>0.45694444444444443</v>
      </c>
      <c r="D952" s="4">
        <f t="shared" si="90"/>
        <v>0.15347222222222223</v>
      </c>
      <c r="E952" s="6">
        <v>0.3034722222222222</v>
      </c>
      <c r="F952" s="5">
        <f t="shared" si="91"/>
        <v>0.66413373860182368</v>
      </c>
      <c r="G952" s="5">
        <v>0.81899999999999995</v>
      </c>
      <c r="H952" s="4">
        <f>65/1440</f>
        <v>4.5138888888888888E-2</v>
      </c>
      <c r="I952" s="5">
        <v>0.122</v>
      </c>
      <c r="J952" s="11" t="s">
        <v>973</v>
      </c>
    </row>
    <row r="953" spans="1:10" ht="13.15" customHeight="1" x14ac:dyDescent="0.25">
      <c r="A953">
        <f t="shared" si="84"/>
        <v>948</v>
      </c>
      <c r="B953" t="s">
        <v>1424</v>
      </c>
      <c r="C953" s="2">
        <v>0.40902777777777777</v>
      </c>
      <c r="D953" s="4">
        <v>0.10347222222222222</v>
      </c>
      <c r="E953" s="6">
        <v>0.3034722222222222</v>
      </c>
      <c r="F953" s="5">
        <f t="shared" si="91"/>
        <v>0.74193548387096775</v>
      </c>
      <c r="G953" s="5">
        <v>0.84199999999999997</v>
      </c>
      <c r="H953" s="4">
        <f>70.8/1440</f>
        <v>4.9166666666666664E-2</v>
      </c>
      <c r="I953" s="5">
        <v>0.13600000000000001</v>
      </c>
      <c r="J953" s="11" t="s">
        <v>1416</v>
      </c>
    </row>
    <row r="954" spans="1:10" ht="13.15" customHeight="1" x14ac:dyDescent="0.25">
      <c r="A954">
        <f t="shared" si="84"/>
        <v>949</v>
      </c>
      <c r="B954" t="s">
        <v>1430</v>
      </c>
      <c r="C954" s="2">
        <v>0.41944444444444445</v>
      </c>
      <c r="D954" s="4">
        <v>0.10347222222222222</v>
      </c>
      <c r="E954" s="6">
        <v>0.3034722222222222</v>
      </c>
      <c r="F954" s="5">
        <f t="shared" si="91"/>
        <v>0.72350993377483441</v>
      </c>
      <c r="G954" s="5">
        <v>0.82399999999999995</v>
      </c>
      <c r="H954" s="4">
        <f>70.4/1440</f>
        <v>4.8888888888888891E-2</v>
      </c>
      <c r="I954" s="5">
        <v>0.13300000000000001</v>
      </c>
      <c r="J954" s="11" t="s">
        <v>1416</v>
      </c>
    </row>
    <row r="955" spans="1:10" ht="13.15" customHeight="1" x14ac:dyDescent="0.25">
      <c r="A955">
        <f t="shared" si="84"/>
        <v>950</v>
      </c>
      <c r="B955" t="s">
        <v>1754</v>
      </c>
      <c r="C955" s="2">
        <v>0.42291666666666666</v>
      </c>
      <c r="D955" s="4">
        <f t="shared" ref="D955:D993" si="92">C955-E955</f>
        <v>0.11944444444444446</v>
      </c>
      <c r="E955" s="6">
        <v>0.3034722222222222</v>
      </c>
      <c r="F955" s="5">
        <f t="shared" si="91"/>
        <v>0.71756978653530368</v>
      </c>
      <c r="G955" s="5">
        <v>0.73299999999999998</v>
      </c>
      <c r="H955" s="4">
        <f>50.8/1440</f>
        <v>3.5277777777777776E-2</v>
      </c>
      <c r="I955" s="5">
        <v>8.5000000000000006E-2</v>
      </c>
      <c r="J955" s="11" t="s">
        <v>1752</v>
      </c>
    </row>
    <row r="956" spans="1:10" ht="13.15" customHeight="1" x14ac:dyDescent="0.25">
      <c r="A956">
        <f t="shared" si="84"/>
        <v>951</v>
      </c>
      <c r="B956" t="s">
        <v>0</v>
      </c>
      <c r="C956" s="2">
        <v>0.41736111111111113</v>
      </c>
      <c r="D956" s="4">
        <f t="shared" si="92"/>
        <v>0.11458333333333337</v>
      </c>
      <c r="E956" s="6">
        <v>0.30277777777777776</v>
      </c>
      <c r="F956" s="5">
        <f t="shared" si="91"/>
        <v>0.72545757071547412</v>
      </c>
      <c r="G956" s="5">
        <v>0.79900000000000004</v>
      </c>
      <c r="H956" s="4">
        <f>78.2/1440</f>
        <v>5.4305555555555558E-2</v>
      </c>
      <c r="I956" s="5">
        <v>0.14299999999999999</v>
      </c>
      <c r="J956" s="11" t="s">
        <v>78</v>
      </c>
    </row>
    <row r="957" spans="1:10" ht="13.15" customHeight="1" x14ac:dyDescent="0.25">
      <c r="A957">
        <f t="shared" si="84"/>
        <v>952</v>
      </c>
      <c r="B957" t="s">
        <v>271</v>
      </c>
      <c r="C957" s="2">
        <v>0.44513888888888892</v>
      </c>
      <c r="D957" s="4">
        <f t="shared" si="92"/>
        <v>0.14236111111111116</v>
      </c>
      <c r="E957" s="6">
        <v>0.30277777777777776</v>
      </c>
      <c r="F957" s="5">
        <f t="shared" si="91"/>
        <v>0.68018720748829942</v>
      </c>
      <c r="G957" s="5">
        <v>0.89700000000000002</v>
      </c>
      <c r="H957" s="4">
        <f>72.9/1440</f>
        <v>5.0625000000000003E-2</v>
      </c>
      <c r="I957" s="5">
        <v>0.15</v>
      </c>
      <c r="J957" s="11" t="s">
        <v>272</v>
      </c>
    </row>
    <row r="958" spans="1:10" ht="13.15" customHeight="1" x14ac:dyDescent="0.25">
      <c r="A958">
        <f t="shared" si="84"/>
        <v>953</v>
      </c>
      <c r="B958" t="s">
        <v>273</v>
      </c>
      <c r="C958" s="2">
        <v>0.50416666666666665</v>
      </c>
      <c r="D958" s="4">
        <f t="shared" si="92"/>
        <v>0.2013888888888889</v>
      </c>
      <c r="E958" s="6">
        <v>0.30277777777777776</v>
      </c>
      <c r="F958" s="5">
        <f t="shared" si="91"/>
        <v>0.60055096418732778</v>
      </c>
      <c r="G958" s="5">
        <v>0.82599999999999996</v>
      </c>
      <c r="H958" s="4">
        <f>79.2/1440</f>
        <v>5.5E-2</v>
      </c>
      <c r="I958" s="5">
        <v>0.15</v>
      </c>
      <c r="J958" s="11" t="s">
        <v>274</v>
      </c>
    </row>
    <row r="959" spans="1:10" ht="13.15" customHeight="1" x14ac:dyDescent="0.25">
      <c r="A959">
        <f t="shared" si="84"/>
        <v>954</v>
      </c>
      <c r="B959" t="s">
        <v>472</v>
      </c>
      <c r="C959" s="2">
        <v>0.44791666666666669</v>
      </c>
      <c r="D959" s="4">
        <f t="shared" si="92"/>
        <v>0.14513888888888893</v>
      </c>
      <c r="E959" s="6">
        <v>0.30277777777777776</v>
      </c>
      <c r="F959" s="5">
        <f t="shared" si="91"/>
        <v>0.67596899224806195</v>
      </c>
      <c r="G959" s="5">
        <v>0.90600000000000003</v>
      </c>
      <c r="H959" s="4">
        <f>87.4/1440</f>
        <v>6.0694444444444447E-2</v>
      </c>
      <c r="I959" s="5">
        <v>0.18099999999999999</v>
      </c>
      <c r="J959" s="11" t="s">
        <v>475</v>
      </c>
    </row>
    <row r="960" spans="1:10" ht="13.15" customHeight="1" x14ac:dyDescent="0.25">
      <c r="A960">
        <f t="shared" si="84"/>
        <v>955</v>
      </c>
      <c r="B960" t="s">
        <v>608</v>
      </c>
      <c r="C960" s="2">
        <v>0.42986111111111108</v>
      </c>
      <c r="D960" s="4">
        <f t="shared" si="92"/>
        <v>0.12708333333333333</v>
      </c>
      <c r="E960" s="6">
        <v>0.30277777777777776</v>
      </c>
      <c r="F960" s="5">
        <f t="shared" si="91"/>
        <v>0.70436187399030692</v>
      </c>
      <c r="G960" s="5">
        <v>0.84199999999999997</v>
      </c>
      <c r="H960" s="4">
        <f>75.3/1440</f>
        <v>5.2291666666666667E-2</v>
      </c>
      <c r="I960" s="5">
        <v>0.14499999999999999</v>
      </c>
      <c r="J960" s="11" t="s">
        <v>611</v>
      </c>
    </row>
    <row r="961" spans="1:10" ht="13.15" customHeight="1" x14ac:dyDescent="0.25">
      <c r="A961">
        <f t="shared" si="84"/>
        <v>956</v>
      </c>
      <c r="B961" t="s">
        <v>757</v>
      </c>
      <c r="C961" s="2">
        <v>0.42083333333333334</v>
      </c>
      <c r="D961" s="4">
        <f t="shared" si="92"/>
        <v>0.11805555555555558</v>
      </c>
      <c r="E961" s="6">
        <v>0.30277777777777776</v>
      </c>
      <c r="F961" s="5">
        <f t="shared" si="91"/>
        <v>0.71947194719471941</v>
      </c>
      <c r="G961" s="5">
        <v>0.82799999999999996</v>
      </c>
      <c r="H961" s="4">
        <f>62.1/1440</f>
        <v>4.3125000000000004E-2</v>
      </c>
      <c r="I961" s="5">
        <v>0.11799999999999999</v>
      </c>
      <c r="J961" s="11" t="s">
        <v>759</v>
      </c>
    </row>
    <row r="962" spans="1:10" ht="13.15" customHeight="1" x14ac:dyDescent="0.25">
      <c r="A962">
        <f t="shared" si="84"/>
        <v>957</v>
      </c>
      <c r="B962" t="s">
        <v>945</v>
      </c>
      <c r="C962" s="2">
        <v>0.40833333333333333</v>
      </c>
      <c r="D962" s="4">
        <f t="shared" si="92"/>
        <v>0.10555555555555557</v>
      </c>
      <c r="E962" s="6">
        <v>0.30277777777777776</v>
      </c>
      <c r="F962" s="5">
        <f t="shared" si="91"/>
        <v>0.74149659863945572</v>
      </c>
      <c r="G962" s="5">
        <v>0.79400000000000004</v>
      </c>
      <c r="H962" s="4">
        <f>59.2/1440</f>
        <v>4.1111111111111112E-2</v>
      </c>
      <c r="I962" s="5">
        <v>0.108</v>
      </c>
      <c r="J962" s="11" t="s">
        <v>947</v>
      </c>
    </row>
    <row r="963" spans="1:10" ht="13.15" customHeight="1" x14ac:dyDescent="0.25">
      <c r="A963">
        <f t="shared" si="84"/>
        <v>958</v>
      </c>
      <c r="B963" t="s">
        <v>1546</v>
      </c>
      <c r="C963" s="2">
        <v>0.44097222222222221</v>
      </c>
      <c r="D963" s="4">
        <f t="shared" si="92"/>
        <v>0.13819444444444445</v>
      </c>
      <c r="E963" s="6">
        <v>0.30277777777777776</v>
      </c>
      <c r="F963" s="5">
        <f t="shared" si="91"/>
        <v>0.68661417322834639</v>
      </c>
      <c r="G963" s="5">
        <v>0.73799999999999999</v>
      </c>
      <c r="H963" s="4">
        <f>56.6/1440</f>
        <v>3.9305555555555559E-2</v>
      </c>
      <c r="I963" s="5">
        <v>9.6000000000000002E-2</v>
      </c>
      <c r="J963" s="11" t="s">
        <v>1545</v>
      </c>
    </row>
    <row r="964" spans="1:10" ht="13.15" customHeight="1" x14ac:dyDescent="0.25">
      <c r="A964">
        <f t="shared" si="84"/>
        <v>959</v>
      </c>
      <c r="B964" t="s">
        <v>566</v>
      </c>
      <c r="C964" s="2">
        <v>0.41944444444444445</v>
      </c>
      <c r="D964" s="4">
        <f t="shared" si="92"/>
        <v>0.11736111111111114</v>
      </c>
      <c r="E964" s="6">
        <v>0.30208333333333331</v>
      </c>
      <c r="F964" s="5">
        <f t="shared" ref="F964:F993" si="93">E964/C964</f>
        <v>0.7201986754966887</v>
      </c>
      <c r="G964" s="5">
        <v>0.80100000000000005</v>
      </c>
      <c r="H964" s="4">
        <f>70.2/1440</f>
        <v>4.8750000000000002E-2</v>
      </c>
      <c r="I964" s="5">
        <v>0.129</v>
      </c>
      <c r="J964" s="11" t="s">
        <v>574</v>
      </c>
    </row>
    <row r="965" spans="1:10" ht="13.15" customHeight="1" x14ac:dyDescent="0.25">
      <c r="A965">
        <f t="shared" si="84"/>
        <v>960</v>
      </c>
      <c r="B965" t="s">
        <v>572</v>
      </c>
      <c r="C965" s="2">
        <v>0.43124999999999997</v>
      </c>
      <c r="D965" s="4">
        <f t="shared" si="92"/>
        <v>0.12916666666666665</v>
      </c>
      <c r="E965" s="6">
        <v>0.30208333333333331</v>
      </c>
      <c r="F965" s="5">
        <f t="shared" si="93"/>
        <v>0.70048309178743962</v>
      </c>
      <c r="G965" s="5">
        <v>0.82199999999999995</v>
      </c>
      <c r="H965" s="4">
        <f>63.9/1440</f>
        <v>4.4374999999999998E-2</v>
      </c>
      <c r="I965" s="5">
        <v>0.121</v>
      </c>
      <c r="J965" s="11" t="s">
        <v>577</v>
      </c>
    </row>
    <row r="966" spans="1:10" ht="13.15" customHeight="1" x14ac:dyDescent="0.25">
      <c r="A966">
        <f t="shared" si="84"/>
        <v>961</v>
      </c>
      <c r="B966" t="s">
        <v>753</v>
      </c>
      <c r="C966" s="2">
        <v>0.41805555555555557</v>
      </c>
      <c r="D966" s="4">
        <f t="shared" si="92"/>
        <v>0.11597222222222225</v>
      </c>
      <c r="E966" s="6">
        <v>0.30208333333333331</v>
      </c>
      <c r="F966" s="5">
        <f t="shared" si="93"/>
        <v>0.72259136212624575</v>
      </c>
      <c r="G966" s="5">
        <v>0.80800000000000005</v>
      </c>
      <c r="H966" s="4">
        <f>64.3/1440</f>
        <v>4.4652777777777777E-2</v>
      </c>
      <c r="I966" s="5">
        <v>0.11899999999999999</v>
      </c>
      <c r="J966" s="11" t="s">
        <v>759</v>
      </c>
    </row>
    <row r="967" spans="1:10" ht="13.15" customHeight="1" x14ac:dyDescent="0.25">
      <c r="A967">
        <f t="shared" si="84"/>
        <v>962</v>
      </c>
      <c r="B967" t="s">
        <v>793</v>
      </c>
      <c r="C967" s="2">
        <v>0.4236111111111111</v>
      </c>
      <c r="D967" s="4">
        <f t="shared" si="92"/>
        <v>0.12152777777777779</v>
      </c>
      <c r="E967" s="6">
        <v>0.30208333333333331</v>
      </c>
      <c r="F967" s="5">
        <f t="shared" si="93"/>
        <v>0.71311475409836067</v>
      </c>
      <c r="G967" s="5">
        <v>0.79500000000000004</v>
      </c>
      <c r="H967" s="4">
        <f>55.6/1440</f>
        <v>3.861111111111111E-2</v>
      </c>
      <c r="I967" s="5">
        <v>0.10100000000000001</v>
      </c>
      <c r="J967" s="11" t="s">
        <v>794</v>
      </c>
    </row>
    <row r="968" spans="1:10" ht="13.15" customHeight="1" x14ac:dyDescent="0.25">
      <c r="A968">
        <f t="shared" si="84"/>
        <v>963</v>
      </c>
      <c r="B968" t="s">
        <v>833</v>
      </c>
      <c r="C968" s="2">
        <v>0.41041666666666665</v>
      </c>
      <c r="D968" s="4">
        <f t="shared" si="92"/>
        <v>0.10833333333333334</v>
      </c>
      <c r="E968" s="6">
        <v>0.30208333333333331</v>
      </c>
      <c r="F968" s="5">
        <f t="shared" si="93"/>
        <v>0.73604060913705582</v>
      </c>
      <c r="G968" s="5">
        <v>0.77700000000000002</v>
      </c>
      <c r="H968" s="4">
        <f>67.6/1440</f>
        <v>4.6944444444444441E-2</v>
      </c>
      <c r="I968" s="5">
        <v>0.121</v>
      </c>
      <c r="J968" s="11" t="s">
        <v>839</v>
      </c>
    </row>
    <row r="969" spans="1:10" ht="13.15" customHeight="1" x14ac:dyDescent="0.25">
      <c r="A969">
        <f t="shared" si="84"/>
        <v>964</v>
      </c>
      <c r="B969" t="s">
        <v>850</v>
      </c>
      <c r="C969" s="2">
        <v>0.40069444444444446</v>
      </c>
      <c r="D969" s="4">
        <f t="shared" si="92"/>
        <v>9.8611111111111149E-2</v>
      </c>
      <c r="E969" s="6">
        <v>0.30208333333333331</v>
      </c>
      <c r="F969" s="5">
        <f t="shared" si="93"/>
        <v>0.75389948006932406</v>
      </c>
      <c r="G969" s="5">
        <v>0.8</v>
      </c>
      <c r="H969" s="4">
        <f>64.4/1440</f>
        <v>4.4722222222222226E-2</v>
      </c>
      <c r="I969" s="5">
        <v>0.11799999999999999</v>
      </c>
      <c r="J969" s="11" t="s">
        <v>849</v>
      </c>
    </row>
    <row r="970" spans="1:10" ht="13.15" customHeight="1" x14ac:dyDescent="0.25">
      <c r="A970">
        <f t="shared" si="84"/>
        <v>965</v>
      </c>
      <c r="B970" t="s">
        <v>1003</v>
      </c>
      <c r="C970" s="2">
        <v>0.43611111111111112</v>
      </c>
      <c r="D970" s="4">
        <f t="shared" si="92"/>
        <v>0.1340277777777778</v>
      </c>
      <c r="E970" s="6">
        <v>0.30208333333333331</v>
      </c>
      <c r="F970" s="5">
        <f t="shared" si="93"/>
        <v>0.69267515923566869</v>
      </c>
      <c r="G970" s="5">
        <v>0.82</v>
      </c>
      <c r="H970" s="4">
        <f>64.2/1440</f>
        <v>4.4583333333333336E-2</v>
      </c>
      <c r="I970" s="5">
        <v>0.121</v>
      </c>
      <c r="J970" s="11" t="s">
        <v>1004</v>
      </c>
    </row>
    <row r="971" spans="1:10" ht="13.15" customHeight="1" x14ac:dyDescent="0.25">
      <c r="A971">
        <f t="shared" si="84"/>
        <v>966</v>
      </c>
      <c r="B971" t="s">
        <v>1013</v>
      </c>
      <c r="C971" s="2">
        <v>0.4777777777777778</v>
      </c>
      <c r="D971" s="4">
        <f t="shared" si="92"/>
        <v>0.17569444444444449</v>
      </c>
      <c r="E971" s="6">
        <v>0.30208333333333331</v>
      </c>
      <c r="F971" s="5">
        <f t="shared" si="93"/>
        <v>0.63226744186046502</v>
      </c>
      <c r="G971" s="5">
        <v>0.90700000000000003</v>
      </c>
      <c r="H971" s="4">
        <f>43.1/1440</f>
        <v>2.9930555555555557E-2</v>
      </c>
      <c r="I971" s="5">
        <v>0.09</v>
      </c>
      <c r="J971" s="11" t="s">
        <v>1010</v>
      </c>
    </row>
    <row r="972" spans="1:10" ht="13.15" customHeight="1" x14ac:dyDescent="0.25">
      <c r="A972">
        <f t="shared" si="84"/>
        <v>967</v>
      </c>
      <c r="B972" t="s">
        <v>1635</v>
      </c>
      <c r="C972" s="2">
        <v>0.40486111111111112</v>
      </c>
      <c r="D972" s="4">
        <f t="shared" si="92"/>
        <v>0.1027777777777778</v>
      </c>
      <c r="E972" s="6">
        <v>0.30208333333333331</v>
      </c>
      <c r="F972" s="5">
        <f t="shared" si="93"/>
        <v>0.74614065180102906</v>
      </c>
      <c r="G972" s="5">
        <v>0.78</v>
      </c>
      <c r="H972" s="4">
        <f>69/1440</f>
        <v>4.791666666666667E-2</v>
      </c>
      <c r="I972" s="5">
        <v>0.124</v>
      </c>
      <c r="J972" s="11" t="s">
        <v>1625</v>
      </c>
    </row>
    <row r="973" spans="1:10" ht="13.15" customHeight="1" x14ac:dyDescent="0.25">
      <c r="A973">
        <f t="shared" si="84"/>
        <v>968</v>
      </c>
      <c r="B973" t="s">
        <v>450</v>
      </c>
      <c r="C973" s="2">
        <v>0.44027777777777777</v>
      </c>
      <c r="D973" s="4">
        <f t="shared" si="92"/>
        <v>0.1388888888888889</v>
      </c>
      <c r="E973" s="6">
        <v>0.30138888888888887</v>
      </c>
      <c r="F973" s="5">
        <f t="shared" si="93"/>
        <v>0.68454258675078861</v>
      </c>
      <c r="G973" s="5">
        <v>0.75800000000000001</v>
      </c>
      <c r="H973" s="4">
        <f>81.7/1440</f>
        <v>5.6736111111111112E-2</v>
      </c>
      <c r="I973" s="5">
        <v>0.14299999999999999</v>
      </c>
      <c r="J973" s="11" t="s">
        <v>455</v>
      </c>
    </row>
    <row r="974" spans="1:10" ht="13.15" customHeight="1" x14ac:dyDescent="0.25">
      <c r="A974">
        <f t="shared" si="84"/>
        <v>969</v>
      </c>
      <c r="B974" t="s">
        <v>538</v>
      </c>
      <c r="C974" s="2">
        <v>0.43333333333333335</v>
      </c>
      <c r="D974" s="4">
        <f t="shared" si="92"/>
        <v>0.13194444444444448</v>
      </c>
      <c r="E974" s="6">
        <v>0.30138888888888887</v>
      </c>
      <c r="F974" s="5">
        <f t="shared" si="93"/>
        <v>0.69551282051282048</v>
      </c>
      <c r="G974" s="5">
        <v>0.82799999999999996</v>
      </c>
      <c r="H974" s="4">
        <f>55.6/1440</f>
        <v>3.861111111111111E-2</v>
      </c>
      <c r="I974" s="5">
        <v>0.106</v>
      </c>
      <c r="J974" s="11" t="s">
        <v>542</v>
      </c>
    </row>
    <row r="975" spans="1:10" ht="13.15" customHeight="1" x14ac:dyDescent="0.25">
      <c r="A975">
        <f t="shared" si="84"/>
        <v>970</v>
      </c>
      <c r="B975" t="s">
        <v>604</v>
      </c>
      <c r="C975" s="2">
        <v>0.42638888888888887</v>
      </c>
      <c r="D975" s="4">
        <f t="shared" si="92"/>
        <v>0.125</v>
      </c>
      <c r="E975" s="6">
        <v>0.30138888888888887</v>
      </c>
      <c r="F975" s="5">
        <f t="shared" si="93"/>
        <v>0.70684039087947881</v>
      </c>
      <c r="G975" s="5">
        <v>0.84199999999999997</v>
      </c>
      <c r="H975" s="4">
        <f>68/1440</f>
        <v>4.7222222222222221E-2</v>
      </c>
      <c r="I975" s="5">
        <v>0.13200000000000001</v>
      </c>
      <c r="J975" s="11" t="s">
        <v>606</v>
      </c>
    </row>
    <row r="976" spans="1:10" ht="13.15" customHeight="1" x14ac:dyDescent="0.25">
      <c r="A976">
        <f t="shared" si="84"/>
        <v>971</v>
      </c>
      <c r="B976" t="s">
        <v>631</v>
      </c>
      <c r="C976" s="2">
        <v>0.4069444444444445</v>
      </c>
      <c r="D976" s="4">
        <f t="shared" si="92"/>
        <v>0.10555555555555562</v>
      </c>
      <c r="E976" s="6">
        <v>0.30138888888888887</v>
      </c>
      <c r="F976" s="5">
        <f t="shared" si="93"/>
        <v>0.74061433447098968</v>
      </c>
      <c r="G976" s="5">
        <v>0.86</v>
      </c>
      <c r="H976" s="4">
        <f>71.1/1440</f>
        <v>4.9374999999999995E-2</v>
      </c>
      <c r="I976" s="5">
        <v>0.14099999999999999</v>
      </c>
      <c r="J976" s="11"/>
    </row>
    <row r="977" spans="1:10" ht="13.15" customHeight="1" x14ac:dyDescent="0.25">
      <c r="A977">
        <f t="shared" si="84"/>
        <v>972</v>
      </c>
      <c r="B977" t="s">
        <v>666</v>
      </c>
      <c r="C977" s="2">
        <v>0.42708333333333331</v>
      </c>
      <c r="D977" s="4">
        <f t="shared" si="92"/>
        <v>0.12569444444444444</v>
      </c>
      <c r="E977" s="6">
        <v>0.30138888888888887</v>
      </c>
      <c r="F977" s="5">
        <f t="shared" si="93"/>
        <v>0.7056910569105691</v>
      </c>
      <c r="G977" s="5">
        <v>0.77300000000000002</v>
      </c>
      <c r="H977" s="4">
        <f>60.1/1440</f>
        <v>4.1736111111111113E-2</v>
      </c>
      <c r="I977" s="5">
        <v>0.107</v>
      </c>
      <c r="J977" s="11" t="s">
        <v>668</v>
      </c>
    </row>
    <row r="978" spans="1:10" ht="13.15" customHeight="1" x14ac:dyDescent="0.25">
      <c r="A978">
        <f t="shared" si="84"/>
        <v>973</v>
      </c>
      <c r="B978" t="s">
        <v>756</v>
      </c>
      <c r="C978" s="2">
        <v>0.4201388888888889</v>
      </c>
      <c r="D978" s="4">
        <f t="shared" si="92"/>
        <v>0.11875000000000002</v>
      </c>
      <c r="E978" s="6">
        <v>0.30138888888888887</v>
      </c>
      <c r="F978" s="5">
        <f t="shared" si="93"/>
        <v>0.71735537190082643</v>
      </c>
      <c r="G978" s="5">
        <v>0.83399999999999996</v>
      </c>
      <c r="H978" s="4">
        <f>62.7/1440</f>
        <v>4.3541666666666666E-2</v>
      </c>
      <c r="I978" s="5">
        <v>0.12</v>
      </c>
      <c r="J978" s="11" t="s">
        <v>759</v>
      </c>
    </row>
    <row r="979" spans="1:10" ht="13.15" customHeight="1" x14ac:dyDescent="0.25">
      <c r="A979">
        <f t="shared" si="84"/>
        <v>974</v>
      </c>
      <c r="B979" t="s">
        <v>861</v>
      </c>
      <c r="C979" s="2">
        <v>0.4284722222222222</v>
      </c>
      <c r="D979" s="4">
        <f t="shared" si="92"/>
        <v>0.12708333333333333</v>
      </c>
      <c r="E979" s="6">
        <v>0.30138888888888887</v>
      </c>
      <c r="F979" s="5">
        <f t="shared" si="93"/>
        <v>0.70340356564019446</v>
      </c>
      <c r="G979" s="5">
        <v>0.83599999999999997</v>
      </c>
      <c r="H979" s="4">
        <f>67/1440</f>
        <v>4.6527777777777779E-2</v>
      </c>
      <c r="I979" s="5">
        <v>0.129</v>
      </c>
      <c r="J979" s="11" t="s">
        <v>866</v>
      </c>
    </row>
    <row r="980" spans="1:10" ht="13.15" customHeight="1" x14ac:dyDescent="0.25">
      <c r="A980">
        <f t="shared" ref="A980:A1043" si="94">A979+1</f>
        <v>975</v>
      </c>
      <c r="B980" t="s">
        <v>1236</v>
      </c>
      <c r="C980" s="2">
        <v>0.41805555555555557</v>
      </c>
      <c r="D980" s="4">
        <f t="shared" si="92"/>
        <v>0.1166666666666667</v>
      </c>
      <c r="E980" s="6">
        <v>0.30138888888888887</v>
      </c>
      <c r="F980" s="5">
        <f t="shared" si="93"/>
        <v>0.72093023255813948</v>
      </c>
      <c r="G980" s="5">
        <v>0.82699999999999996</v>
      </c>
      <c r="H980" s="4">
        <f>64.5/1440</f>
        <v>4.4791666666666667E-2</v>
      </c>
      <c r="I980" s="5">
        <v>0.123</v>
      </c>
      <c r="J980" s="11" t="s">
        <v>1237</v>
      </c>
    </row>
    <row r="981" spans="1:10" ht="13.15" customHeight="1" x14ac:dyDescent="0.25">
      <c r="A981">
        <f t="shared" si="94"/>
        <v>976</v>
      </c>
      <c r="B981" t="s">
        <v>1704</v>
      </c>
      <c r="C981" s="2">
        <v>0.40972222222222221</v>
      </c>
      <c r="D981" s="4">
        <f t="shared" si="92"/>
        <v>0.10833333333333334</v>
      </c>
      <c r="E981" s="6">
        <v>0.30138888888888887</v>
      </c>
      <c r="F981" s="5">
        <f t="shared" si="93"/>
        <v>0.735593220338983</v>
      </c>
      <c r="G981" s="5">
        <v>0.78500000000000003</v>
      </c>
      <c r="H981" s="4">
        <f>60.2/1440</f>
        <v>4.1805555555555554E-2</v>
      </c>
      <c r="I981" s="5">
        <v>0.109</v>
      </c>
      <c r="J981" s="11" t="s">
        <v>1696</v>
      </c>
    </row>
    <row r="982" spans="1:10" ht="13.15" customHeight="1" x14ac:dyDescent="0.25">
      <c r="A982">
        <f t="shared" si="94"/>
        <v>977</v>
      </c>
      <c r="B982" t="s">
        <v>569</v>
      </c>
      <c r="C982" s="2">
        <v>0.47291666666666665</v>
      </c>
      <c r="D982" s="4">
        <f t="shared" si="92"/>
        <v>0.17222222222222222</v>
      </c>
      <c r="E982" s="6">
        <v>0.30069444444444443</v>
      </c>
      <c r="F982" s="5">
        <f t="shared" si="93"/>
        <v>0.63582966226138027</v>
      </c>
      <c r="G982" s="5">
        <v>0.72099999999999997</v>
      </c>
      <c r="H982" s="4">
        <f>51.1/1440</f>
        <v>3.5486111111111114E-2</v>
      </c>
      <c r="I982" s="5">
        <v>8.5000000000000006E-2</v>
      </c>
      <c r="J982" s="11" t="s">
        <v>575</v>
      </c>
    </row>
    <row r="983" spans="1:10" ht="13.15" customHeight="1" x14ac:dyDescent="0.25">
      <c r="A983">
        <f t="shared" si="94"/>
        <v>978</v>
      </c>
      <c r="B983" t="s">
        <v>667</v>
      </c>
      <c r="C983" s="2">
        <v>0.42638888888888887</v>
      </c>
      <c r="D983" s="4">
        <f t="shared" si="92"/>
        <v>0.12569444444444444</v>
      </c>
      <c r="E983" s="6">
        <v>0.30069444444444443</v>
      </c>
      <c r="F983" s="5">
        <f t="shared" si="93"/>
        <v>0.7052117263843648</v>
      </c>
      <c r="G983" s="5">
        <v>0.78300000000000003</v>
      </c>
      <c r="H983" s="4">
        <f>58.4/1440</f>
        <v>4.0555555555555553E-2</v>
      </c>
      <c r="I983" s="5">
        <v>0.106</v>
      </c>
      <c r="J983" s="11" t="s">
        <v>668</v>
      </c>
    </row>
    <row r="984" spans="1:10" ht="13.15" customHeight="1" x14ac:dyDescent="0.25">
      <c r="A984">
        <f t="shared" si="94"/>
        <v>979</v>
      </c>
      <c r="B984" t="s">
        <v>677</v>
      </c>
      <c r="C984" s="2">
        <v>0.44375000000000003</v>
      </c>
      <c r="D984" s="4">
        <f t="shared" si="92"/>
        <v>0.1430555555555556</v>
      </c>
      <c r="E984" s="6">
        <v>0.30069444444444443</v>
      </c>
      <c r="F984" s="5">
        <f t="shared" si="93"/>
        <v>0.67762128325508597</v>
      </c>
      <c r="G984" s="5">
        <v>0.80600000000000005</v>
      </c>
      <c r="H984" s="4">
        <f>67/1440</f>
        <v>4.6527777777777779E-2</v>
      </c>
      <c r="I984" s="5">
        <v>0.125</v>
      </c>
      <c r="J984" s="11" t="s">
        <v>681</v>
      </c>
    </row>
    <row r="985" spans="1:10" ht="13.15" customHeight="1" x14ac:dyDescent="0.25">
      <c r="A985">
        <f t="shared" si="94"/>
        <v>980</v>
      </c>
      <c r="B985" t="s">
        <v>738</v>
      </c>
      <c r="C985" s="2">
        <v>0.43055555555555558</v>
      </c>
      <c r="D985" s="4">
        <f t="shared" si="92"/>
        <v>0.12986111111111115</v>
      </c>
      <c r="E985" s="6">
        <v>0.30069444444444443</v>
      </c>
      <c r="F985" s="5">
        <f t="shared" si="93"/>
        <v>0.69838709677419353</v>
      </c>
      <c r="G985" s="5">
        <v>0.80600000000000005</v>
      </c>
      <c r="H985" s="4">
        <f>67.6/1440</f>
        <v>4.6944444444444441E-2</v>
      </c>
      <c r="I985" s="5">
        <v>0.126</v>
      </c>
      <c r="J985" s="11" t="s">
        <v>748</v>
      </c>
    </row>
    <row r="986" spans="1:10" ht="13.15" customHeight="1" x14ac:dyDescent="0.25">
      <c r="A986">
        <f t="shared" si="94"/>
        <v>981</v>
      </c>
      <c r="B986" t="s">
        <v>755</v>
      </c>
      <c r="C986" s="2">
        <v>0.4236111111111111</v>
      </c>
      <c r="D986" s="4">
        <f t="shared" si="92"/>
        <v>0.12291666666666667</v>
      </c>
      <c r="E986" s="6">
        <v>0.30069444444444443</v>
      </c>
      <c r="F986" s="5">
        <f t="shared" si="93"/>
        <v>0.70983606557377044</v>
      </c>
      <c r="G986" s="5">
        <v>0.81200000000000006</v>
      </c>
      <c r="H986" s="4">
        <f>62.4/1440</f>
        <v>4.3333333333333335E-2</v>
      </c>
      <c r="I986" s="5">
        <v>0.11700000000000001</v>
      </c>
      <c r="J986" s="11" t="s">
        <v>759</v>
      </c>
    </row>
    <row r="987" spans="1:10" ht="13.15" customHeight="1" x14ac:dyDescent="0.25">
      <c r="A987">
        <f t="shared" si="94"/>
        <v>982</v>
      </c>
      <c r="B987" t="s">
        <v>901</v>
      </c>
      <c r="C987" s="2">
        <v>0.42152777777777778</v>
      </c>
      <c r="D987" s="4">
        <f t="shared" si="92"/>
        <v>0.12083333333333335</v>
      </c>
      <c r="E987" s="6">
        <v>0.30069444444444443</v>
      </c>
      <c r="F987" s="5">
        <f t="shared" si="93"/>
        <v>0.71334431630971995</v>
      </c>
      <c r="G987" s="5">
        <v>0.81699999999999995</v>
      </c>
      <c r="H987" s="4">
        <f>62/1440</f>
        <v>4.3055555555555555E-2</v>
      </c>
      <c r="I987" s="5">
        <v>0.11700000000000001</v>
      </c>
      <c r="J987" s="11" t="s">
        <v>897</v>
      </c>
    </row>
    <row r="988" spans="1:10" ht="13.15" customHeight="1" x14ac:dyDescent="0.25">
      <c r="A988">
        <f t="shared" si="94"/>
        <v>983</v>
      </c>
      <c r="B988" t="s">
        <v>936</v>
      </c>
      <c r="C988" s="2">
        <v>0.42777777777777776</v>
      </c>
      <c r="D988" s="4">
        <f t="shared" si="92"/>
        <v>0.12708333333333333</v>
      </c>
      <c r="E988" s="6">
        <v>0.30069444444444443</v>
      </c>
      <c r="F988" s="5">
        <f t="shared" si="93"/>
        <v>0.70292207792207795</v>
      </c>
      <c r="G988" s="5">
        <v>0.82299999999999995</v>
      </c>
      <c r="H988" s="4">
        <f>61.2/1440</f>
        <v>4.2500000000000003E-2</v>
      </c>
      <c r="I988" s="5">
        <v>0.11600000000000001</v>
      </c>
      <c r="J988" s="11" t="s">
        <v>937</v>
      </c>
    </row>
    <row r="989" spans="1:10" ht="13.15" customHeight="1" x14ac:dyDescent="0.25">
      <c r="A989">
        <f t="shared" si="94"/>
        <v>984</v>
      </c>
      <c r="B989" t="s">
        <v>963</v>
      </c>
      <c r="C989" s="2">
        <v>0.37430555555555556</v>
      </c>
      <c r="D989" s="4">
        <f t="shared" si="92"/>
        <v>7.3611111111111127E-2</v>
      </c>
      <c r="E989" s="6">
        <v>0.30069444444444443</v>
      </c>
      <c r="F989" s="5">
        <f t="shared" si="93"/>
        <v>0.80333951762523192</v>
      </c>
      <c r="G989" s="5">
        <v>0.92900000000000005</v>
      </c>
      <c r="H989" s="4">
        <f>52.4/1440</f>
        <v>3.6388888888888887E-2</v>
      </c>
      <c r="I989" s="5">
        <v>0.112</v>
      </c>
      <c r="J989" s="11" t="s">
        <v>961</v>
      </c>
    </row>
    <row r="990" spans="1:10" ht="13.15" customHeight="1" x14ac:dyDescent="0.25">
      <c r="A990">
        <f t="shared" si="94"/>
        <v>985</v>
      </c>
      <c r="B990" t="s">
        <v>976</v>
      </c>
      <c r="C990" s="2">
        <v>0.45624999999999999</v>
      </c>
      <c r="D990" s="4">
        <f t="shared" si="92"/>
        <v>0.15555555555555556</v>
      </c>
      <c r="E990" s="6">
        <v>0.30069444444444443</v>
      </c>
      <c r="F990" s="5">
        <f t="shared" si="93"/>
        <v>0.65905631659056318</v>
      </c>
      <c r="G990" s="5">
        <v>0.81599999999999995</v>
      </c>
      <c r="H990" s="4">
        <f>70.2/1440</f>
        <v>4.8750000000000002E-2</v>
      </c>
      <c r="I990" s="5">
        <v>0.13200000000000001</v>
      </c>
      <c r="J990" s="11" t="s">
        <v>973</v>
      </c>
    </row>
    <row r="991" spans="1:10" ht="13.15" customHeight="1" x14ac:dyDescent="0.25">
      <c r="A991">
        <f t="shared" si="94"/>
        <v>986</v>
      </c>
      <c r="B991" t="s">
        <v>1342</v>
      </c>
      <c r="C991" s="2">
        <v>0.40763888888888888</v>
      </c>
      <c r="D991" s="4">
        <f t="shared" si="92"/>
        <v>0.10694444444444445</v>
      </c>
      <c r="E991" s="6">
        <v>0.30069444444444443</v>
      </c>
      <c r="F991" s="5">
        <f t="shared" si="93"/>
        <v>0.73764906303236799</v>
      </c>
      <c r="G991" s="5">
        <v>0.72399999999999998</v>
      </c>
      <c r="H991" s="4">
        <f>55/1440</f>
        <v>3.8194444444444448E-2</v>
      </c>
      <c r="I991" s="5">
        <v>9.1999999999999998E-2</v>
      </c>
      <c r="J991" s="11" t="s">
        <v>1340</v>
      </c>
    </row>
    <row r="992" spans="1:10" ht="13.15" customHeight="1" x14ac:dyDescent="0.25">
      <c r="A992">
        <f t="shared" si="94"/>
        <v>987</v>
      </c>
      <c r="B992" t="s">
        <v>628</v>
      </c>
      <c r="C992" s="2">
        <v>0.42430555555555555</v>
      </c>
      <c r="D992" s="4">
        <f t="shared" si="92"/>
        <v>0.12430555555555556</v>
      </c>
      <c r="E992" s="6">
        <v>0.3</v>
      </c>
      <c r="F992" s="5">
        <f t="shared" si="93"/>
        <v>0.707037643207856</v>
      </c>
      <c r="G992" s="5">
        <v>0.79800000000000004</v>
      </c>
      <c r="H992" s="4">
        <f>61.8/1440</f>
        <v>4.2916666666666665E-2</v>
      </c>
      <c r="I992" s="5">
        <v>0.114</v>
      </c>
      <c r="J992" s="11" t="s">
        <v>629</v>
      </c>
    </row>
    <row r="993" spans="1:10" ht="13.15" customHeight="1" x14ac:dyDescent="0.25">
      <c r="A993">
        <f t="shared" si="94"/>
        <v>988</v>
      </c>
      <c r="B993" t="s">
        <v>662</v>
      </c>
      <c r="C993" s="2">
        <v>0.43472222222222223</v>
      </c>
      <c r="D993" s="4">
        <f t="shared" si="92"/>
        <v>0.13472222222222224</v>
      </c>
      <c r="E993" s="6">
        <v>0.3</v>
      </c>
      <c r="F993" s="5">
        <f t="shared" si="93"/>
        <v>0.69009584664536738</v>
      </c>
      <c r="G993" s="5">
        <v>0.81699999999999995</v>
      </c>
      <c r="H993" s="4">
        <f>60.7/1440</f>
        <v>4.2152777777777782E-2</v>
      </c>
      <c r="I993" s="5">
        <v>0.115</v>
      </c>
      <c r="J993" s="11" t="s">
        <v>663</v>
      </c>
    </row>
    <row r="994" spans="1:10" ht="13.15" customHeight="1" x14ac:dyDescent="0.25">
      <c r="A994">
        <f t="shared" si="94"/>
        <v>989</v>
      </c>
      <c r="B994" t="s">
        <v>729</v>
      </c>
      <c r="C994" s="2">
        <v>0.42222222222222222</v>
      </c>
      <c r="D994" s="4">
        <v>0.12222222222222223</v>
      </c>
      <c r="E994" s="6">
        <v>0.3</v>
      </c>
      <c r="F994" s="5">
        <v>0.71052631578947367</v>
      </c>
      <c r="G994" s="5">
        <v>0.82799999999999996</v>
      </c>
      <c r="H994" s="4">
        <v>5.0902777777777776E-2</v>
      </c>
      <c r="I994" s="5">
        <v>0.14000000000000001</v>
      </c>
      <c r="J994" s="11" t="s">
        <v>731</v>
      </c>
    </row>
    <row r="995" spans="1:10" ht="13.15" customHeight="1" x14ac:dyDescent="0.25">
      <c r="A995">
        <f t="shared" si="94"/>
        <v>990</v>
      </c>
      <c r="B995" t="s">
        <v>931</v>
      </c>
      <c r="C995" s="2">
        <v>0.41805555555555557</v>
      </c>
      <c r="D995" s="4">
        <f t="shared" ref="D995:D1022" si="95">C995-E995</f>
        <v>0.11805555555555558</v>
      </c>
      <c r="E995" s="6">
        <v>0.3</v>
      </c>
      <c r="F995" s="5">
        <f t="shared" ref="F995:F1022" si="96">E995/C995</f>
        <v>0.71760797342192684</v>
      </c>
      <c r="G995" s="5">
        <v>0.86299999999999999</v>
      </c>
      <c r="H995" s="4">
        <f>58/1440</f>
        <v>4.027777777777778E-2</v>
      </c>
      <c r="I995" s="5">
        <v>0.11600000000000001</v>
      </c>
      <c r="J995" s="11" t="s">
        <v>935</v>
      </c>
    </row>
    <row r="996" spans="1:10" ht="13.15" customHeight="1" x14ac:dyDescent="0.25">
      <c r="A996">
        <f t="shared" si="94"/>
        <v>991</v>
      </c>
      <c r="B996" t="s">
        <v>972</v>
      </c>
      <c r="C996" s="2">
        <v>0.43680555555555556</v>
      </c>
      <c r="D996" s="4">
        <f t="shared" si="95"/>
        <v>0.13680555555555557</v>
      </c>
      <c r="E996" s="6">
        <v>0.3</v>
      </c>
      <c r="F996" s="5">
        <f t="shared" si="96"/>
        <v>0.68680445151033387</v>
      </c>
      <c r="G996" s="5">
        <v>0.81299999999999994</v>
      </c>
      <c r="H996" s="4">
        <f>65.22/1440</f>
        <v>4.5291666666666668E-2</v>
      </c>
      <c r="I996" s="5">
        <v>0.123</v>
      </c>
      <c r="J996" s="11" t="s">
        <v>973</v>
      </c>
    </row>
    <row r="997" spans="1:10" ht="13.15" customHeight="1" x14ac:dyDescent="0.25">
      <c r="A997">
        <f t="shared" si="94"/>
        <v>992</v>
      </c>
      <c r="B997" t="s">
        <v>980</v>
      </c>
      <c r="C997" s="2">
        <v>0.44861111111111113</v>
      </c>
      <c r="D997" s="4">
        <f t="shared" si="95"/>
        <v>0.14861111111111114</v>
      </c>
      <c r="E997" s="6">
        <v>0.3</v>
      </c>
      <c r="F997" s="5">
        <f t="shared" si="96"/>
        <v>0.66873065015479871</v>
      </c>
      <c r="G997" s="5">
        <v>0.83199999999999996</v>
      </c>
      <c r="H997" s="4">
        <f>63.3/1440</f>
        <v>4.3958333333333328E-2</v>
      </c>
      <c r="I997" s="5">
        <v>0.122</v>
      </c>
      <c r="J997" s="11" t="s">
        <v>983</v>
      </c>
    </row>
    <row r="998" spans="1:10" ht="13.15" customHeight="1" x14ac:dyDescent="0.25">
      <c r="A998">
        <f t="shared" si="94"/>
        <v>993</v>
      </c>
      <c r="B998" t="s">
        <v>1286</v>
      </c>
      <c r="C998" s="2">
        <v>0.3972222222222222</v>
      </c>
      <c r="D998" s="4">
        <f t="shared" si="95"/>
        <v>9.722222222222221E-2</v>
      </c>
      <c r="E998" s="6">
        <v>0.3</v>
      </c>
      <c r="F998" s="5">
        <f t="shared" si="96"/>
        <v>0.75524475524475521</v>
      </c>
      <c r="G998" s="5">
        <v>0.77100000000000002</v>
      </c>
      <c r="H998" s="4">
        <f>60.4/1440</f>
        <v>4.1944444444444444E-2</v>
      </c>
      <c r="I998" s="5">
        <v>0.108</v>
      </c>
      <c r="J998" s="11" t="s">
        <v>1269</v>
      </c>
    </row>
    <row r="999" spans="1:10" ht="13.15" customHeight="1" x14ac:dyDescent="0.25">
      <c r="A999">
        <f t="shared" si="94"/>
        <v>994</v>
      </c>
      <c r="B999" t="s">
        <v>1536</v>
      </c>
      <c r="C999" s="2">
        <v>0.43125000000000002</v>
      </c>
      <c r="D999" s="4">
        <f t="shared" si="95"/>
        <v>0.13125000000000003</v>
      </c>
      <c r="E999" s="6">
        <v>0.3</v>
      </c>
      <c r="F999" s="5">
        <f t="shared" si="96"/>
        <v>0.69565217391304346</v>
      </c>
      <c r="G999" s="5">
        <v>0.89</v>
      </c>
      <c r="H999" s="4">
        <f>80.8/1440</f>
        <v>5.6111111111111112E-2</v>
      </c>
      <c r="I999" s="5">
        <v>0.16600000000000001</v>
      </c>
      <c r="J999" s="11" t="s">
        <v>1528</v>
      </c>
    </row>
    <row r="1000" spans="1:10" ht="13.15" customHeight="1" x14ac:dyDescent="0.25">
      <c r="A1000">
        <f t="shared" si="94"/>
        <v>995</v>
      </c>
      <c r="B1000" t="s">
        <v>198</v>
      </c>
      <c r="C1000" s="2">
        <v>0.41180555555555554</v>
      </c>
      <c r="D1000" s="4">
        <f t="shared" si="95"/>
        <v>0.11249999999999999</v>
      </c>
      <c r="E1000" s="6">
        <v>0.29930555555555555</v>
      </c>
      <c r="F1000" s="5">
        <f t="shared" si="96"/>
        <v>0.72681281618887017</v>
      </c>
      <c r="G1000" s="5">
        <v>0.754</v>
      </c>
      <c r="H1000" s="4">
        <f>71.1/1440</f>
        <v>4.9374999999999995E-2</v>
      </c>
      <c r="I1000" s="5">
        <v>0.124</v>
      </c>
      <c r="J1000" s="11" t="s">
        <v>199</v>
      </c>
    </row>
    <row r="1001" spans="1:10" ht="13.15" customHeight="1" x14ac:dyDescent="0.25">
      <c r="A1001">
        <f t="shared" si="94"/>
        <v>996</v>
      </c>
      <c r="B1001" t="s">
        <v>650</v>
      </c>
      <c r="C1001" s="2">
        <v>0.41805555555555557</v>
      </c>
      <c r="D1001" s="4">
        <f t="shared" si="95"/>
        <v>0.11875000000000002</v>
      </c>
      <c r="E1001" s="6">
        <v>0.29930555555555555</v>
      </c>
      <c r="F1001" s="5">
        <f t="shared" si="96"/>
        <v>0.71594684385382057</v>
      </c>
      <c r="G1001" s="5">
        <v>0.79100000000000004</v>
      </c>
      <c r="H1001" s="4">
        <f>61.1/1440</f>
        <v>4.2430555555555555E-2</v>
      </c>
      <c r="I1001" s="5">
        <v>0.112</v>
      </c>
      <c r="J1001" s="11" t="s">
        <v>652</v>
      </c>
    </row>
    <row r="1002" spans="1:10" ht="13.15" customHeight="1" x14ac:dyDescent="0.25">
      <c r="A1002">
        <f t="shared" si="94"/>
        <v>997</v>
      </c>
      <c r="B1002" t="s">
        <v>657</v>
      </c>
      <c r="C1002" s="2">
        <v>0.42291666666666666</v>
      </c>
      <c r="D1002" s="4">
        <f t="shared" si="95"/>
        <v>0.12361111111111112</v>
      </c>
      <c r="E1002" s="6">
        <v>0.29930555555555555</v>
      </c>
      <c r="F1002" s="5">
        <f t="shared" si="96"/>
        <v>0.70771756978653533</v>
      </c>
      <c r="G1002" s="5">
        <v>0.77600000000000002</v>
      </c>
      <c r="H1002" s="4">
        <f>60.6/1440</f>
        <v>4.2083333333333334E-2</v>
      </c>
      <c r="I1002" s="5">
        <v>0.109</v>
      </c>
      <c r="J1002" s="11" t="s">
        <v>658</v>
      </c>
    </row>
    <row r="1003" spans="1:10" ht="13.15" customHeight="1" x14ac:dyDescent="0.25">
      <c r="A1003">
        <f t="shared" si="94"/>
        <v>998</v>
      </c>
      <c r="B1003" t="s">
        <v>734</v>
      </c>
      <c r="C1003" s="2">
        <v>0.44027777777777777</v>
      </c>
      <c r="D1003" s="4">
        <f t="shared" si="95"/>
        <v>0.14097222222222222</v>
      </c>
      <c r="E1003" s="6">
        <v>0.29930555555555555</v>
      </c>
      <c r="F1003" s="5">
        <f t="shared" si="96"/>
        <v>0.67981072555205047</v>
      </c>
      <c r="G1003" s="5">
        <v>0.84</v>
      </c>
      <c r="H1003" s="4">
        <f>67.9/1440</f>
        <v>4.715277777777778E-2</v>
      </c>
      <c r="I1003" s="5">
        <v>0.13200000000000001</v>
      </c>
      <c r="J1003" s="11" t="s">
        <v>737</v>
      </c>
    </row>
    <row r="1004" spans="1:10" ht="13.15" customHeight="1" x14ac:dyDescent="0.25">
      <c r="A1004">
        <f t="shared" si="94"/>
        <v>999</v>
      </c>
      <c r="B1004" t="s">
        <v>979</v>
      </c>
      <c r="C1004" s="2">
        <v>0.44027777777777777</v>
      </c>
      <c r="D1004" s="4">
        <f t="shared" si="95"/>
        <v>0.14097222222222222</v>
      </c>
      <c r="E1004" s="6">
        <v>0.29930555555555555</v>
      </c>
      <c r="F1004" s="5">
        <f t="shared" si="96"/>
        <v>0.67981072555205047</v>
      </c>
      <c r="G1004" s="5">
        <v>0.81200000000000006</v>
      </c>
      <c r="H1004" s="4">
        <f>65/1440</f>
        <v>4.5138888888888888E-2</v>
      </c>
      <c r="I1004" s="5">
        <v>0.122</v>
      </c>
      <c r="J1004" s="11" t="s">
        <v>983</v>
      </c>
    </row>
    <row r="1005" spans="1:10" ht="13.15" customHeight="1" x14ac:dyDescent="0.25">
      <c r="A1005">
        <f t="shared" si="94"/>
        <v>1000</v>
      </c>
      <c r="B1005" t="s">
        <v>1276</v>
      </c>
      <c r="C1005" s="2">
        <v>0.44166666666666665</v>
      </c>
      <c r="D1005" s="4">
        <f t="shared" si="95"/>
        <v>0.1423611111111111</v>
      </c>
      <c r="E1005" s="6">
        <v>0.29930555555555555</v>
      </c>
      <c r="F1005" s="5">
        <f t="shared" si="96"/>
        <v>0.67767295597484278</v>
      </c>
      <c r="G1005" s="5">
        <v>0.875</v>
      </c>
      <c r="H1005" s="4">
        <f>76.1/1440</f>
        <v>5.2847222222222219E-2</v>
      </c>
      <c r="I1005" s="5">
        <v>0.154</v>
      </c>
      <c r="J1005" s="11" t="s">
        <v>1267</v>
      </c>
    </row>
    <row r="1006" spans="1:10" ht="13.15" customHeight="1" x14ac:dyDescent="0.25">
      <c r="A1006">
        <f t="shared" si="94"/>
        <v>1001</v>
      </c>
      <c r="B1006" t="s">
        <v>1341</v>
      </c>
      <c r="C1006" s="2">
        <v>0.41041666666666665</v>
      </c>
      <c r="D1006" s="4">
        <f t="shared" si="95"/>
        <v>0.1111111111111111</v>
      </c>
      <c r="E1006" s="6">
        <v>0.29930555555555555</v>
      </c>
      <c r="F1006" s="5">
        <f t="shared" si="96"/>
        <v>0.72927241962774958</v>
      </c>
      <c r="G1006" s="5">
        <v>0.80500000000000005</v>
      </c>
      <c r="H1006" s="4">
        <f>55.4/1440</f>
        <v>3.847222222222222E-2</v>
      </c>
      <c r="I1006" s="5">
        <v>0.10299999999999999</v>
      </c>
      <c r="J1006" s="11" t="s">
        <v>1340</v>
      </c>
    </row>
    <row r="1007" spans="1:10" ht="13.15" customHeight="1" x14ac:dyDescent="0.25">
      <c r="A1007">
        <f t="shared" si="94"/>
        <v>1002</v>
      </c>
      <c r="B1007" t="s">
        <v>51</v>
      </c>
      <c r="C1007" s="2">
        <v>0.4145833333333333</v>
      </c>
      <c r="D1007" s="4">
        <f t="shared" si="95"/>
        <v>0.1159722222222222</v>
      </c>
      <c r="E1007" s="6">
        <v>0.2986111111111111</v>
      </c>
      <c r="F1007" s="5">
        <f t="shared" si="96"/>
        <v>0.72026800670016755</v>
      </c>
      <c r="G1007" s="5">
        <v>0.82099999999999995</v>
      </c>
      <c r="H1007" s="4">
        <f>71.3/1440</f>
        <v>4.9513888888888885E-2</v>
      </c>
      <c r="I1007" s="5">
        <v>0.13600000000000001</v>
      </c>
      <c r="J1007" s="11" t="s">
        <v>117</v>
      </c>
    </row>
    <row r="1008" spans="1:10" ht="13.15" customHeight="1" x14ac:dyDescent="0.25">
      <c r="A1008">
        <f t="shared" si="94"/>
        <v>1003</v>
      </c>
      <c r="B1008" t="s">
        <v>333</v>
      </c>
      <c r="C1008" s="2">
        <v>0.41597222222222219</v>
      </c>
      <c r="D1008" s="4">
        <f t="shared" si="95"/>
        <v>0.11736111111111108</v>
      </c>
      <c r="E1008" s="6">
        <v>0.2986111111111111</v>
      </c>
      <c r="F1008" s="5">
        <f t="shared" si="96"/>
        <v>0.71786310517529217</v>
      </c>
      <c r="G1008" s="5">
        <v>0.80800000000000005</v>
      </c>
      <c r="H1008" s="4">
        <f>70/1440</f>
        <v>4.8611111111111112E-2</v>
      </c>
      <c r="I1008" s="5">
        <v>0.13100000000000001</v>
      </c>
      <c r="J1008" s="11" t="s">
        <v>334</v>
      </c>
    </row>
    <row r="1009" spans="1:10" ht="13.15" customHeight="1" x14ac:dyDescent="0.25">
      <c r="A1009">
        <f t="shared" si="94"/>
        <v>1004</v>
      </c>
      <c r="B1009" t="s">
        <v>697</v>
      </c>
      <c r="C1009" s="2">
        <v>0.42291666666666666</v>
      </c>
      <c r="D1009" s="4">
        <f t="shared" si="95"/>
        <v>0.12430555555555556</v>
      </c>
      <c r="E1009" s="6">
        <v>0.2986111111111111</v>
      </c>
      <c r="F1009" s="5">
        <f t="shared" si="96"/>
        <v>0.70607553366174058</v>
      </c>
      <c r="G1009" s="5">
        <v>0.81599999999999995</v>
      </c>
      <c r="H1009" s="4">
        <f>65.5/1440</f>
        <v>4.5486111111111109E-2</v>
      </c>
      <c r="I1009" s="5">
        <v>0.125</v>
      </c>
      <c r="J1009" s="11" t="s">
        <v>699</v>
      </c>
    </row>
    <row r="1010" spans="1:10" ht="13.15" customHeight="1" x14ac:dyDescent="0.25">
      <c r="A1010">
        <f t="shared" si="94"/>
        <v>1005</v>
      </c>
      <c r="B1010" t="s">
        <v>732</v>
      </c>
      <c r="C1010" s="2">
        <v>0.4375</v>
      </c>
      <c r="D1010" s="4">
        <f t="shared" si="95"/>
        <v>0.1388888888888889</v>
      </c>
      <c r="E1010" s="6">
        <v>0.2986111111111111</v>
      </c>
      <c r="F1010" s="5">
        <f t="shared" si="96"/>
        <v>0.68253968253968256</v>
      </c>
      <c r="G1010" s="5">
        <v>0.83399999999999996</v>
      </c>
      <c r="H1010" s="4">
        <f>66.4/1440</f>
        <v>4.6111111111111117E-2</v>
      </c>
      <c r="I1010" s="5">
        <v>0.128</v>
      </c>
      <c r="J1010" s="11" t="s">
        <v>737</v>
      </c>
    </row>
    <row r="1011" spans="1:10" ht="13.15" customHeight="1" x14ac:dyDescent="0.25">
      <c r="A1011">
        <f t="shared" si="94"/>
        <v>1006</v>
      </c>
      <c r="B1011" t="s">
        <v>1385</v>
      </c>
      <c r="C1011" s="2">
        <v>0.44305555555555554</v>
      </c>
      <c r="D1011" s="4">
        <f t="shared" si="95"/>
        <v>0.14444444444444443</v>
      </c>
      <c r="E1011" s="6">
        <v>0.2986111111111111</v>
      </c>
      <c r="F1011" s="5">
        <f t="shared" si="96"/>
        <v>0.6739811912225705</v>
      </c>
      <c r="G1011" s="5">
        <v>0.85099999999999998</v>
      </c>
      <c r="H1011" s="4">
        <f>67.9/1440</f>
        <v>4.715277777777778E-2</v>
      </c>
      <c r="I1011" s="5">
        <v>0.13400000000000001</v>
      </c>
      <c r="J1011" s="11" t="s">
        <v>1367</v>
      </c>
    </row>
    <row r="1012" spans="1:10" ht="13.15" customHeight="1" x14ac:dyDescent="0.25">
      <c r="A1012">
        <f t="shared" si="94"/>
        <v>1007</v>
      </c>
      <c r="B1012" t="s">
        <v>802</v>
      </c>
      <c r="C1012" s="2">
        <v>0.39444444444444443</v>
      </c>
      <c r="D1012" s="4">
        <f t="shared" si="95"/>
        <v>9.6527777777777768E-2</v>
      </c>
      <c r="E1012" s="6">
        <v>0.29791666666666666</v>
      </c>
      <c r="F1012" s="5">
        <f t="shared" si="96"/>
        <v>0.75528169014084512</v>
      </c>
      <c r="G1012" s="5">
        <v>0.80800000000000005</v>
      </c>
      <c r="H1012" s="4">
        <f>63.8/1440</f>
        <v>4.4305555555555556E-2</v>
      </c>
      <c r="I1012" s="5">
        <v>0.12</v>
      </c>
      <c r="J1012" s="11" t="s">
        <v>801</v>
      </c>
    </row>
    <row r="1013" spans="1:10" ht="13.15" customHeight="1" x14ac:dyDescent="0.25">
      <c r="A1013">
        <f t="shared" si="94"/>
        <v>1008</v>
      </c>
      <c r="B1013" t="s">
        <v>981</v>
      </c>
      <c r="C1013" s="2">
        <v>0.4375</v>
      </c>
      <c r="D1013" s="4">
        <f t="shared" si="95"/>
        <v>0.13958333333333334</v>
      </c>
      <c r="E1013" s="6">
        <v>0.29791666666666666</v>
      </c>
      <c r="F1013" s="5">
        <f t="shared" si="96"/>
        <v>0.68095238095238098</v>
      </c>
      <c r="G1013" s="5">
        <v>0.79500000000000004</v>
      </c>
      <c r="H1013" s="4">
        <f>69.1/1440</f>
        <v>4.7986111111111104E-2</v>
      </c>
      <c r="I1013" s="5">
        <v>0.128</v>
      </c>
      <c r="J1013" s="11" t="s">
        <v>983</v>
      </c>
    </row>
    <row r="1014" spans="1:10" ht="13.15" customHeight="1" x14ac:dyDescent="0.25">
      <c r="A1014">
        <f t="shared" si="94"/>
        <v>1009</v>
      </c>
      <c r="B1014" t="s">
        <v>997</v>
      </c>
      <c r="C1014" s="2">
        <v>0.40972222222222221</v>
      </c>
      <c r="D1014" s="4">
        <f t="shared" si="95"/>
        <v>0.11180555555555555</v>
      </c>
      <c r="E1014" s="6">
        <v>0.29791666666666666</v>
      </c>
      <c r="F1014" s="5">
        <f t="shared" si="96"/>
        <v>0.72711864406779658</v>
      </c>
      <c r="G1014" s="5">
        <v>0.83099999999999996</v>
      </c>
      <c r="H1014" s="4">
        <f>67.8/1440</f>
        <v>4.7083333333333331E-2</v>
      </c>
      <c r="I1014" s="5">
        <v>0.13100000000000001</v>
      </c>
      <c r="J1014" s="11" t="s">
        <v>998</v>
      </c>
    </row>
    <row r="1015" spans="1:10" ht="13.15" customHeight="1" x14ac:dyDescent="0.25">
      <c r="A1015">
        <f t="shared" si="94"/>
        <v>1010</v>
      </c>
      <c r="B1015" t="s">
        <v>1314</v>
      </c>
      <c r="C1015" s="2">
        <v>0.39444444444444443</v>
      </c>
      <c r="D1015" s="4">
        <f t="shared" si="95"/>
        <v>9.6527777777777768E-2</v>
      </c>
      <c r="E1015" s="6">
        <v>0.29791666666666666</v>
      </c>
      <c r="F1015" s="5">
        <f t="shared" si="96"/>
        <v>0.75528169014084512</v>
      </c>
      <c r="G1015" s="5">
        <v>0.88400000000000001</v>
      </c>
      <c r="H1015" s="4">
        <f>68.5/1440</f>
        <v>4.7569444444444442E-2</v>
      </c>
      <c r="I1015" s="5">
        <v>0.14099999999999999</v>
      </c>
      <c r="J1015" s="11" t="s">
        <v>1292</v>
      </c>
    </row>
    <row r="1016" spans="1:10" ht="13.15" customHeight="1" x14ac:dyDescent="0.25">
      <c r="A1016">
        <f t="shared" si="94"/>
        <v>1011</v>
      </c>
      <c r="B1016" t="s">
        <v>1771</v>
      </c>
      <c r="C1016" s="2">
        <v>0.42777777777777776</v>
      </c>
      <c r="D1016" s="4">
        <f t="shared" si="95"/>
        <v>0.12986111111111109</v>
      </c>
      <c r="E1016" s="6">
        <v>0.29791666666666666</v>
      </c>
      <c r="F1016" s="5">
        <f t="shared" si="96"/>
        <v>0.69642857142857151</v>
      </c>
      <c r="G1016" s="5">
        <v>0.83799999999999997</v>
      </c>
      <c r="H1016" s="4">
        <f>66.1/1440</f>
        <v>4.5902777777777772E-2</v>
      </c>
      <c r="I1016" s="5">
        <v>0.129</v>
      </c>
      <c r="J1016" s="11" t="s">
        <v>1763</v>
      </c>
    </row>
    <row r="1017" spans="1:10" ht="13.15" customHeight="1" x14ac:dyDescent="0.25">
      <c r="A1017">
        <f t="shared" si="94"/>
        <v>1012</v>
      </c>
      <c r="B1017" t="s">
        <v>47</v>
      </c>
      <c r="C1017" s="2">
        <v>0.40833333333333338</v>
      </c>
      <c r="D1017" s="4">
        <f t="shared" si="95"/>
        <v>0.11111111111111116</v>
      </c>
      <c r="E1017" s="6">
        <v>0.29722222222222222</v>
      </c>
      <c r="F1017" s="5">
        <f t="shared" si="96"/>
        <v>0.72789115646258495</v>
      </c>
      <c r="G1017" s="5">
        <v>0.84399999999999997</v>
      </c>
      <c r="H1017" s="4">
        <f>85/1440</f>
        <v>5.9027777777777776E-2</v>
      </c>
      <c r="I1017" s="5">
        <v>0.16800000000000001</v>
      </c>
      <c r="J1017" s="11" t="s">
        <v>97</v>
      </c>
    </row>
    <row r="1018" spans="1:10" ht="13.15" customHeight="1" x14ac:dyDescent="0.25">
      <c r="A1018">
        <f t="shared" si="94"/>
        <v>1013</v>
      </c>
      <c r="B1018" t="s">
        <v>570</v>
      </c>
      <c r="C1018" s="2">
        <v>0.42499999999999999</v>
      </c>
      <c r="D1018" s="4">
        <f t="shared" si="95"/>
        <v>0.12777777777777777</v>
      </c>
      <c r="E1018" s="6">
        <v>0.29722222222222222</v>
      </c>
      <c r="F1018" s="5">
        <f t="shared" si="96"/>
        <v>0.69934640522875824</v>
      </c>
      <c r="G1018" s="5">
        <v>0.80200000000000005</v>
      </c>
      <c r="H1018" s="4">
        <f>69.4/1440</f>
        <v>4.8194444444444449E-2</v>
      </c>
      <c r="I1018" s="5">
        <v>0.13</v>
      </c>
      <c r="J1018" s="11" t="s">
        <v>576</v>
      </c>
    </row>
    <row r="1019" spans="1:10" ht="13.15" customHeight="1" x14ac:dyDescent="0.25">
      <c r="A1019">
        <f t="shared" si="94"/>
        <v>1014</v>
      </c>
      <c r="B1019" t="s">
        <v>582</v>
      </c>
      <c r="C1019" s="2">
        <v>0.41666666666666669</v>
      </c>
      <c r="D1019" s="4">
        <f t="shared" si="95"/>
        <v>0.11944444444444446</v>
      </c>
      <c r="E1019" s="6">
        <v>0.29722222222222222</v>
      </c>
      <c r="F1019" s="5">
        <f t="shared" si="96"/>
        <v>0.71333333333333326</v>
      </c>
      <c r="G1019" s="5">
        <v>0.86199999999999999</v>
      </c>
      <c r="H1019" s="4">
        <f>65.7/1440</f>
        <v>4.5624999999999999E-2</v>
      </c>
      <c r="I1019" s="5">
        <v>0.13200000000000001</v>
      </c>
      <c r="J1019" s="11" t="s">
        <v>583</v>
      </c>
    </row>
    <row r="1020" spans="1:10" ht="13.15" customHeight="1" x14ac:dyDescent="0.25">
      <c r="A1020">
        <f t="shared" si="94"/>
        <v>1015</v>
      </c>
      <c r="B1020" t="s">
        <v>691</v>
      </c>
      <c r="C1020" s="2">
        <v>0.42638888888888887</v>
      </c>
      <c r="D1020" s="4">
        <f t="shared" si="95"/>
        <v>0.12916666666666665</v>
      </c>
      <c r="E1020" s="6">
        <v>0.29722222222222222</v>
      </c>
      <c r="F1020" s="5">
        <f t="shared" si="96"/>
        <v>0.69706840390879476</v>
      </c>
      <c r="G1020" s="5">
        <v>0.82899999999999996</v>
      </c>
      <c r="H1020" s="4">
        <f>62.9/1440</f>
        <v>4.3680555555555556E-2</v>
      </c>
      <c r="I1020" s="5">
        <v>0.122</v>
      </c>
      <c r="J1020" s="11" t="s">
        <v>693</v>
      </c>
    </row>
    <row r="1021" spans="1:10" ht="13.15" customHeight="1" x14ac:dyDescent="0.25">
      <c r="A1021">
        <f t="shared" si="94"/>
        <v>1016</v>
      </c>
      <c r="B1021" t="s">
        <v>695</v>
      </c>
      <c r="C1021" s="2">
        <v>0.43194444444444446</v>
      </c>
      <c r="D1021" s="4">
        <f t="shared" si="95"/>
        <v>0.13472222222222224</v>
      </c>
      <c r="E1021" s="6">
        <v>0.29722222222222222</v>
      </c>
      <c r="F1021" s="5">
        <f t="shared" si="96"/>
        <v>0.68810289389067525</v>
      </c>
      <c r="G1021" s="5">
        <v>0.80200000000000005</v>
      </c>
      <c r="H1021" s="4">
        <f>64.9/1440</f>
        <v>4.5069444444444447E-2</v>
      </c>
      <c r="I1021" s="5">
        <v>0.122</v>
      </c>
      <c r="J1021" s="11" t="s">
        <v>699</v>
      </c>
    </row>
    <row r="1022" spans="1:10" ht="13.15" customHeight="1" x14ac:dyDescent="0.25">
      <c r="A1022">
        <f t="shared" si="94"/>
        <v>1017</v>
      </c>
      <c r="B1022" t="s">
        <v>912</v>
      </c>
      <c r="C1022" s="2">
        <v>0.40625</v>
      </c>
      <c r="D1022" s="4">
        <f t="shared" si="95"/>
        <v>0.10902777777777778</v>
      </c>
      <c r="E1022" s="6">
        <v>0.29722222222222222</v>
      </c>
      <c r="F1022" s="5">
        <f t="shared" si="96"/>
        <v>0.73162393162393158</v>
      </c>
      <c r="G1022" s="5">
        <v>0.79400000000000004</v>
      </c>
      <c r="H1022" s="4">
        <f>63.2/1440</f>
        <v>4.3888888888888894E-2</v>
      </c>
      <c r="I1022" s="5">
        <v>0.11700000000000001</v>
      </c>
      <c r="J1022" s="11" t="s">
        <v>914</v>
      </c>
    </row>
    <row r="1023" spans="1:10" ht="13.15" customHeight="1" x14ac:dyDescent="0.25">
      <c r="A1023">
        <f t="shared" si="94"/>
        <v>1018</v>
      </c>
      <c r="B1023" t="s">
        <v>1261</v>
      </c>
      <c r="C1023" s="2">
        <v>0.40208333333333335</v>
      </c>
      <c r="D1023" s="4">
        <v>0.10486111111111113</v>
      </c>
      <c r="E1023" s="6">
        <v>0.29722222222222222</v>
      </c>
      <c r="F1023" s="5">
        <v>0.73920552677029361</v>
      </c>
      <c r="G1023" s="5">
        <v>0.84799999999999998</v>
      </c>
      <c r="H1023" s="4">
        <v>4.4583333333333336E-2</v>
      </c>
      <c r="I1023" s="5">
        <v>0.127</v>
      </c>
      <c r="J1023" s="11" t="s">
        <v>1245</v>
      </c>
    </row>
    <row r="1024" spans="1:10" ht="13.15" customHeight="1" x14ac:dyDescent="0.25">
      <c r="A1024">
        <f t="shared" si="94"/>
        <v>1019</v>
      </c>
      <c r="B1024" t="s">
        <v>1375</v>
      </c>
      <c r="C1024" s="2">
        <v>0.40625</v>
      </c>
      <c r="D1024" s="4">
        <f t="shared" ref="D1024:D1040" si="97">C1024-E1024</f>
        <v>0.10902777777777778</v>
      </c>
      <c r="E1024" s="6">
        <v>0.29722222222222222</v>
      </c>
      <c r="F1024" s="5">
        <f t="shared" ref="F1024:F1087" si="98">E1024/C1024</f>
        <v>0.73162393162393158</v>
      </c>
      <c r="G1024" s="5">
        <v>0.80800000000000005</v>
      </c>
      <c r="H1024" s="4">
        <f>65.1/1440</f>
        <v>4.520833333333333E-2</v>
      </c>
      <c r="I1024" s="5">
        <v>0.123</v>
      </c>
      <c r="J1024" s="11" t="s">
        <v>1366</v>
      </c>
    </row>
    <row r="1025" spans="1:10" ht="13.15" customHeight="1" x14ac:dyDescent="0.25">
      <c r="A1025">
        <f t="shared" si="94"/>
        <v>1020</v>
      </c>
      <c r="B1025" t="s">
        <v>1379</v>
      </c>
      <c r="C1025" s="2">
        <v>0.40833333333333333</v>
      </c>
      <c r="D1025" s="4">
        <f t="shared" si="97"/>
        <v>0.1111111111111111</v>
      </c>
      <c r="E1025" s="6">
        <v>0.29722222222222222</v>
      </c>
      <c r="F1025" s="5">
        <f t="shared" si="98"/>
        <v>0.72789115646258506</v>
      </c>
      <c r="G1025" s="5">
        <v>0.79800000000000004</v>
      </c>
      <c r="H1025" s="4">
        <f>63/1440</f>
        <v>4.3749999999999997E-2</v>
      </c>
      <c r="I1025" s="5">
        <v>0.11700000000000001</v>
      </c>
      <c r="J1025" s="11" t="s">
        <v>1367</v>
      </c>
    </row>
    <row r="1026" spans="1:10" ht="13.15" customHeight="1" x14ac:dyDescent="0.25">
      <c r="A1026">
        <f t="shared" si="94"/>
        <v>1021</v>
      </c>
      <c r="B1026" t="s">
        <v>1568</v>
      </c>
      <c r="C1026" s="2">
        <v>0.42708333333333331</v>
      </c>
      <c r="D1026" s="4">
        <f t="shared" si="97"/>
        <v>0.12986111111111109</v>
      </c>
      <c r="E1026" s="6">
        <v>0.29722222222222222</v>
      </c>
      <c r="F1026" s="5">
        <f t="shared" si="98"/>
        <v>0.69593495934959348</v>
      </c>
      <c r="G1026" s="5">
        <v>0.80200000000000005</v>
      </c>
      <c r="H1026" s="4">
        <f>62/1440</f>
        <v>4.3055555555555555E-2</v>
      </c>
      <c r="I1026" s="5">
        <v>0.11600000000000001</v>
      </c>
      <c r="J1026" s="11" t="s">
        <v>1563</v>
      </c>
    </row>
    <row r="1027" spans="1:10" ht="13.15" customHeight="1" x14ac:dyDescent="0.25">
      <c r="A1027">
        <f t="shared" si="94"/>
        <v>1022</v>
      </c>
      <c r="B1027" t="s">
        <v>20</v>
      </c>
      <c r="C1027" s="2">
        <v>0.41319444444444442</v>
      </c>
      <c r="D1027" s="4">
        <f t="shared" si="97"/>
        <v>0.11666666666666664</v>
      </c>
      <c r="E1027" s="6">
        <v>0.29652777777777778</v>
      </c>
      <c r="F1027" s="5">
        <f t="shared" si="98"/>
        <v>0.71764705882352942</v>
      </c>
      <c r="G1027" s="5">
        <v>0.71099999999999997</v>
      </c>
      <c r="H1027" s="4">
        <f>49.6/1440</f>
        <v>3.4444444444444444E-2</v>
      </c>
      <c r="I1027" s="5">
        <v>8.2000000000000003E-2</v>
      </c>
      <c r="J1027" s="11" t="s">
        <v>87</v>
      </c>
    </row>
    <row r="1028" spans="1:10" ht="13.15" customHeight="1" x14ac:dyDescent="0.25">
      <c r="A1028">
        <f t="shared" si="94"/>
        <v>1023</v>
      </c>
      <c r="B1028" t="s">
        <v>285</v>
      </c>
      <c r="C1028" s="2">
        <v>0.41805555555555557</v>
      </c>
      <c r="D1028" s="4">
        <f t="shared" si="97"/>
        <v>0.12152777777777779</v>
      </c>
      <c r="E1028" s="6">
        <v>0.29652777777777778</v>
      </c>
      <c r="F1028" s="5">
        <f t="shared" si="98"/>
        <v>0.70930232558139528</v>
      </c>
      <c r="G1028" s="5">
        <v>0.79100000000000004</v>
      </c>
      <c r="H1028" s="4">
        <f>70.7/1440</f>
        <v>4.9097222222222223E-2</v>
      </c>
      <c r="I1028" s="5">
        <v>0.13100000000000001</v>
      </c>
      <c r="J1028" s="11" t="s">
        <v>286</v>
      </c>
    </row>
    <row r="1029" spans="1:10" ht="13.15" customHeight="1" x14ac:dyDescent="0.25">
      <c r="A1029">
        <f t="shared" si="94"/>
        <v>1024</v>
      </c>
      <c r="B1029" t="s">
        <v>654</v>
      </c>
      <c r="C1029" s="2">
        <v>0.43402777777777773</v>
      </c>
      <c r="D1029" s="4">
        <f t="shared" si="97"/>
        <v>0.13749999999999996</v>
      </c>
      <c r="E1029" s="6">
        <v>0.29652777777777778</v>
      </c>
      <c r="F1029" s="5">
        <f t="shared" si="98"/>
        <v>0.68320000000000003</v>
      </c>
      <c r="G1029" s="5">
        <v>0.81</v>
      </c>
      <c r="H1029" s="4">
        <f>60.1/1440</f>
        <v>4.1736111111111113E-2</v>
      </c>
      <c r="I1029" s="5">
        <v>0.114</v>
      </c>
      <c r="J1029" s="11" t="s">
        <v>655</v>
      </c>
    </row>
    <row r="1030" spans="1:10" ht="13.15" customHeight="1" x14ac:dyDescent="0.25">
      <c r="A1030">
        <f t="shared" si="94"/>
        <v>1025</v>
      </c>
      <c r="B1030" t="s">
        <v>919</v>
      </c>
      <c r="C1030" s="2">
        <v>0.40555555555555556</v>
      </c>
      <c r="D1030" s="4">
        <f t="shared" si="97"/>
        <v>0.10902777777777778</v>
      </c>
      <c r="E1030" s="6">
        <v>0.29652777777777778</v>
      </c>
      <c r="F1030" s="5">
        <f t="shared" si="98"/>
        <v>0.73116438356164382</v>
      </c>
      <c r="G1030" s="5">
        <v>0.86099999999999999</v>
      </c>
      <c r="H1030" s="4">
        <f>66.2/1440</f>
        <v>4.5972222222222227E-2</v>
      </c>
      <c r="I1030" s="5">
        <v>0.13300000000000001</v>
      </c>
      <c r="J1030" s="11" t="s">
        <v>920</v>
      </c>
    </row>
    <row r="1031" spans="1:10" ht="13.15" customHeight="1" x14ac:dyDescent="0.25">
      <c r="A1031">
        <f t="shared" si="94"/>
        <v>1026</v>
      </c>
      <c r="B1031" t="s">
        <v>1594</v>
      </c>
      <c r="C1031" s="2">
        <v>0.39305555555555555</v>
      </c>
      <c r="D1031" s="4">
        <f t="shared" si="97"/>
        <v>9.6527777777777768E-2</v>
      </c>
      <c r="E1031" s="6">
        <v>0.29652777777777778</v>
      </c>
      <c r="F1031" s="5">
        <f t="shared" si="98"/>
        <v>0.75441696113074208</v>
      </c>
      <c r="G1031" s="5">
        <v>0.82699999999999996</v>
      </c>
      <c r="H1031" s="4">
        <f>61.1/1440</f>
        <v>4.2430555555555555E-2</v>
      </c>
      <c r="I1031" s="5">
        <v>0.11799999999999999</v>
      </c>
      <c r="J1031" s="11" t="s">
        <v>1589</v>
      </c>
    </row>
    <row r="1032" spans="1:10" ht="13.15" customHeight="1" x14ac:dyDescent="0.25">
      <c r="A1032">
        <f t="shared" si="94"/>
        <v>1027</v>
      </c>
      <c r="B1032" t="s">
        <v>1759</v>
      </c>
      <c r="C1032" s="2">
        <v>0.44027777777777777</v>
      </c>
      <c r="D1032" s="4">
        <f t="shared" si="97"/>
        <v>0.14374999999999999</v>
      </c>
      <c r="E1032" s="6">
        <v>0.29652777777777778</v>
      </c>
      <c r="F1032" s="5">
        <f t="shared" si="98"/>
        <v>0.67350157728706628</v>
      </c>
      <c r="G1032" s="5">
        <v>0.83699999999999997</v>
      </c>
      <c r="H1032" s="4">
        <f>51.1/1440</f>
        <v>3.5486111111111114E-2</v>
      </c>
      <c r="I1032" s="5">
        <v>0.1</v>
      </c>
      <c r="J1032" s="11" t="s">
        <v>1758</v>
      </c>
    </row>
    <row r="1033" spans="1:10" ht="13.15" customHeight="1" x14ac:dyDescent="0.25">
      <c r="A1033">
        <f t="shared" si="94"/>
        <v>1028</v>
      </c>
      <c r="B1033" t="s">
        <v>1766</v>
      </c>
      <c r="C1033" s="2">
        <v>0.42777777777777776</v>
      </c>
      <c r="D1033" s="4">
        <f t="shared" si="97"/>
        <v>0.13124999999999998</v>
      </c>
      <c r="E1033" s="6">
        <v>0.29652777777777778</v>
      </c>
      <c r="F1033" s="5">
        <f t="shared" si="98"/>
        <v>0.69318181818181823</v>
      </c>
      <c r="G1033" s="5">
        <v>0.83299999999999996</v>
      </c>
      <c r="H1033" s="4">
        <f>58.1/1440</f>
        <v>4.0347222222222222E-2</v>
      </c>
      <c r="I1033" s="5">
        <v>0.113</v>
      </c>
      <c r="J1033" s="11" t="s">
        <v>1762</v>
      </c>
    </row>
    <row r="1034" spans="1:10" ht="13.15" customHeight="1" x14ac:dyDescent="0.25">
      <c r="A1034">
        <f t="shared" si="94"/>
        <v>1029</v>
      </c>
      <c r="B1034" t="s">
        <v>18</v>
      </c>
      <c r="C1034" s="2">
        <v>0.42499999999999999</v>
      </c>
      <c r="D1034" s="4">
        <f t="shared" si="97"/>
        <v>0.12916666666666665</v>
      </c>
      <c r="E1034" s="6">
        <v>0.29583333333333334</v>
      </c>
      <c r="F1034" s="5">
        <f t="shared" si="98"/>
        <v>0.6960784313725491</v>
      </c>
      <c r="G1034" s="5">
        <v>0.65500000000000003</v>
      </c>
      <c r="H1034" s="4">
        <f>65.2/1440</f>
        <v>4.5277777777777778E-2</v>
      </c>
      <c r="I1034" s="5">
        <v>0.1</v>
      </c>
      <c r="J1034" s="11" t="s">
        <v>84</v>
      </c>
    </row>
    <row r="1035" spans="1:10" ht="13.15" customHeight="1" x14ac:dyDescent="0.25">
      <c r="A1035">
        <f t="shared" si="94"/>
        <v>1030</v>
      </c>
      <c r="B1035" t="s">
        <v>760</v>
      </c>
      <c r="C1035" s="2">
        <v>0.42638888888888887</v>
      </c>
      <c r="D1035" s="4">
        <f t="shared" si="97"/>
        <v>0.13055555555555554</v>
      </c>
      <c r="E1035" s="6">
        <v>0.29583333333333334</v>
      </c>
      <c r="F1035" s="5">
        <f t="shared" si="98"/>
        <v>0.69381107491856686</v>
      </c>
      <c r="G1035" s="5">
        <v>0.83299999999999996</v>
      </c>
      <c r="H1035" s="4">
        <f>66.6/1440</f>
        <v>4.6249999999999999E-2</v>
      </c>
      <c r="I1035" s="5">
        <v>0.13100000000000001</v>
      </c>
      <c r="J1035" s="11" t="s">
        <v>764</v>
      </c>
    </row>
    <row r="1036" spans="1:10" ht="13.15" customHeight="1" x14ac:dyDescent="0.25">
      <c r="A1036">
        <f t="shared" si="94"/>
        <v>1031</v>
      </c>
      <c r="B1036" t="s">
        <v>1131</v>
      </c>
      <c r="C1036" s="2">
        <v>0.43194444444444446</v>
      </c>
      <c r="D1036" s="4">
        <f t="shared" si="97"/>
        <v>0.13611111111111113</v>
      </c>
      <c r="E1036" s="6">
        <v>0.29583333333333334</v>
      </c>
      <c r="F1036" s="5">
        <f t="shared" si="98"/>
        <v>0.68488745980707388</v>
      </c>
      <c r="G1036" s="5">
        <v>0.78700000000000003</v>
      </c>
      <c r="H1036" s="4">
        <f>51.7/1440</f>
        <v>3.5902777777777777E-2</v>
      </c>
      <c r="I1036" s="5">
        <v>9.5000000000000001E-2</v>
      </c>
      <c r="J1036" s="11" t="s">
        <v>1124</v>
      </c>
    </row>
    <row r="1037" spans="1:10" ht="13.15" customHeight="1" x14ac:dyDescent="0.25">
      <c r="A1037">
        <f t="shared" si="94"/>
        <v>1032</v>
      </c>
      <c r="B1037" t="s">
        <v>1192</v>
      </c>
      <c r="C1037" s="2">
        <v>0.40347222222222223</v>
      </c>
      <c r="D1037" s="4">
        <f t="shared" si="97"/>
        <v>0.1076388888888889</v>
      </c>
      <c r="E1037" s="6">
        <v>0.29583333333333334</v>
      </c>
      <c r="F1037" s="5">
        <f t="shared" si="98"/>
        <v>0.73321858864027534</v>
      </c>
      <c r="G1037" s="5">
        <v>0.88200000000000001</v>
      </c>
      <c r="H1037" s="4">
        <f>73.8/1440</f>
        <v>5.1249999999999997E-2</v>
      </c>
      <c r="I1037" s="5">
        <v>0.153</v>
      </c>
      <c r="J1037" s="11" t="s">
        <v>1180</v>
      </c>
    </row>
    <row r="1038" spans="1:10" ht="13.15" customHeight="1" x14ac:dyDescent="0.25">
      <c r="A1038">
        <f t="shared" si="94"/>
        <v>1033</v>
      </c>
      <c r="B1038" t="s">
        <v>1598</v>
      </c>
      <c r="C1038" s="2">
        <v>0.40833333333333333</v>
      </c>
      <c r="D1038" s="4">
        <f t="shared" si="97"/>
        <v>0.11249999999999999</v>
      </c>
      <c r="E1038" s="6">
        <v>0.29583333333333334</v>
      </c>
      <c r="F1038" s="5">
        <f t="shared" si="98"/>
        <v>0.72448979591836737</v>
      </c>
      <c r="G1038" s="5">
        <v>0.73299999999999998</v>
      </c>
      <c r="H1038" s="4">
        <f>69.4/1440</f>
        <v>4.8194444444444449E-2</v>
      </c>
      <c r="I1038" s="5">
        <v>0.11899999999999999</v>
      </c>
      <c r="J1038" s="11" t="s">
        <v>1590</v>
      </c>
    </row>
    <row r="1039" spans="1:10" ht="13.15" customHeight="1" x14ac:dyDescent="0.25">
      <c r="A1039">
        <f t="shared" si="94"/>
        <v>1034</v>
      </c>
      <c r="B1039" t="s">
        <v>703</v>
      </c>
      <c r="C1039" s="2">
        <v>0.41319444444444442</v>
      </c>
      <c r="D1039" s="4">
        <f t="shared" si="97"/>
        <v>0.11805555555555552</v>
      </c>
      <c r="E1039" s="6">
        <v>0.2951388888888889</v>
      </c>
      <c r="F1039" s="5">
        <f t="shared" si="98"/>
        <v>0.7142857142857143</v>
      </c>
      <c r="G1039" s="5">
        <v>0.86199999999999999</v>
      </c>
      <c r="H1039" s="4">
        <f>60.5/1440</f>
        <v>4.2013888888888892E-2</v>
      </c>
      <c r="I1039" s="5">
        <v>0.122</v>
      </c>
      <c r="J1039" s="11" t="s">
        <v>704</v>
      </c>
    </row>
    <row r="1040" spans="1:10" ht="13.15" customHeight="1" x14ac:dyDescent="0.25">
      <c r="A1040">
        <f t="shared" si="94"/>
        <v>1035</v>
      </c>
      <c r="B1040" t="s">
        <v>1350</v>
      </c>
      <c r="C1040" s="2">
        <v>0.40347222222222223</v>
      </c>
      <c r="D1040" s="4">
        <f t="shared" si="97"/>
        <v>0.10833333333333334</v>
      </c>
      <c r="E1040" s="6">
        <v>0.2951388888888889</v>
      </c>
      <c r="F1040" s="5">
        <f t="shared" si="98"/>
        <v>0.73149741824440617</v>
      </c>
      <c r="G1040" s="5">
        <v>0.76900000000000002</v>
      </c>
      <c r="H1040" s="4">
        <f>58.1/1440</f>
        <v>4.0347222222222222E-2</v>
      </c>
      <c r="I1040" s="5">
        <v>0.105</v>
      </c>
      <c r="J1040" s="11" t="s">
        <v>1346</v>
      </c>
    </row>
    <row r="1041" spans="1:10" ht="13.15" customHeight="1" x14ac:dyDescent="0.25">
      <c r="A1041">
        <f t="shared" si="94"/>
        <v>1036</v>
      </c>
      <c r="B1041" t="s">
        <v>1431</v>
      </c>
      <c r="C1041" s="2">
        <v>0.40625</v>
      </c>
      <c r="D1041" s="4">
        <v>0.10347222222222222</v>
      </c>
      <c r="E1041" s="6">
        <v>0.2951388888888889</v>
      </c>
      <c r="F1041" s="5">
        <f t="shared" si="98"/>
        <v>0.72649572649572647</v>
      </c>
      <c r="G1041" s="5">
        <v>0.80400000000000005</v>
      </c>
      <c r="H1041" s="4">
        <f>59.6/1440</f>
        <v>4.1388888888888892E-2</v>
      </c>
      <c r="I1041" s="5">
        <v>0.113</v>
      </c>
      <c r="J1041" s="11" t="s">
        <v>1416</v>
      </c>
    </row>
    <row r="1042" spans="1:10" ht="13.15" customHeight="1" x14ac:dyDescent="0.25">
      <c r="A1042">
        <f t="shared" si="94"/>
        <v>1037</v>
      </c>
      <c r="B1042" t="s">
        <v>1804</v>
      </c>
      <c r="C1042" s="2">
        <v>0.38472222222222224</v>
      </c>
      <c r="D1042" s="4">
        <f t="shared" ref="D1042:D1067" si="99">C1042-E1042</f>
        <v>8.9583333333333348E-2</v>
      </c>
      <c r="E1042" s="6">
        <v>0.2951388888888889</v>
      </c>
      <c r="F1042" s="5">
        <f t="shared" si="98"/>
        <v>0.76714801444043323</v>
      </c>
      <c r="G1042" s="5">
        <v>1</v>
      </c>
      <c r="H1042" s="4">
        <f>78.4/1440</f>
        <v>5.4444444444444448E-2</v>
      </c>
      <c r="I1042" s="5">
        <v>0.184</v>
      </c>
      <c r="J1042" s="11" t="s">
        <v>1812</v>
      </c>
    </row>
    <row r="1043" spans="1:10" ht="13.15" customHeight="1" x14ac:dyDescent="0.25">
      <c r="A1043">
        <f t="shared" si="94"/>
        <v>1038</v>
      </c>
      <c r="B1043" t="s">
        <v>264</v>
      </c>
      <c r="C1043" s="2">
        <v>0.42430555555555555</v>
      </c>
      <c r="D1043" s="4">
        <f t="shared" si="99"/>
        <v>0.12986111111111109</v>
      </c>
      <c r="E1043" s="6">
        <v>0.29444444444444445</v>
      </c>
      <c r="F1043" s="5">
        <f t="shared" si="98"/>
        <v>0.69394435351882167</v>
      </c>
      <c r="G1043" s="5">
        <v>0.51100000000000001</v>
      </c>
      <c r="H1043" s="4">
        <f>50.9/1440</f>
        <v>3.5347222222222224E-2</v>
      </c>
      <c r="I1043" s="5">
        <v>6.0999999999999999E-2</v>
      </c>
      <c r="J1043" s="11" t="s">
        <v>266</v>
      </c>
    </row>
    <row r="1044" spans="1:10" ht="13.15" customHeight="1" x14ac:dyDescent="0.25">
      <c r="A1044">
        <f t="shared" ref="A1044:A1107" si="100">A1043+1</f>
        <v>1039</v>
      </c>
      <c r="B1044" t="s">
        <v>311</v>
      </c>
      <c r="C1044" s="2">
        <v>0.46111111111111108</v>
      </c>
      <c r="D1044" s="4">
        <f t="shared" si="99"/>
        <v>0.16666666666666663</v>
      </c>
      <c r="E1044" s="6">
        <v>0.29444444444444445</v>
      </c>
      <c r="F1044" s="5">
        <f t="shared" si="98"/>
        <v>0.63855421686746994</v>
      </c>
      <c r="G1044" s="5">
        <v>0.873</v>
      </c>
      <c r="H1044" s="4">
        <f>64/1440</f>
        <v>4.4444444444444446E-2</v>
      </c>
      <c r="I1044" s="5">
        <v>0.13200000000000001</v>
      </c>
      <c r="J1044" s="11" t="s">
        <v>312</v>
      </c>
    </row>
    <row r="1045" spans="1:10" ht="13.15" customHeight="1" x14ac:dyDescent="0.25">
      <c r="A1045">
        <f t="shared" si="100"/>
        <v>1040</v>
      </c>
      <c r="B1045" t="s">
        <v>342</v>
      </c>
      <c r="C1045" s="2">
        <v>0.40625</v>
      </c>
      <c r="D1045" s="4">
        <f t="shared" si="99"/>
        <v>0.11180555555555555</v>
      </c>
      <c r="E1045" s="6">
        <v>0.29444444444444445</v>
      </c>
      <c r="F1045" s="5">
        <f t="shared" si="98"/>
        <v>0.72478632478632476</v>
      </c>
      <c r="G1045" s="5">
        <v>0.89700000000000002</v>
      </c>
      <c r="H1045" s="4">
        <f>72/1440</f>
        <v>0.05</v>
      </c>
      <c r="I1045" s="5">
        <v>0.152</v>
      </c>
      <c r="J1045" s="11" t="s">
        <v>344</v>
      </c>
    </row>
    <row r="1046" spans="1:10" ht="13.15" customHeight="1" x14ac:dyDescent="0.25">
      <c r="A1046">
        <f t="shared" si="100"/>
        <v>1041</v>
      </c>
      <c r="B1046" t="s">
        <v>553</v>
      </c>
      <c r="C1046" s="2">
        <v>0.47083333333333338</v>
      </c>
      <c r="D1046" s="4">
        <f t="shared" si="99"/>
        <v>0.17638888888888893</v>
      </c>
      <c r="E1046" s="6">
        <v>0.29444444444444445</v>
      </c>
      <c r="F1046" s="5">
        <f t="shared" si="98"/>
        <v>0.62536873156342176</v>
      </c>
      <c r="G1046" s="5">
        <v>0.73899999999999999</v>
      </c>
      <c r="H1046" s="4">
        <f>67.5/1440</f>
        <v>4.6875E-2</v>
      </c>
      <c r="I1046" s="5">
        <v>0.11700000000000001</v>
      </c>
      <c r="J1046" s="11" t="s">
        <v>555</v>
      </c>
    </row>
    <row r="1047" spans="1:10" ht="13.15" customHeight="1" x14ac:dyDescent="0.25">
      <c r="A1047">
        <f t="shared" si="100"/>
        <v>1042</v>
      </c>
      <c r="B1047" t="s">
        <v>1349</v>
      </c>
      <c r="C1047" s="2">
        <v>0.3972222222222222</v>
      </c>
      <c r="D1047" s="4">
        <f t="shared" si="99"/>
        <v>0.10277777777777775</v>
      </c>
      <c r="E1047" s="6">
        <v>0.29444444444444445</v>
      </c>
      <c r="F1047" s="5">
        <f t="shared" si="98"/>
        <v>0.74125874125874136</v>
      </c>
      <c r="G1047" s="5">
        <v>0.752</v>
      </c>
      <c r="H1047" s="4">
        <f>58.6/1440</f>
        <v>4.0694444444444443E-2</v>
      </c>
      <c r="I1047" s="5">
        <v>0.104</v>
      </c>
      <c r="J1047" s="11" t="s">
        <v>1346</v>
      </c>
    </row>
    <row r="1048" spans="1:10" ht="13.15" customHeight="1" x14ac:dyDescent="0.25">
      <c r="A1048">
        <f t="shared" si="100"/>
        <v>1043</v>
      </c>
      <c r="B1048" t="s">
        <v>1405</v>
      </c>
      <c r="C1048" s="2">
        <v>0.41944444444444445</v>
      </c>
      <c r="D1048" s="4">
        <f t="shared" si="99"/>
        <v>0.125</v>
      </c>
      <c r="E1048" s="6">
        <v>0.29444444444444445</v>
      </c>
      <c r="F1048" s="5">
        <f t="shared" si="98"/>
        <v>0.70198675496688745</v>
      </c>
      <c r="G1048" s="5">
        <v>0.84699999999999998</v>
      </c>
      <c r="H1048" s="4">
        <f>71.5/1440</f>
        <v>4.9652777777777775E-2</v>
      </c>
      <c r="I1048" s="5">
        <v>0.14199999999999999</v>
      </c>
      <c r="J1048" s="11" t="s">
        <v>1406</v>
      </c>
    </row>
    <row r="1049" spans="1:10" ht="13.15" customHeight="1" x14ac:dyDescent="0.25">
      <c r="A1049">
        <f t="shared" si="100"/>
        <v>1044</v>
      </c>
      <c r="B1049" t="s">
        <v>1473</v>
      </c>
      <c r="C1049" s="2">
        <v>0.40347222222222223</v>
      </c>
      <c r="D1049" s="4">
        <f t="shared" si="99"/>
        <v>0.10902777777777778</v>
      </c>
      <c r="E1049" s="6">
        <v>0.29444444444444445</v>
      </c>
      <c r="F1049" s="5">
        <f t="shared" si="98"/>
        <v>0.72977624784853701</v>
      </c>
      <c r="G1049" s="5">
        <v>0.77300000000000002</v>
      </c>
      <c r="H1049" s="4">
        <f>46.7/1440</f>
        <v>3.243055555555556E-2</v>
      </c>
      <c r="I1049" s="5">
        <v>8.5000000000000006E-2</v>
      </c>
      <c r="J1049" s="11" t="s">
        <v>1469</v>
      </c>
    </row>
    <row r="1050" spans="1:10" ht="13.15" customHeight="1" x14ac:dyDescent="0.25">
      <c r="A1050">
        <f t="shared" si="100"/>
        <v>1045</v>
      </c>
      <c r="B1050" t="s">
        <v>1726</v>
      </c>
      <c r="C1050" s="2">
        <v>0.41388888888888886</v>
      </c>
      <c r="D1050" s="4">
        <f t="shared" si="99"/>
        <v>0.11944444444444441</v>
      </c>
      <c r="E1050" s="6">
        <v>0.29444444444444445</v>
      </c>
      <c r="F1050" s="5">
        <f t="shared" si="98"/>
        <v>0.71140939597315445</v>
      </c>
      <c r="G1050" s="5">
        <v>0.77400000000000002</v>
      </c>
      <c r="H1050" s="4">
        <f>65.8/1440</f>
        <v>4.569444444444444E-2</v>
      </c>
      <c r="I1050" s="5">
        <v>0.12</v>
      </c>
      <c r="J1050" s="11" t="s">
        <v>1709</v>
      </c>
    </row>
    <row r="1051" spans="1:10" ht="13.15" customHeight="1" x14ac:dyDescent="0.25">
      <c r="A1051">
        <f t="shared" si="100"/>
        <v>1046</v>
      </c>
      <c r="B1051" t="s">
        <v>252</v>
      </c>
      <c r="C1051" s="2">
        <v>0.4291666666666667</v>
      </c>
      <c r="D1051" s="4">
        <f t="shared" si="99"/>
        <v>0.13541666666666669</v>
      </c>
      <c r="E1051" s="6">
        <v>0.29375000000000001</v>
      </c>
      <c r="F1051" s="5">
        <f t="shared" si="98"/>
        <v>0.68446601941747576</v>
      </c>
      <c r="G1051" s="5">
        <v>0.69799999999999995</v>
      </c>
      <c r="H1051" s="4">
        <f>61.3/1440</f>
        <v>4.2569444444444444E-2</v>
      </c>
      <c r="I1051" s="5">
        <v>0.10100000000000001</v>
      </c>
      <c r="J1051" s="11" t="s">
        <v>253</v>
      </c>
    </row>
    <row r="1052" spans="1:10" ht="13.15" customHeight="1" x14ac:dyDescent="0.25">
      <c r="A1052">
        <f t="shared" si="100"/>
        <v>1047</v>
      </c>
      <c r="B1052" t="s">
        <v>610</v>
      </c>
      <c r="C1052" s="2">
        <v>0.43611111111111112</v>
      </c>
      <c r="D1052" s="4">
        <f t="shared" si="99"/>
        <v>0.1423611111111111</v>
      </c>
      <c r="E1052" s="6">
        <v>0.29375000000000001</v>
      </c>
      <c r="F1052" s="5">
        <f t="shared" si="98"/>
        <v>0.67356687898089174</v>
      </c>
      <c r="G1052" s="5">
        <v>0.81799999999999995</v>
      </c>
      <c r="H1052" s="4">
        <f>72.9/1440</f>
        <v>5.0625000000000003E-2</v>
      </c>
      <c r="I1052" s="5">
        <v>0.14099999999999999</v>
      </c>
      <c r="J1052" s="11" t="s">
        <v>613</v>
      </c>
    </row>
    <row r="1053" spans="1:10" ht="13.15" customHeight="1" x14ac:dyDescent="0.25">
      <c r="A1053">
        <f t="shared" si="100"/>
        <v>1048</v>
      </c>
      <c r="B1053" t="s">
        <v>688</v>
      </c>
      <c r="C1053" s="2">
        <v>0.42083333333333334</v>
      </c>
      <c r="D1053" s="4">
        <f t="shared" si="99"/>
        <v>0.12708333333333333</v>
      </c>
      <c r="E1053" s="6">
        <v>0.29375000000000001</v>
      </c>
      <c r="F1053" s="5">
        <f t="shared" si="98"/>
        <v>0.69801980198019808</v>
      </c>
      <c r="G1053" s="5">
        <v>0.8488</v>
      </c>
      <c r="H1053" s="4">
        <f>70.2/1440</f>
        <v>4.8750000000000002E-2</v>
      </c>
      <c r="I1053" s="5">
        <v>0.14099999999999999</v>
      </c>
      <c r="J1053" s="11" t="s">
        <v>693</v>
      </c>
    </row>
    <row r="1054" spans="1:10" ht="13.15" customHeight="1" x14ac:dyDescent="0.25">
      <c r="A1054">
        <f t="shared" si="100"/>
        <v>1049</v>
      </c>
      <c r="B1054" t="s">
        <v>689</v>
      </c>
      <c r="C1054" s="2">
        <v>0.41388888888888892</v>
      </c>
      <c r="D1054" s="4">
        <f t="shared" si="99"/>
        <v>0.12013888888888891</v>
      </c>
      <c r="E1054" s="6">
        <v>0.29375000000000001</v>
      </c>
      <c r="F1054" s="5">
        <f t="shared" si="98"/>
        <v>0.70973154362416102</v>
      </c>
      <c r="G1054" s="5">
        <v>0.80100000000000005</v>
      </c>
      <c r="H1054" s="4">
        <f>67.3/1440</f>
        <v>4.673611111111111E-2</v>
      </c>
      <c r="I1054" s="5">
        <v>0.127</v>
      </c>
      <c r="J1054" s="11" t="s">
        <v>693</v>
      </c>
    </row>
    <row r="1055" spans="1:10" ht="13.15" customHeight="1" x14ac:dyDescent="0.25">
      <c r="A1055">
        <f t="shared" si="100"/>
        <v>1050</v>
      </c>
      <c r="B1055" t="s">
        <v>872</v>
      </c>
      <c r="C1055" s="2">
        <v>0.3972222222222222</v>
      </c>
      <c r="D1055" s="4">
        <f t="shared" si="99"/>
        <v>0.10347222222222219</v>
      </c>
      <c r="E1055" s="6">
        <v>0.29375000000000001</v>
      </c>
      <c r="F1055" s="5">
        <f t="shared" si="98"/>
        <v>0.73951048951048959</v>
      </c>
      <c r="G1055" s="5">
        <v>0.71499999999999997</v>
      </c>
      <c r="H1055" s="4">
        <f>54.2/1440</f>
        <v>3.7638888888888888E-2</v>
      </c>
      <c r="I1055" s="5">
        <v>9.1999999999999998E-2</v>
      </c>
      <c r="J1055" s="11" t="s">
        <v>878</v>
      </c>
    </row>
    <row r="1056" spans="1:10" ht="13.15" customHeight="1" x14ac:dyDescent="0.25">
      <c r="A1056">
        <f t="shared" si="100"/>
        <v>1051</v>
      </c>
      <c r="B1056" t="s">
        <v>909</v>
      </c>
      <c r="C1056" s="2">
        <v>0.39374999999999999</v>
      </c>
      <c r="D1056" s="4">
        <f t="shared" si="99"/>
        <v>9.9999999999999978E-2</v>
      </c>
      <c r="E1056" s="6">
        <v>0.29375000000000001</v>
      </c>
      <c r="F1056" s="5">
        <f t="shared" si="98"/>
        <v>0.74603174603174605</v>
      </c>
      <c r="G1056" s="5">
        <v>0.78300000000000003</v>
      </c>
      <c r="H1056" s="4">
        <f>62.9/1440</f>
        <v>4.3680555555555556E-2</v>
      </c>
      <c r="I1056" s="5">
        <v>0.11600000000000001</v>
      </c>
      <c r="J1056" s="11" t="s">
        <v>914</v>
      </c>
    </row>
    <row r="1057" spans="1:10" ht="13.15" customHeight="1" x14ac:dyDescent="0.25">
      <c r="A1057">
        <f t="shared" si="100"/>
        <v>1052</v>
      </c>
      <c r="B1057" t="s">
        <v>1462</v>
      </c>
      <c r="C1057" s="2">
        <v>0.40833333333333333</v>
      </c>
      <c r="D1057" s="4">
        <f t="shared" si="99"/>
        <v>0.11458333333333331</v>
      </c>
      <c r="E1057" s="6">
        <v>0.29375000000000001</v>
      </c>
      <c r="F1057" s="5">
        <f t="shared" si="98"/>
        <v>0.71938775510204089</v>
      </c>
      <c r="G1057" s="5">
        <v>0.82599999999999996</v>
      </c>
      <c r="H1057" s="4">
        <f>64/1440</f>
        <v>4.4444444444444446E-2</v>
      </c>
      <c r="I1057" s="5">
        <v>0.125</v>
      </c>
      <c r="J1057" s="11" t="s">
        <v>1442</v>
      </c>
    </row>
    <row r="1058" spans="1:10" ht="13.15" customHeight="1" x14ac:dyDescent="0.25">
      <c r="A1058">
        <f t="shared" si="100"/>
        <v>1053</v>
      </c>
      <c r="B1058" t="s">
        <v>1645</v>
      </c>
      <c r="C1058" s="2">
        <v>0.4513888888888889</v>
      </c>
      <c r="D1058" s="4">
        <f t="shared" si="99"/>
        <v>0.15763888888888888</v>
      </c>
      <c r="E1058" s="6">
        <v>0.29375000000000001</v>
      </c>
      <c r="F1058" s="5">
        <f t="shared" si="98"/>
        <v>0.65076923076923077</v>
      </c>
      <c r="G1058" s="5">
        <v>0.88300000000000001</v>
      </c>
      <c r="H1058" s="4">
        <f>74.5/1440</f>
        <v>5.1736111111111108E-2</v>
      </c>
      <c r="I1058" s="5">
        <v>0.155</v>
      </c>
      <c r="J1058" s="11" t="s">
        <v>1648</v>
      </c>
    </row>
    <row r="1059" spans="1:10" ht="13.15" customHeight="1" x14ac:dyDescent="0.25">
      <c r="A1059">
        <f t="shared" si="100"/>
        <v>1054</v>
      </c>
      <c r="B1059" t="s">
        <v>468</v>
      </c>
      <c r="C1059" s="2">
        <v>0.42499999999999999</v>
      </c>
      <c r="D1059" s="4">
        <f t="shared" si="99"/>
        <v>0.13194444444444442</v>
      </c>
      <c r="E1059" s="6">
        <v>0.29305555555555557</v>
      </c>
      <c r="F1059" s="5">
        <f t="shared" si="98"/>
        <v>0.68954248366013082</v>
      </c>
      <c r="G1059" s="5">
        <v>0.89500000000000002</v>
      </c>
      <c r="H1059" s="4">
        <f>69.8/1440</f>
        <v>4.8472222222222222E-2</v>
      </c>
      <c r="I1059" s="5">
        <v>0.14799999999999999</v>
      </c>
      <c r="J1059" s="11" t="s">
        <v>475</v>
      </c>
    </row>
    <row r="1060" spans="1:10" ht="13.15" customHeight="1" x14ac:dyDescent="0.25">
      <c r="A1060">
        <f t="shared" si="100"/>
        <v>1055</v>
      </c>
      <c r="B1060" t="s">
        <v>558</v>
      </c>
      <c r="C1060" s="2">
        <v>0.4381944444444445</v>
      </c>
      <c r="D1060" s="4">
        <f t="shared" si="99"/>
        <v>0.14513888888888893</v>
      </c>
      <c r="E1060" s="6">
        <v>0.29305555555555557</v>
      </c>
      <c r="F1060" s="5">
        <f t="shared" si="98"/>
        <v>0.66877971473851028</v>
      </c>
      <c r="G1060" s="5">
        <v>0.79600000000000004</v>
      </c>
      <c r="H1060" s="4">
        <f>62/1440</f>
        <v>4.3055555555555555E-2</v>
      </c>
      <c r="I1060" s="5">
        <v>0.11700000000000001</v>
      </c>
      <c r="J1060" s="11" t="s">
        <v>559</v>
      </c>
    </row>
    <row r="1061" spans="1:10" ht="13.15" customHeight="1" x14ac:dyDescent="0.25">
      <c r="A1061">
        <f t="shared" si="100"/>
        <v>1056</v>
      </c>
      <c r="B1061" t="s">
        <v>1472</v>
      </c>
      <c r="C1061" s="2">
        <v>0.41319444444444442</v>
      </c>
      <c r="D1061" s="4">
        <f t="shared" si="99"/>
        <v>0.12013888888888885</v>
      </c>
      <c r="E1061" s="6">
        <v>0.29305555555555557</v>
      </c>
      <c r="F1061" s="5">
        <f t="shared" si="98"/>
        <v>0.70924369747899163</v>
      </c>
      <c r="G1061" s="5">
        <v>0.83499999999999996</v>
      </c>
      <c r="H1061" s="4">
        <f>59.4/1440</f>
        <v>4.1250000000000002E-2</v>
      </c>
      <c r="I1061" s="5">
        <v>0.11700000000000001</v>
      </c>
      <c r="J1061" s="11" t="s">
        <v>1469</v>
      </c>
    </row>
    <row r="1062" spans="1:10" ht="13.15" customHeight="1" x14ac:dyDescent="0.25">
      <c r="A1062">
        <f t="shared" si="100"/>
        <v>1057</v>
      </c>
      <c r="B1062" t="s">
        <v>1761</v>
      </c>
      <c r="C1062" s="2">
        <v>0.41319444444444442</v>
      </c>
      <c r="D1062" s="4">
        <f t="shared" si="99"/>
        <v>0.12013888888888885</v>
      </c>
      <c r="E1062" s="6">
        <v>0.29305555555555557</v>
      </c>
      <c r="F1062" s="5">
        <f t="shared" si="98"/>
        <v>0.70924369747899163</v>
      </c>
      <c r="G1062" s="5">
        <v>0.73599999999999999</v>
      </c>
      <c r="H1062" s="4">
        <f>62.8/1440</f>
        <v>4.3611111111111107E-2</v>
      </c>
      <c r="I1062" s="5">
        <v>0.109</v>
      </c>
      <c r="J1062" s="11" t="s">
        <v>1758</v>
      </c>
    </row>
    <row r="1063" spans="1:10" ht="13.15" customHeight="1" x14ac:dyDescent="0.25">
      <c r="A1063">
        <f t="shared" si="100"/>
        <v>1058</v>
      </c>
      <c r="B1063" t="s">
        <v>179</v>
      </c>
      <c r="C1063" s="2">
        <v>0.43124999999999997</v>
      </c>
      <c r="D1063" s="4">
        <f t="shared" si="99"/>
        <v>0.13888888888888884</v>
      </c>
      <c r="E1063" s="6">
        <v>0.29236111111111113</v>
      </c>
      <c r="F1063" s="5">
        <f t="shared" si="98"/>
        <v>0.67793880837359111</v>
      </c>
      <c r="G1063" s="5">
        <v>0.79500000000000004</v>
      </c>
      <c r="H1063" s="4">
        <f>58.6/1440</f>
        <v>4.0694444444444443E-2</v>
      </c>
      <c r="I1063" s="5">
        <v>0.111</v>
      </c>
      <c r="J1063" s="11" t="s">
        <v>181</v>
      </c>
    </row>
    <row r="1064" spans="1:10" ht="13.15" customHeight="1" x14ac:dyDescent="0.25">
      <c r="A1064">
        <f t="shared" si="100"/>
        <v>1059</v>
      </c>
      <c r="B1064" t="s">
        <v>409</v>
      </c>
      <c r="C1064" s="2">
        <v>0.4055555555555555</v>
      </c>
      <c r="D1064" s="4">
        <f t="shared" si="99"/>
        <v>0.11319444444444438</v>
      </c>
      <c r="E1064" s="6">
        <v>0.29236111111111113</v>
      </c>
      <c r="F1064" s="5">
        <f t="shared" si="98"/>
        <v>0.72089041095890427</v>
      </c>
      <c r="G1064" s="5">
        <v>0.91500000000000004</v>
      </c>
      <c r="H1064" s="4">
        <f>77.2/1440</f>
        <v>5.3611111111111116E-2</v>
      </c>
      <c r="I1064" s="5">
        <v>0.16800000000000001</v>
      </c>
      <c r="J1064" s="11" t="s">
        <v>91</v>
      </c>
    </row>
    <row r="1065" spans="1:10" ht="13.15" customHeight="1" x14ac:dyDescent="0.25">
      <c r="A1065">
        <f t="shared" si="100"/>
        <v>1060</v>
      </c>
      <c r="B1065" t="s">
        <v>665</v>
      </c>
      <c r="C1065" s="2">
        <v>0.40763888888888888</v>
      </c>
      <c r="D1065" s="4">
        <f t="shared" si="99"/>
        <v>0.11527777777777776</v>
      </c>
      <c r="E1065" s="6">
        <v>0.29236111111111113</v>
      </c>
      <c r="F1065" s="5">
        <f t="shared" si="98"/>
        <v>0.717206132879046</v>
      </c>
      <c r="G1065" s="5">
        <v>0.79400000000000004</v>
      </c>
      <c r="H1065" s="4">
        <f>64.7/1440</f>
        <v>4.4930555555555557E-2</v>
      </c>
      <c r="I1065" s="5">
        <v>0.122</v>
      </c>
      <c r="J1065" s="11" t="s">
        <v>668</v>
      </c>
    </row>
    <row r="1066" spans="1:10" ht="13.15" customHeight="1" x14ac:dyDescent="0.25">
      <c r="A1066">
        <f t="shared" si="100"/>
        <v>1061</v>
      </c>
      <c r="B1066" t="s">
        <v>954</v>
      </c>
      <c r="C1066" s="2">
        <v>0.39166666666666666</v>
      </c>
      <c r="D1066" s="4">
        <f t="shared" si="99"/>
        <v>9.9305555555555536E-2</v>
      </c>
      <c r="E1066" s="6">
        <v>0.29236111111111113</v>
      </c>
      <c r="F1066" s="5">
        <f t="shared" si="98"/>
        <v>0.74645390070921991</v>
      </c>
      <c r="G1066" s="5">
        <v>0.71899999999999997</v>
      </c>
      <c r="H1066" s="4">
        <f>48.9/1440</f>
        <v>3.3958333333333333E-2</v>
      </c>
      <c r="I1066" s="5">
        <v>8.3000000000000004E-2</v>
      </c>
      <c r="J1066" s="11" t="s">
        <v>955</v>
      </c>
    </row>
    <row r="1067" spans="1:10" ht="13.15" customHeight="1" x14ac:dyDescent="0.25">
      <c r="A1067">
        <f t="shared" si="100"/>
        <v>1062</v>
      </c>
      <c r="B1067" t="s">
        <v>1202</v>
      </c>
      <c r="C1067" s="2">
        <v>0.45347222222222222</v>
      </c>
      <c r="D1067" s="4">
        <f t="shared" si="99"/>
        <v>0.16111111111111109</v>
      </c>
      <c r="E1067" s="6">
        <v>0.29236111111111113</v>
      </c>
      <c r="F1067" s="5">
        <f t="shared" si="98"/>
        <v>0.6447166921898928</v>
      </c>
      <c r="G1067" s="5">
        <v>0.748</v>
      </c>
      <c r="H1067" s="4">
        <f>42.1/1440</f>
        <v>2.9236111111111112E-2</v>
      </c>
      <c r="I1067" s="5">
        <v>7.4999999999999997E-2</v>
      </c>
      <c r="J1067" s="11" t="s">
        <v>1183</v>
      </c>
    </row>
    <row r="1068" spans="1:10" ht="13.15" customHeight="1" x14ac:dyDescent="0.25">
      <c r="A1068">
        <f t="shared" si="100"/>
        <v>1063</v>
      </c>
      <c r="B1068" t="s">
        <v>1428</v>
      </c>
      <c r="C1068" s="2">
        <v>0.4</v>
      </c>
      <c r="D1068" s="4">
        <v>0.10347222222222222</v>
      </c>
      <c r="E1068" s="6">
        <v>0.29236111111111113</v>
      </c>
      <c r="F1068" s="5">
        <f t="shared" si="98"/>
        <v>0.73090277777777779</v>
      </c>
      <c r="G1068" s="5">
        <v>0.71899999999999997</v>
      </c>
      <c r="H1068" s="4">
        <f>58.6/1440</f>
        <v>4.0694444444444443E-2</v>
      </c>
      <c r="I1068" s="5">
        <v>0.1</v>
      </c>
      <c r="J1068" s="11" t="s">
        <v>1417</v>
      </c>
    </row>
    <row r="1069" spans="1:10" ht="13.15" customHeight="1" x14ac:dyDescent="0.25">
      <c r="A1069">
        <f t="shared" si="100"/>
        <v>1064</v>
      </c>
      <c r="B1069" t="s">
        <v>1516</v>
      </c>
      <c r="C1069" s="2">
        <v>0.40555555555555556</v>
      </c>
      <c r="D1069" s="4">
        <f t="shared" ref="D1069:D1100" si="101">C1069-E1069</f>
        <v>0.11319444444444443</v>
      </c>
      <c r="E1069" s="6">
        <v>0.29236111111111113</v>
      </c>
      <c r="F1069" s="5">
        <f t="shared" si="98"/>
        <v>0.72089041095890416</v>
      </c>
      <c r="G1069" s="5">
        <v>0.80900000000000005</v>
      </c>
      <c r="H1069" s="4">
        <f>62.6/1440</f>
        <v>4.3472222222222225E-2</v>
      </c>
      <c r="I1069" s="5">
        <v>0.12</v>
      </c>
      <c r="J1069" s="11" t="s">
        <v>1505</v>
      </c>
    </row>
    <row r="1070" spans="1:10" ht="13.15" customHeight="1" x14ac:dyDescent="0.25">
      <c r="A1070">
        <f t="shared" si="100"/>
        <v>1065</v>
      </c>
      <c r="B1070" t="s">
        <v>1595</v>
      </c>
      <c r="C1070" s="2">
        <v>0.35486111111111113</v>
      </c>
      <c r="D1070" s="4">
        <f t="shared" si="101"/>
        <v>6.25E-2</v>
      </c>
      <c r="E1070" s="6">
        <v>0.29236111111111113</v>
      </c>
      <c r="F1070" s="5">
        <f t="shared" si="98"/>
        <v>0.82387475538160471</v>
      </c>
      <c r="G1070" s="5">
        <v>0.78500000000000003</v>
      </c>
      <c r="H1070" s="4">
        <f>73/1440</f>
        <v>5.0694444444444445E-2</v>
      </c>
      <c r="I1070" s="5">
        <v>0.13600000000000001</v>
      </c>
      <c r="J1070" s="11" t="s">
        <v>1589</v>
      </c>
    </row>
    <row r="1071" spans="1:10" ht="13.15" customHeight="1" x14ac:dyDescent="0.25">
      <c r="A1071">
        <f t="shared" si="100"/>
        <v>1066</v>
      </c>
      <c r="B1071" t="s">
        <v>1657</v>
      </c>
      <c r="C1071" s="2">
        <v>0.46458333333333335</v>
      </c>
      <c r="D1071" s="4">
        <f t="shared" si="101"/>
        <v>0.17222222222222222</v>
      </c>
      <c r="E1071" s="6">
        <v>0.29236111111111113</v>
      </c>
      <c r="F1071" s="5">
        <f t="shared" si="98"/>
        <v>0.62929745889387145</v>
      </c>
      <c r="G1071" s="5">
        <v>0.86699999999999999</v>
      </c>
      <c r="H1071" s="4">
        <f>81.9/1440</f>
        <v>5.6875000000000002E-2</v>
      </c>
      <c r="I1071" s="5">
        <v>0.16900000000000001</v>
      </c>
      <c r="J1071" s="11" t="s">
        <v>1650</v>
      </c>
    </row>
    <row r="1072" spans="1:10" ht="13.15" customHeight="1" x14ac:dyDescent="0.25">
      <c r="A1072">
        <f t="shared" si="100"/>
        <v>1067</v>
      </c>
      <c r="B1072" t="s">
        <v>407</v>
      </c>
      <c r="C1072" s="2">
        <v>0.46319444444444446</v>
      </c>
      <c r="D1072" s="4">
        <f t="shared" si="101"/>
        <v>0.17152777777777778</v>
      </c>
      <c r="E1072" s="6">
        <v>0.29166666666666669</v>
      </c>
      <c r="F1072" s="5">
        <f t="shared" si="98"/>
        <v>0.62968515742128939</v>
      </c>
      <c r="G1072" s="5">
        <v>0.78600000000000003</v>
      </c>
      <c r="H1072" s="4">
        <f>56.3/1440</f>
        <v>3.9097222222222221E-2</v>
      </c>
      <c r="I1072" s="5">
        <v>0.105</v>
      </c>
      <c r="J1072" s="11" t="s">
        <v>410</v>
      </c>
    </row>
    <row r="1073" spans="1:10" ht="13.15" customHeight="1" x14ac:dyDescent="0.25">
      <c r="A1073">
        <f t="shared" si="100"/>
        <v>1068</v>
      </c>
      <c r="B1073" t="s">
        <v>513</v>
      </c>
      <c r="C1073" s="2">
        <v>0.43958333333333338</v>
      </c>
      <c r="D1073" s="4">
        <f t="shared" si="101"/>
        <v>0.1479166666666667</v>
      </c>
      <c r="E1073" s="6">
        <v>0.29166666666666669</v>
      </c>
      <c r="F1073" s="5">
        <f t="shared" si="98"/>
        <v>0.6635071090047393</v>
      </c>
      <c r="G1073" s="5">
        <v>0.81</v>
      </c>
      <c r="H1073" s="4">
        <f>77.6/1440</f>
        <v>5.3888888888888882E-2</v>
      </c>
      <c r="I1073" s="5">
        <v>0.14899999999999999</v>
      </c>
      <c r="J1073" s="11" t="s">
        <v>517</v>
      </c>
    </row>
    <row r="1074" spans="1:10" ht="13.15" customHeight="1" x14ac:dyDescent="0.25">
      <c r="A1074">
        <f t="shared" si="100"/>
        <v>1069</v>
      </c>
      <c r="B1074" t="s">
        <v>694</v>
      </c>
      <c r="C1074" s="2">
        <v>0.4291666666666667</v>
      </c>
      <c r="D1074" s="4">
        <f t="shared" si="101"/>
        <v>0.13750000000000001</v>
      </c>
      <c r="E1074" s="6">
        <v>0.29166666666666669</v>
      </c>
      <c r="F1074" s="5">
        <f t="shared" si="98"/>
        <v>0.67961165048543692</v>
      </c>
      <c r="G1074" s="5">
        <v>0.81299999999999994</v>
      </c>
      <c r="H1074" s="4">
        <f>62.4/1440</f>
        <v>4.3333333333333335E-2</v>
      </c>
      <c r="I1074" s="5">
        <v>0.121</v>
      </c>
      <c r="J1074" s="11" t="s">
        <v>699</v>
      </c>
    </row>
    <row r="1075" spans="1:10" ht="13.15" customHeight="1" x14ac:dyDescent="0.25">
      <c r="A1075">
        <f t="shared" si="100"/>
        <v>1070</v>
      </c>
      <c r="B1075" t="s">
        <v>978</v>
      </c>
      <c r="C1075" s="2">
        <v>0.41736111111111113</v>
      </c>
      <c r="D1075" s="4">
        <f t="shared" si="101"/>
        <v>0.12569444444444444</v>
      </c>
      <c r="E1075" s="6">
        <v>0.29166666666666669</v>
      </c>
      <c r="F1075" s="5">
        <f t="shared" si="98"/>
        <v>0.69883527454242933</v>
      </c>
      <c r="G1075" s="5">
        <v>0.81100000000000005</v>
      </c>
      <c r="H1075" s="4">
        <f>62.1/1440</f>
        <v>4.3125000000000004E-2</v>
      </c>
      <c r="I1075" s="5">
        <v>0.12</v>
      </c>
      <c r="J1075" s="11" t="s">
        <v>983</v>
      </c>
    </row>
    <row r="1076" spans="1:10" ht="13.15" customHeight="1" x14ac:dyDescent="0.25">
      <c r="A1076">
        <f t="shared" si="100"/>
        <v>1071</v>
      </c>
      <c r="B1076" t="s">
        <v>1057</v>
      </c>
      <c r="C1076" s="2">
        <v>0.49722222222222223</v>
      </c>
      <c r="D1076" s="4">
        <f t="shared" si="101"/>
        <v>0.20555555555555555</v>
      </c>
      <c r="E1076" s="6">
        <v>0.29166666666666669</v>
      </c>
      <c r="F1076" s="5">
        <f t="shared" si="98"/>
        <v>0.58659217877094971</v>
      </c>
      <c r="G1076" s="5">
        <v>0.77700000000000002</v>
      </c>
      <c r="H1076" s="4">
        <f>60.6/1440</f>
        <v>4.2083333333333334E-2</v>
      </c>
      <c r="I1076" s="5">
        <v>0.112</v>
      </c>
      <c r="J1076" s="11" t="s">
        <v>1049</v>
      </c>
    </row>
    <row r="1077" spans="1:10" ht="13.15" customHeight="1" x14ac:dyDescent="0.25">
      <c r="A1077">
        <f t="shared" si="100"/>
        <v>1072</v>
      </c>
      <c r="B1077" t="s">
        <v>19</v>
      </c>
      <c r="C1077" s="2">
        <v>0.42986111111111108</v>
      </c>
      <c r="D1077" s="4">
        <f t="shared" si="101"/>
        <v>0.13888888888888884</v>
      </c>
      <c r="E1077" s="6">
        <v>0.29097222222222224</v>
      </c>
      <c r="F1077" s="5">
        <f t="shared" si="98"/>
        <v>0.67689822294022628</v>
      </c>
      <c r="G1077" s="5">
        <v>0.73599999999999999</v>
      </c>
      <c r="H1077" s="4">
        <f>58.7/1440</f>
        <v>4.0763888888888891E-2</v>
      </c>
      <c r="I1077" s="5">
        <v>0.10299999999999999</v>
      </c>
      <c r="J1077" s="11" t="s">
        <v>86</v>
      </c>
    </row>
    <row r="1078" spans="1:10" ht="13.15" customHeight="1" x14ac:dyDescent="0.25">
      <c r="A1078">
        <f t="shared" si="100"/>
        <v>1073</v>
      </c>
      <c r="B1078" t="s">
        <v>173</v>
      </c>
      <c r="C1078" s="2">
        <v>0.41666666666666669</v>
      </c>
      <c r="D1078" s="4">
        <f t="shared" si="101"/>
        <v>0.12569444444444444</v>
      </c>
      <c r="E1078" s="6">
        <v>0.29097222222222224</v>
      </c>
      <c r="F1078" s="5">
        <f t="shared" si="98"/>
        <v>0.69833333333333336</v>
      </c>
      <c r="G1078" s="5">
        <v>0.75600000000000001</v>
      </c>
      <c r="H1078" s="4">
        <f>67.6/1440</f>
        <v>4.6944444444444441E-2</v>
      </c>
      <c r="I1078" s="5">
        <v>0.122</v>
      </c>
      <c r="J1078" s="11" t="s">
        <v>174</v>
      </c>
    </row>
    <row r="1079" spans="1:10" ht="13.15" customHeight="1" x14ac:dyDescent="0.25">
      <c r="A1079">
        <f t="shared" si="100"/>
        <v>1074</v>
      </c>
      <c r="B1079" t="s">
        <v>495</v>
      </c>
      <c r="C1079" s="2">
        <v>0.41111111111111115</v>
      </c>
      <c r="D1079" s="4">
        <f t="shared" si="101"/>
        <v>0.12013888888888891</v>
      </c>
      <c r="E1079" s="6">
        <v>0.29097222222222224</v>
      </c>
      <c r="F1079" s="5">
        <f t="shared" si="98"/>
        <v>0.70777027027027029</v>
      </c>
      <c r="G1079" s="5">
        <v>0.79600000000000004</v>
      </c>
      <c r="H1079" s="4">
        <f>63.9/1440</f>
        <v>4.4374999999999998E-2</v>
      </c>
      <c r="I1079" s="5">
        <v>0.129</v>
      </c>
      <c r="J1079" s="11" t="s">
        <v>496</v>
      </c>
    </row>
    <row r="1080" spans="1:10" ht="13.15" customHeight="1" x14ac:dyDescent="0.25">
      <c r="A1080">
        <f t="shared" si="100"/>
        <v>1075</v>
      </c>
      <c r="B1080" t="s">
        <v>692</v>
      </c>
      <c r="C1080" s="2">
        <v>0.4375</v>
      </c>
      <c r="D1080" s="4">
        <f t="shared" si="101"/>
        <v>0.14652777777777776</v>
      </c>
      <c r="E1080" s="6">
        <v>0.29097222222222224</v>
      </c>
      <c r="F1080" s="5">
        <f t="shared" si="98"/>
        <v>0.66507936507936516</v>
      </c>
      <c r="G1080" s="5">
        <v>0.81799999999999995</v>
      </c>
      <c r="H1080" s="4">
        <f>61.1/1440</f>
        <v>4.2430555555555555E-2</v>
      </c>
      <c r="I1080" s="5">
        <v>0.11899999999999999</v>
      </c>
      <c r="J1080" s="11" t="s">
        <v>693</v>
      </c>
    </row>
    <row r="1081" spans="1:10" ht="13.15" customHeight="1" x14ac:dyDescent="0.25">
      <c r="A1081">
        <f t="shared" si="100"/>
        <v>1076</v>
      </c>
      <c r="B1081" t="s">
        <v>826</v>
      </c>
      <c r="C1081" s="2">
        <v>0.43472222222222223</v>
      </c>
      <c r="D1081" s="4">
        <f t="shared" si="101"/>
        <v>0.14374999999999999</v>
      </c>
      <c r="E1081" s="6">
        <v>0.29097222222222224</v>
      </c>
      <c r="F1081" s="5">
        <f t="shared" si="98"/>
        <v>0.66932907348242809</v>
      </c>
      <c r="G1081" s="5">
        <v>0.78</v>
      </c>
      <c r="H1081" s="4">
        <f>66/1440</f>
        <v>4.583333333333333E-2</v>
      </c>
      <c r="I1081" s="5">
        <v>0.123</v>
      </c>
      <c r="J1081" s="11" t="s">
        <v>823</v>
      </c>
    </row>
    <row r="1082" spans="1:10" ht="13.15" customHeight="1" x14ac:dyDescent="0.25">
      <c r="A1082">
        <f t="shared" si="100"/>
        <v>1077</v>
      </c>
      <c r="B1082" t="s">
        <v>1059</v>
      </c>
      <c r="C1082" s="2">
        <v>0.4777777777777778</v>
      </c>
      <c r="D1082" s="4">
        <f t="shared" si="101"/>
        <v>0.18680555555555556</v>
      </c>
      <c r="E1082" s="6">
        <v>0.29097222222222224</v>
      </c>
      <c r="F1082" s="5">
        <f t="shared" si="98"/>
        <v>0.60901162790697672</v>
      </c>
      <c r="G1082" s="5">
        <v>0.77100000000000002</v>
      </c>
      <c r="H1082" s="4">
        <f>60/1440</f>
        <v>4.1666666666666664E-2</v>
      </c>
      <c r="I1082" s="5">
        <v>0.11</v>
      </c>
      <c r="J1082" s="11" t="s">
        <v>1050</v>
      </c>
    </row>
    <row r="1083" spans="1:10" ht="13.15" customHeight="1" x14ac:dyDescent="0.25">
      <c r="A1083">
        <f t="shared" si="100"/>
        <v>1078</v>
      </c>
      <c r="B1083" t="s">
        <v>1108</v>
      </c>
      <c r="C1083" s="2">
        <v>0.50277777777777777</v>
      </c>
      <c r="D1083" s="4">
        <f t="shared" si="101"/>
        <v>0.21180555555555552</v>
      </c>
      <c r="E1083" s="6">
        <v>0.29097222222222224</v>
      </c>
      <c r="F1083" s="5">
        <f t="shared" si="98"/>
        <v>0.57872928176795591</v>
      </c>
      <c r="G1083" s="5">
        <v>0.83399999999999996</v>
      </c>
      <c r="H1083" s="4">
        <f>54.5/1440</f>
        <v>3.784722222222222E-2</v>
      </c>
      <c r="I1083" s="5">
        <v>0.108</v>
      </c>
      <c r="J1083" s="11" t="s">
        <v>1100</v>
      </c>
    </row>
    <row r="1084" spans="1:10" ht="13.15" customHeight="1" x14ac:dyDescent="0.25">
      <c r="A1084">
        <f t="shared" si="100"/>
        <v>1079</v>
      </c>
      <c r="B1084" t="s">
        <v>1348</v>
      </c>
      <c r="C1084" s="2">
        <v>0.39166666666666666</v>
      </c>
      <c r="D1084" s="4">
        <f t="shared" si="101"/>
        <v>0.10069444444444442</v>
      </c>
      <c r="E1084" s="6">
        <v>0.29097222222222224</v>
      </c>
      <c r="F1084" s="5">
        <f t="shared" si="98"/>
        <v>0.74290780141843982</v>
      </c>
      <c r="G1084" s="5">
        <v>0.77200000000000002</v>
      </c>
      <c r="H1084" s="4">
        <f>58.3/1440</f>
        <v>4.0486111111111112E-2</v>
      </c>
      <c r="I1084" s="5">
        <v>0.107</v>
      </c>
      <c r="J1084" s="11" t="s">
        <v>1346</v>
      </c>
    </row>
    <row r="1085" spans="1:10" ht="13.15" customHeight="1" x14ac:dyDescent="0.25">
      <c r="A1085">
        <f t="shared" si="100"/>
        <v>1080</v>
      </c>
      <c r="B1085" t="s">
        <v>1407</v>
      </c>
      <c r="C1085" s="2">
        <v>0.45763888888888887</v>
      </c>
      <c r="D1085" s="4">
        <f t="shared" si="101"/>
        <v>0.16666666666666663</v>
      </c>
      <c r="E1085" s="6">
        <v>0.29097222222222224</v>
      </c>
      <c r="F1085" s="5">
        <f t="shared" si="98"/>
        <v>0.63581183611532632</v>
      </c>
      <c r="G1085" s="5">
        <v>0.84199999999999997</v>
      </c>
      <c r="H1085" s="4">
        <f>71.3/1440</f>
        <v>4.9513888888888885E-2</v>
      </c>
      <c r="I1085" s="5">
        <v>0.14299999999999999</v>
      </c>
      <c r="J1085" s="11" t="s">
        <v>1406</v>
      </c>
    </row>
    <row r="1086" spans="1:10" ht="13.15" customHeight="1" x14ac:dyDescent="0.25">
      <c r="A1086">
        <f t="shared" si="100"/>
        <v>1081</v>
      </c>
      <c r="B1086" t="s">
        <v>1694</v>
      </c>
      <c r="C1086" s="2">
        <v>0.44305555555555554</v>
      </c>
      <c r="D1086" s="4">
        <f t="shared" si="101"/>
        <v>0.15208333333333329</v>
      </c>
      <c r="E1086" s="6">
        <v>0.29097222222222224</v>
      </c>
      <c r="F1086" s="5">
        <f t="shared" si="98"/>
        <v>0.65673981191222575</v>
      </c>
      <c r="G1086" s="5">
        <v>0.60899999999999999</v>
      </c>
      <c r="H1086" s="4">
        <f>35.3/1440</f>
        <v>2.4513888888888887E-2</v>
      </c>
      <c r="I1086" s="5">
        <v>5.0999999999999997E-2</v>
      </c>
      <c r="J1086" s="11" t="s">
        <v>1685</v>
      </c>
    </row>
    <row r="1087" spans="1:10" ht="13.15" customHeight="1" x14ac:dyDescent="0.25">
      <c r="A1087">
        <f t="shared" si="100"/>
        <v>1082</v>
      </c>
      <c r="B1087" t="s">
        <v>1716</v>
      </c>
      <c r="C1087" s="2">
        <v>0.37777777777777777</v>
      </c>
      <c r="D1087" s="4">
        <f t="shared" si="101"/>
        <v>8.6805555555555525E-2</v>
      </c>
      <c r="E1087" s="6">
        <v>0.29097222222222224</v>
      </c>
      <c r="F1087" s="5">
        <f t="shared" si="98"/>
        <v>0.77022058823529416</v>
      </c>
      <c r="G1087" s="5">
        <v>1</v>
      </c>
      <c r="H1087" s="4">
        <f>76.3/1440</f>
        <v>5.2986111111111109E-2</v>
      </c>
      <c r="I1087" s="5">
        <v>0.182</v>
      </c>
      <c r="J1087" s="11" t="s">
        <v>1708</v>
      </c>
    </row>
    <row r="1088" spans="1:10" ht="13.15" customHeight="1" x14ac:dyDescent="0.25">
      <c r="A1088">
        <f t="shared" si="100"/>
        <v>1083</v>
      </c>
      <c r="B1088" t="s">
        <v>1814</v>
      </c>
      <c r="C1088" s="2">
        <v>0.39166666666666666</v>
      </c>
      <c r="D1088" s="4">
        <f t="shared" si="101"/>
        <v>0.10069444444444442</v>
      </c>
      <c r="E1088" s="6">
        <v>0.29097222222222224</v>
      </c>
      <c r="F1088" s="5">
        <f t="shared" ref="F1088:F1151" si="102">E1088/C1088</f>
        <v>0.74290780141843982</v>
      </c>
      <c r="G1088" s="5">
        <v>0.69799999999999995</v>
      </c>
      <c r="H1088" s="4">
        <f>52/1440</f>
        <v>3.6111111111111108E-2</v>
      </c>
      <c r="I1088" s="5">
        <v>8.6999999999999994E-2</v>
      </c>
      <c r="J1088" s="11" t="s">
        <v>1815</v>
      </c>
    </row>
    <row r="1089" spans="1:10" ht="13.15" customHeight="1" x14ac:dyDescent="0.25">
      <c r="A1089">
        <f t="shared" si="100"/>
        <v>1084</v>
      </c>
      <c r="B1089" t="s">
        <v>1491</v>
      </c>
      <c r="C1089" s="2">
        <v>0.39652777777777776</v>
      </c>
      <c r="D1089" s="4">
        <f t="shared" si="101"/>
        <v>0.10624999999999996</v>
      </c>
      <c r="E1089" s="6">
        <v>0.2902777777777778</v>
      </c>
      <c r="F1089" s="5">
        <f t="shared" si="102"/>
        <v>0.73204903677758326</v>
      </c>
      <c r="G1089" s="5">
        <v>0.69799999999999995</v>
      </c>
      <c r="H1089" s="4">
        <f>58.2/1440</f>
        <v>4.041666666666667E-2</v>
      </c>
      <c r="I1089" s="5">
        <v>9.7000000000000003E-2</v>
      </c>
      <c r="J1089" s="11" t="s">
        <v>1486</v>
      </c>
    </row>
    <row r="1090" spans="1:10" ht="13.15" customHeight="1" x14ac:dyDescent="0.25">
      <c r="A1090">
        <f t="shared" si="100"/>
        <v>1085</v>
      </c>
      <c r="B1090" t="s">
        <v>1511</v>
      </c>
      <c r="C1090" s="2">
        <v>0.40972222222222221</v>
      </c>
      <c r="D1090" s="4">
        <f t="shared" si="101"/>
        <v>0.11944444444444441</v>
      </c>
      <c r="E1090" s="6">
        <v>0.2902777777777778</v>
      </c>
      <c r="F1090" s="5">
        <f t="shared" si="102"/>
        <v>0.70847457627118648</v>
      </c>
      <c r="G1090" s="5">
        <v>0.81100000000000005</v>
      </c>
      <c r="H1090" s="4">
        <f>67.8/1440</f>
        <v>4.7083333333333331E-2</v>
      </c>
      <c r="I1090" s="5">
        <v>0.13100000000000001</v>
      </c>
      <c r="J1090" s="11" t="s">
        <v>1504</v>
      </c>
    </row>
    <row r="1091" spans="1:10" ht="13.15" customHeight="1" x14ac:dyDescent="0.25">
      <c r="A1091">
        <f t="shared" si="100"/>
        <v>1086</v>
      </c>
      <c r="B1091" t="s">
        <v>163</v>
      </c>
      <c r="C1091" s="2">
        <v>0.4069444444444445</v>
      </c>
      <c r="D1091" s="4">
        <f t="shared" si="101"/>
        <v>0.11736111111111114</v>
      </c>
      <c r="E1091" s="6">
        <v>0.28958333333333336</v>
      </c>
      <c r="F1091" s="5">
        <f t="shared" si="102"/>
        <v>0.71160409556313986</v>
      </c>
      <c r="G1091" s="5">
        <v>0.89</v>
      </c>
      <c r="H1091" s="4">
        <f>84.4/1440</f>
        <v>5.8611111111111114E-2</v>
      </c>
      <c r="I1091" s="5">
        <v>0.18</v>
      </c>
      <c r="J1091" s="11" t="s">
        <v>164</v>
      </c>
    </row>
    <row r="1092" spans="1:10" ht="13.15" customHeight="1" x14ac:dyDescent="0.25">
      <c r="A1092">
        <f t="shared" si="100"/>
        <v>1087</v>
      </c>
      <c r="B1092" t="s">
        <v>433</v>
      </c>
      <c r="C1092" s="2">
        <v>0.47847222222222219</v>
      </c>
      <c r="D1092" s="4">
        <f t="shared" si="101"/>
        <v>0.18888888888888883</v>
      </c>
      <c r="E1092" s="6">
        <v>0.28958333333333336</v>
      </c>
      <c r="F1092" s="5">
        <f t="shared" si="102"/>
        <v>0.60522496371552981</v>
      </c>
      <c r="G1092" s="5">
        <v>0.91100000000000003</v>
      </c>
      <c r="H1092" s="4">
        <f>92.3/1440</f>
        <v>6.4097222222222222E-2</v>
      </c>
      <c r="I1092" s="5">
        <v>0.161</v>
      </c>
      <c r="J1092" s="11" t="s">
        <v>434</v>
      </c>
    </row>
    <row r="1093" spans="1:10" ht="13.15" customHeight="1" x14ac:dyDescent="0.25">
      <c r="A1093">
        <f t="shared" si="100"/>
        <v>1088</v>
      </c>
      <c r="B1093" t="s">
        <v>696</v>
      </c>
      <c r="C1093" s="2">
        <v>0.41875000000000001</v>
      </c>
      <c r="D1093" s="4">
        <f t="shared" si="101"/>
        <v>0.12916666666666665</v>
      </c>
      <c r="E1093" s="6">
        <v>0.28958333333333336</v>
      </c>
      <c r="F1093" s="5">
        <f t="shared" si="102"/>
        <v>0.691542288557214</v>
      </c>
      <c r="G1093" s="5">
        <v>0.81100000000000005</v>
      </c>
      <c r="H1093" s="4">
        <f>64.8/1440</f>
        <v>4.4999999999999998E-2</v>
      </c>
      <c r="I1093" s="5">
        <v>0.126</v>
      </c>
      <c r="J1093" s="11" t="s">
        <v>699</v>
      </c>
    </row>
    <row r="1094" spans="1:10" ht="13.15" customHeight="1" x14ac:dyDescent="0.25">
      <c r="A1094">
        <f t="shared" si="100"/>
        <v>1089</v>
      </c>
      <c r="B1094" t="s">
        <v>1378</v>
      </c>
      <c r="C1094" s="2">
        <v>0.41458333333333336</v>
      </c>
      <c r="D1094" s="4">
        <f t="shared" si="101"/>
        <v>0.125</v>
      </c>
      <c r="E1094" s="6">
        <v>0.28958333333333336</v>
      </c>
      <c r="F1094" s="5">
        <f t="shared" si="102"/>
        <v>0.69849246231155782</v>
      </c>
      <c r="G1094" s="5">
        <v>0.79100000000000004</v>
      </c>
      <c r="H1094" s="4">
        <f>67/1440</f>
        <v>4.6527777777777779E-2</v>
      </c>
      <c r="I1094" s="5">
        <v>0.127</v>
      </c>
      <c r="J1094" s="11" t="s">
        <v>1367</v>
      </c>
    </row>
    <row r="1095" spans="1:10" ht="13.15" customHeight="1" x14ac:dyDescent="0.25">
      <c r="A1095">
        <f t="shared" si="100"/>
        <v>1090</v>
      </c>
      <c r="B1095" t="s">
        <v>1481</v>
      </c>
      <c r="C1095" s="2">
        <v>0.41180555555555554</v>
      </c>
      <c r="D1095" s="4">
        <f t="shared" si="101"/>
        <v>0.12222222222222218</v>
      </c>
      <c r="E1095" s="6">
        <v>0.28958333333333336</v>
      </c>
      <c r="F1095" s="5">
        <f t="shared" si="102"/>
        <v>0.70320404721753804</v>
      </c>
      <c r="G1095" s="5">
        <v>0.81599999999999995</v>
      </c>
      <c r="H1095" s="4">
        <f>71.5/1440</f>
        <v>4.9652777777777775E-2</v>
      </c>
      <c r="I1095" s="5">
        <v>0.14000000000000001</v>
      </c>
      <c r="J1095" s="11" t="s">
        <v>1480</v>
      </c>
    </row>
    <row r="1096" spans="1:10" ht="13.15" customHeight="1" x14ac:dyDescent="0.25">
      <c r="A1096">
        <f t="shared" si="100"/>
        <v>1091</v>
      </c>
      <c r="B1096" t="s">
        <v>1575</v>
      </c>
      <c r="C1096" s="2">
        <v>0.39166666666666666</v>
      </c>
      <c r="D1096" s="4">
        <f t="shared" si="101"/>
        <v>0.1020833333333333</v>
      </c>
      <c r="E1096" s="6">
        <v>0.28958333333333336</v>
      </c>
      <c r="F1096" s="5">
        <f t="shared" si="102"/>
        <v>0.73936170212765961</v>
      </c>
      <c r="G1096" s="5">
        <v>0.80200000000000005</v>
      </c>
      <c r="H1096" s="4">
        <f>53/1440</f>
        <v>3.6805555555555557E-2</v>
      </c>
      <c r="I1096" s="5">
        <v>0.10199999999999999</v>
      </c>
      <c r="J1096" s="11" t="s">
        <v>1570</v>
      </c>
    </row>
    <row r="1097" spans="1:10" ht="13.15" customHeight="1" x14ac:dyDescent="0.25">
      <c r="A1097">
        <f t="shared" si="100"/>
        <v>1092</v>
      </c>
      <c r="B1097" t="s">
        <v>1756</v>
      </c>
      <c r="C1097" s="2">
        <v>0.39097222222222222</v>
      </c>
      <c r="D1097" s="4">
        <f t="shared" si="101"/>
        <v>0.10138888888888886</v>
      </c>
      <c r="E1097" s="6">
        <v>0.28958333333333336</v>
      </c>
      <c r="F1097" s="5">
        <f t="shared" si="102"/>
        <v>0.74067495559502672</v>
      </c>
      <c r="G1097" s="5">
        <v>0.83099999999999996</v>
      </c>
      <c r="H1097" s="4">
        <f>63.3/1440</f>
        <v>4.3958333333333328E-2</v>
      </c>
      <c r="I1097" s="5">
        <v>0.126</v>
      </c>
      <c r="J1097" s="11" t="s">
        <v>1752</v>
      </c>
    </row>
    <row r="1098" spans="1:10" ht="13.15" customHeight="1" x14ac:dyDescent="0.25">
      <c r="A1098">
        <f t="shared" si="100"/>
        <v>1093</v>
      </c>
      <c r="B1098" t="s">
        <v>171</v>
      </c>
      <c r="C1098" s="2">
        <v>0.46458333333333335</v>
      </c>
      <c r="D1098" s="4">
        <f t="shared" si="101"/>
        <v>0.17569444444444443</v>
      </c>
      <c r="E1098" s="6">
        <v>0.28888888888888892</v>
      </c>
      <c r="F1098" s="5">
        <f t="shared" si="102"/>
        <v>0.62182361733931246</v>
      </c>
      <c r="G1098" s="5">
        <v>0.79</v>
      </c>
      <c r="H1098" s="4">
        <f>58.3/1440</f>
        <v>4.0486111111111112E-2</v>
      </c>
      <c r="I1098" s="5">
        <v>0.111</v>
      </c>
      <c r="J1098" s="11" t="s">
        <v>172</v>
      </c>
    </row>
    <row r="1099" spans="1:10" ht="13.15" customHeight="1" x14ac:dyDescent="0.25">
      <c r="A1099">
        <f t="shared" si="100"/>
        <v>1094</v>
      </c>
      <c r="B1099" t="s">
        <v>581</v>
      </c>
      <c r="C1099" s="2">
        <v>0.42152777777777778</v>
      </c>
      <c r="D1099" s="4">
        <f t="shared" si="101"/>
        <v>0.13263888888888886</v>
      </c>
      <c r="E1099" s="6">
        <v>0.28888888888888892</v>
      </c>
      <c r="F1099" s="5">
        <f t="shared" si="102"/>
        <v>0.68533772652388802</v>
      </c>
      <c r="G1099" s="5">
        <v>0.85899999999999999</v>
      </c>
      <c r="H1099" s="4">
        <f>69.5/1440</f>
        <v>4.8263888888888891E-2</v>
      </c>
      <c r="I1099" s="5">
        <v>0.14299999999999999</v>
      </c>
      <c r="J1099" s="11" t="s">
        <v>583</v>
      </c>
    </row>
    <row r="1100" spans="1:10" ht="13.15" customHeight="1" x14ac:dyDescent="0.25">
      <c r="A1100">
        <f t="shared" si="100"/>
        <v>1095</v>
      </c>
      <c r="B1100" t="s">
        <v>783</v>
      </c>
      <c r="C1100" s="2">
        <v>0.41041666666666665</v>
      </c>
      <c r="D1100" s="4">
        <f t="shared" si="101"/>
        <v>0.12152777777777779</v>
      </c>
      <c r="E1100" s="6">
        <v>0.28888888888888886</v>
      </c>
      <c r="F1100" s="5">
        <f t="shared" si="102"/>
        <v>0.70389170896785103</v>
      </c>
      <c r="G1100" s="5">
        <v>0.79800000000000004</v>
      </c>
      <c r="H1100" s="4">
        <f>65.1/1440</f>
        <v>4.520833333333333E-2</v>
      </c>
      <c r="I1100" s="5">
        <v>0.125</v>
      </c>
      <c r="J1100" s="11" t="s">
        <v>788</v>
      </c>
    </row>
    <row r="1101" spans="1:10" ht="13.15" customHeight="1" x14ac:dyDescent="0.25">
      <c r="A1101">
        <f t="shared" si="100"/>
        <v>1096</v>
      </c>
      <c r="B1101" t="s">
        <v>1376</v>
      </c>
      <c r="C1101" s="2">
        <v>0.39930555555555558</v>
      </c>
      <c r="D1101" s="4">
        <f t="shared" ref="D1101:D1132" si="103">C1101-E1101</f>
        <v>0.11041666666666672</v>
      </c>
      <c r="E1101" s="6">
        <v>0.28888888888888886</v>
      </c>
      <c r="F1101" s="5">
        <f t="shared" si="102"/>
        <v>0.72347826086956513</v>
      </c>
      <c r="G1101" s="5">
        <v>0.81</v>
      </c>
      <c r="H1101" s="4">
        <f>62.1/1440</f>
        <v>4.3125000000000004E-2</v>
      </c>
      <c r="I1101" s="5">
        <v>0.121</v>
      </c>
      <c r="J1101" s="11" t="s">
        <v>1366</v>
      </c>
    </row>
    <row r="1102" spans="1:10" ht="13.15" customHeight="1" x14ac:dyDescent="0.25">
      <c r="A1102">
        <f t="shared" si="100"/>
        <v>1097</v>
      </c>
      <c r="B1102" t="s">
        <v>386</v>
      </c>
      <c r="C1102" s="2">
        <v>0.44375000000000003</v>
      </c>
      <c r="D1102" s="4">
        <f t="shared" si="103"/>
        <v>0.15555555555555556</v>
      </c>
      <c r="E1102" s="6">
        <v>0.28819444444444448</v>
      </c>
      <c r="F1102" s="5">
        <f t="shared" si="102"/>
        <v>0.64945226917057908</v>
      </c>
      <c r="G1102" s="5">
        <v>0.73199999999999998</v>
      </c>
      <c r="H1102" s="4">
        <f>63.5/1440</f>
        <v>4.4097222222222225E-2</v>
      </c>
      <c r="I1102" s="5">
        <v>0.112</v>
      </c>
      <c r="J1102" s="11" t="s">
        <v>387</v>
      </c>
    </row>
    <row r="1103" spans="1:10" ht="13.15" customHeight="1" x14ac:dyDescent="0.25">
      <c r="A1103">
        <f t="shared" si="100"/>
        <v>1098</v>
      </c>
      <c r="B1103" t="s">
        <v>1558</v>
      </c>
      <c r="C1103" s="2">
        <v>0.39652777777777776</v>
      </c>
      <c r="D1103" s="4">
        <f t="shared" si="103"/>
        <v>0.10833333333333334</v>
      </c>
      <c r="E1103" s="6">
        <v>0.28819444444444442</v>
      </c>
      <c r="F1103" s="5">
        <f t="shared" si="102"/>
        <v>0.72679509632224171</v>
      </c>
      <c r="G1103" s="5">
        <v>0.72599999999999998</v>
      </c>
      <c r="H1103" s="4">
        <f>47/1440</f>
        <v>3.2638888888888891E-2</v>
      </c>
      <c r="I1103" s="5">
        <v>8.2000000000000003E-2</v>
      </c>
      <c r="J1103" s="11" t="s">
        <v>1559</v>
      </c>
    </row>
    <row r="1104" spans="1:10" ht="13.15" customHeight="1" x14ac:dyDescent="0.25">
      <c r="A1104">
        <f t="shared" si="100"/>
        <v>1099</v>
      </c>
      <c r="B1104" t="s">
        <v>1567</v>
      </c>
      <c r="C1104" s="2">
        <v>0.4513888888888889</v>
      </c>
      <c r="D1104" s="4">
        <f t="shared" si="103"/>
        <v>0.16319444444444448</v>
      </c>
      <c r="E1104" s="6">
        <v>0.28819444444444442</v>
      </c>
      <c r="F1104" s="5">
        <f t="shared" si="102"/>
        <v>0.63846153846153841</v>
      </c>
      <c r="G1104" s="5">
        <v>0.78200000000000003</v>
      </c>
      <c r="H1104" s="4">
        <f>57.1/1440</f>
        <v>3.965277777777778E-2</v>
      </c>
      <c r="I1104" s="5">
        <v>0.108</v>
      </c>
      <c r="J1104" s="11" t="s">
        <v>1563</v>
      </c>
    </row>
    <row r="1105" spans="1:10" ht="13.15" customHeight="1" x14ac:dyDescent="0.25">
      <c r="A1105">
        <f t="shared" si="100"/>
        <v>1100</v>
      </c>
      <c r="B1105" t="s">
        <v>1760</v>
      </c>
      <c r="C1105" s="2">
        <v>0.40416666666666667</v>
      </c>
      <c r="D1105" s="4">
        <f t="shared" si="103"/>
        <v>0.11597222222222225</v>
      </c>
      <c r="E1105" s="6">
        <v>0.28819444444444442</v>
      </c>
      <c r="F1105" s="5">
        <f t="shared" si="102"/>
        <v>0.71305841924398616</v>
      </c>
      <c r="G1105" s="5">
        <v>0.751</v>
      </c>
      <c r="H1105" s="4">
        <f>45.2/1440</f>
        <v>3.138888888888889E-2</v>
      </c>
      <c r="I1105" s="5">
        <v>8.2000000000000003E-2</v>
      </c>
      <c r="J1105" s="11" t="s">
        <v>1758</v>
      </c>
    </row>
    <row r="1106" spans="1:10" ht="13.15" customHeight="1" x14ac:dyDescent="0.25">
      <c r="A1106">
        <f t="shared" si="100"/>
        <v>1101</v>
      </c>
      <c r="B1106" t="s">
        <v>786</v>
      </c>
      <c r="C1106" s="2">
        <v>0.41597222222222224</v>
      </c>
      <c r="D1106" s="4">
        <f t="shared" si="103"/>
        <v>0.12847222222222227</v>
      </c>
      <c r="E1106" s="6">
        <v>0.28749999999999998</v>
      </c>
      <c r="F1106" s="5">
        <f t="shared" si="102"/>
        <v>0.69115191986644398</v>
      </c>
      <c r="G1106" s="5">
        <v>0.79200000000000004</v>
      </c>
      <c r="H1106" s="4">
        <f>63.4/1440</f>
        <v>4.4027777777777777E-2</v>
      </c>
      <c r="I1106" s="5">
        <v>0.121</v>
      </c>
      <c r="J1106" s="11" t="s">
        <v>788</v>
      </c>
    </row>
    <row r="1107" spans="1:10" ht="13.15" customHeight="1" x14ac:dyDescent="0.25">
      <c r="A1107">
        <f t="shared" si="100"/>
        <v>1102</v>
      </c>
      <c r="B1107" t="s">
        <v>875</v>
      </c>
      <c r="C1107" s="2">
        <v>0.40555555555555556</v>
      </c>
      <c r="D1107" s="4">
        <f t="shared" si="103"/>
        <v>0.11805555555555558</v>
      </c>
      <c r="E1107" s="6">
        <v>0.28749999999999998</v>
      </c>
      <c r="F1107" s="5">
        <f t="shared" si="102"/>
        <v>0.70890410958904104</v>
      </c>
      <c r="G1107" s="5">
        <v>0.71399999999999997</v>
      </c>
      <c r="H1107" s="4">
        <f>60.7/1440</f>
        <v>4.2152777777777782E-2</v>
      </c>
      <c r="I1107" s="5">
        <v>0.105</v>
      </c>
      <c r="J1107" s="11" t="s">
        <v>878</v>
      </c>
    </row>
    <row r="1108" spans="1:10" ht="13.15" customHeight="1" x14ac:dyDescent="0.25">
      <c r="A1108">
        <f t="shared" ref="A1108:A1171" si="104">A1107+1</f>
        <v>1103</v>
      </c>
      <c r="B1108" t="s">
        <v>1032</v>
      </c>
      <c r="C1108" s="2">
        <v>0.43611111111111112</v>
      </c>
      <c r="D1108" s="4">
        <f t="shared" si="103"/>
        <v>0.14861111111111114</v>
      </c>
      <c r="E1108" s="6">
        <v>0.28749999999999998</v>
      </c>
      <c r="F1108" s="5">
        <f t="shared" si="102"/>
        <v>0.65923566878980888</v>
      </c>
      <c r="G1108" s="5">
        <v>0.81100000000000005</v>
      </c>
      <c r="H1108" s="4">
        <f>68.1/1440</f>
        <v>4.7291666666666662E-2</v>
      </c>
      <c r="I1108" s="5">
        <v>0.13300000000000001</v>
      </c>
      <c r="J1108" s="11" t="s">
        <v>1022</v>
      </c>
    </row>
    <row r="1109" spans="1:10" ht="13.15" customHeight="1" x14ac:dyDescent="0.25">
      <c r="A1109">
        <f t="shared" si="104"/>
        <v>1104</v>
      </c>
      <c r="B1109" t="s">
        <v>1474</v>
      </c>
      <c r="C1109" s="2">
        <v>0.4284722222222222</v>
      </c>
      <c r="D1109" s="4">
        <f t="shared" si="103"/>
        <v>0.14097222222222222</v>
      </c>
      <c r="E1109" s="6">
        <v>0.28749999999999998</v>
      </c>
      <c r="F1109" s="5">
        <f t="shared" si="102"/>
        <v>0.67098865478119929</v>
      </c>
      <c r="G1109" s="5">
        <v>0.69799999999999995</v>
      </c>
      <c r="H1109" s="4">
        <f>48.9/1440</f>
        <v>3.3958333333333333E-2</v>
      </c>
      <c r="I1109" s="5">
        <v>8.2000000000000003E-2</v>
      </c>
      <c r="J1109" s="11" t="s">
        <v>1469</v>
      </c>
    </row>
    <row r="1110" spans="1:10" ht="13.15" customHeight="1" x14ac:dyDescent="0.25">
      <c r="A1110">
        <f t="shared" si="104"/>
        <v>1105</v>
      </c>
      <c r="B1110" t="s">
        <v>1646</v>
      </c>
      <c r="C1110" s="2">
        <v>0.42986111111111114</v>
      </c>
      <c r="D1110" s="4">
        <f t="shared" si="103"/>
        <v>0.14236111111111116</v>
      </c>
      <c r="E1110" s="6">
        <v>0.28749999999999998</v>
      </c>
      <c r="F1110" s="5">
        <f t="shared" si="102"/>
        <v>0.66882067851373173</v>
      </c>
      <c r="G1110" s="5">
        <v>0.65500000000000003</v>
      </c>
      <c r="H1110" s="4">
        <f>58.1/1440</f>
        <v>4.0347222222222222E-2</v>
      </c>
      <c r="I1110" s="5">
        <v>9.1999999999999998E-2</v>
      </c>
      <c r="J1110" s="11" t="s">
        <v>1648</v>
      </c>
    </row>
    <row r="1111" spans="1:10" ht="13.15" customHeight="1" x14ac:dyDescent="0.25">
      <c r="A1111">
        <f t="shared" si="104"/>
        <v>1106</v>
      </c>
      <c r="B1111" t="s">
        <v>165</v>
      </c>
      <c r="C1111" s="2">
        <v>0.42222222222222222</v>
      </c>
      <c r="D1111" s="4">
        <f t="shared" si="103"/>
        <v>0.13541666666666669</v>
      </c>
      <c r="E1111" s="6">
        <v>0.28680555555555554</v>
      </c>
      <c r="F1111" s="5">
        <f t="shared" si="102"/>
        <v>0.67927631578947367</v>
      </c>
      <c r="G1111" s="5">
        <v>0.877</v>
      </c>
      <c r="H1111" s="4">
        <f>73.5/1440</f>
        <v>5.1041666666666666E-2</v>
      </c>
      <c r="I1111" s="5">
        <v>0.156</v>
      </c>
      <c r="J1111" s="11" t="s">
        <v>168</v>
      </c>
    </row>
    <row r="1112" spans="1:10" ht="13.15" customHeight="1" x14ac:dyDescent="0.25">
      <c r="A1112">
        <f t="shared" si="104"/>
        <v>1107</v>
      </c>
      <c r="B1112" t="s">
        <v>686</v>
      </c>
      <c r="C1112" s="2">
        <v>0.39999999999999997</v>
      </c>
      <c r="D1112" s="4">
        <f t="shared" si="103"/>
        <v>0.11319444444444443</v>
      </c>
      <c r="E1112" s="6">
        <v>0.28680555555555554</v>
      </c>
      <c r="F1112" s="5">
        <f t="shared" si="102"/>
        <v>0.71701388888888895</v>
      </c>
      <c r="G1112" s="5">
        <v>0.82299999999999995</v>
      </c>
      <c r="H1112" s="4">
        <f>63.1/1440</f>
        <v>4.3819444444444446E-2</v>
      </c>
      <c r="I1112" s="5">
        <v>0.126</v>
      </c>
      <c r="J1112" s="11" t="s">
        <v>687</v>
      </c>
    </row>
    <row r="1113" spans="1:10" ht="13.15" customHeight="1" x14ac:dyDescent="0.25">
      <c r="A1113">
        <f t="shared" si="104"/>
        <v>1108</v>
      </c>
      <c r="B1113" t="s">
        <v>1006</v>
      </c>
      <c r="C1113" s="2">
        <v>0.4236111111111111</v>
      </c>
      <c r="D1113" s="4">
        <f t="shared" si="103"/>
        <v>0.13680555555555557</v>
      </c>
      <c r="E1113" s="6">
        <v>0.28680555555555554</v>
      </c>
      <c r="F1113" s="5">
        <f t="shared" si="102"/>
        <v>0.67704918032786876</v>
      </c>
      <c r="G1113" s="5">
        <v>0.79800000000000004</v>
      </c>
      <c r="H1113" s="4">
        <f>61.5/1440</f>
        <v>4.2708333333333334E-2</v>
      </c>
      <c r="I1113" s="5">
        <v>0.11899999999999999</v>
      </c>
      <c r="J1113" s="11" t="s">
        <v>1004</v>
      </c>
    </row>
    <row r="1114" spans="1:10" ht="13.15" customHeight="1" x14ac:dyDescent="0.25">
      <c r="A1114">
        <f t="shared" si="104"/>
        <v>1109</v>
      </c>
      <c r="B1114" t="s">
        <v>1796</v>
      </c>
      <c r="C1114" s="2">
        <v>0.39027777777777778</v>
      </c>
      <c r="D1114" s="4">
        <f t="shared" si="103"/>
        <v>0.10347222222222224</v>
      </c>
      <c r="E1114" s="6">
        <v>0.28680555555555554</v>
      </c>
      <c r="F1114" s="5">
        <f t="shared" si="102"/>
        <v>0.73487544483985756</v>
      </c>
      <c r="G1114" s="5">
        <v>1</v>
      </c>
      <c r="H1114" s="4">
        <f>68.5/1440</f>
        <v>4.7569444444444442E-2</v>
      </c>
      <c r="I1114" s="5">
        <v>0.16600000000000001</v>
      </c>
      <c r="J1114" s="11" t="s">
        <v>1777</v>
      </c>
    </row>
    <row r="1115" spans="1:10" ht="13.15" customHeight="1" x14ac:dyDescent="0.25">
      <c r="A1115">
        <f t="shared" si="104"/>
        <v>1110</v>
      </c>
      <c r="B1115" t="s">
        <v>16</v>
      </c>
      <c r="C1115" s="2">
        <v>0.41041666666666665</v>
      </c>
      <c r="D1115" s="4">
        <f t="shared" si="103"/>
        <v>0.1243055555555555</v>
      </c>
      <c r="E1115" s="6">
        <v>0.28611111111111115</v>
      </c>
      <c r="F1115" s="5">
        <f t="shared" si="102"/>
        <v>0.697123519458545</v>
      </c>
      <c r="G1115" s="5">
        <v>0.83299999999999996</v>
      </c>
      <c r="H1115" s="4">
        <f>68.5/1440</f>
        <v>4.7569444444444442E-2</v>
      </c>
      <c r="I1115" s="5">
        <v>0.13800000000000001</v>
      </c>
      <c r="J1115" s="11" t="s">
        <v>89</v>
      </c>
    </row>
    <row r="1116" spans="1:10" ht="13.15" customHeight="1" x14ac:dyDescent="0.25">
      <c r="A1116">
        <f t="shared" si="104"/>
        <v>1111</v>
      </c>
      <c r="B1116" t="s">
        <v>461</v>
      </c>
      <c r="C1116" s="2">
        <v>0.42499999999999999</v>
      </c>
      <c r="D1116" s="4">
        <f t="shared" si="103"/>
        <v>0.13888888888888884</v>
      </c>
      <c r="E1116" s="6">
        <v>0.28611111111111115</v>
      </c>
      <c r="F1116" s="5">
        <f t="shared" si="102"/>
        <v>0.67320261437908513</v>
      </c>
      <c r="G1116" s="5">
        <v>0.875</v>
      </c>
      <c r="H1116" s="4">
        <f>80.1/1440</f>
        <v>5.5624999999999994E-2</v>
      </c>
      <c r="I1116" s="5">
        <v>0.17</v>
      </c>
      <c r="J1116" s="11" t="s">
        <v>462</v>
      </c>
    </row>
    <row r="1117" spans="1:10" ht="13.15" customHeight="1" x14ac:dyDescent="0.25">
      <c r="A1117">
        <f t="shared" si="104"/>
        <v>1112</v>
      </c>
      <c r="B1117" t="s">
        <v>499</v>
      </c>
      <c r="C1117" s="2">
        <v>0.43402777777777773</v>
      </c>
      <c r="D1117" s="4">
        <f t="shared" si="103"/>
        <v>0.14791666666666659</v>
      </c>
      <c r="E1117" s="6">
        <v>0.28611111111111115</v>
      </c>
      <c r="F1117" s="5">
        <f t="shared" si="102"/>
        <v>0.65920000000000012</v>
      </c>
      <c r="G1117" s="5">
        <v>0.76800000000000002</v>
      </c>
      <c r="H1117" s="4">
        <f>59.9/1440</f>
        <v>4.1597222222222223E-2</v>
      </c>
      <c r="I1117" s="5">
        <v>0.111</v>
      </c>
      <c r="J1117" s="11" t="s">
        <v>502</v>
      </c>
    </row>
    <row r="1118" spans="1:10" ht="13.15" customHeight="1" x14ac:dyDescent="0.25">
      <c r="A1118">
        <f t="shared" si="104"/>
        <v>1113</v>
      </c>
      <c r="B1118" t="s">
        <v>739</v>
      </c>
      <c r="C1118" s="2">
        <v>0.42986111111111114</v>
      </c>
      <c r="D1118" s="4">
        <f t="shared" si="103"/>
        <v>0.14375000000000004</v>
      </c>
      <c r="E1118" s="6">
        <v>0.28611111111111109</v>
      </c>
      <c r="F1118" s="5">
        <f t="shared" si="102"/>
        <v>0.66558966074313397</v>
      </c>
      <c r="G1118" s="5">
        <v>0.83199999999999996</v>
      </c>
      <c r="H1118" s="4">
        <f>69/1440</f>
        <v>4.791666666666667E-2</v>
      </c>
      <c r="I1118" s="5">
        <v>0.13900000000000001</v>
      </c>
      <c r="J1118" s="11" t="s">
        <v>748</v>
      </c>
    </row>
    <row r="1119" spans="1:10" ht="13.15" customHeight="1" x14ac:dyDescent="0.25">
      <c r="A1119">
        <f t="shared" si="104"/>
        <v>1114</v>
      </c>
      <c r="B1119" t="s">
        <v>1031</v>
      </c>
      <c r="C1119" s="2">
        <v>0.41805555555555557</v>
      </c>
      <c r="D1119" s="4">
        <f t="shared" si="103"/>
        <v>0.13194444444444448</v>
      </c>
      <c r="E1119" s="6">
        <v>0.28611111111111109</v>
      </c>
      <c r="F1119" s="5">
        <f t="shared" si="102"/>
        <v>0.6843853820598006</v>
      </c>
      <c r="G1119" s="5">
        <v>0.81599999999999995</v>
      </c>
      <c r="H1119" s="4">
        <f>63.6/1440</f>
        <v>4.4166666666666667E-2</v>
      </c>
      <c r="I1119" s="5">
        <v>0.126</v>
      </c>
      <c r="J1119" s="11" t="s">
        <v>1022</v>
      </c>
    </row>
    <row r="1120" spans="1:10" ht="13.15" customHeight="1" x14ac:dyDescent="0.25">
      <c r="A1120">
        <f t="shared" si="104"/>
        <v>1115</v>
      </c>
      <c r="B1120" t="s">
        <v>1403</v>
      </c>
      <c r="C1120" s="2">
        <v>0.39930555555555558</v>
      </c>
      <c r="D1120" s="4">
        <f t="shared" si="103"/>
        <v>0.11319444444444449</v>
      </c>
      <c r="E1120" s="6">
        <v>0.28611111111111109</v>
      </c>
      <c r="F1120" s="5">
        <f t="shared" si="102"/>
        <v>0.71652173913043471</v>
      </c>
      <c r="G1120" s="5">
        <v>0.82199999999999995</v>
      </c>
      <c r="H1120" s="4">
        <f>64.1/1440</f>
        <v>4.4513888888888888E-2</v>
      </c>
      <c r="I1120" s="5">
        <v>0.128</v>
      </c>
      <c r="J1120" s="11" t="s">
        <v>1400</v>
      </c>
    </row>
    <row r="1121" spans="1:10" ht="13.15" customHeight="1" x14ac:dyDescent="0.25">
      <c r="A1121">
        <f t="shared" si="104"/>
        <v>1116</v>
      </c>
      <c r="B1121" t="s">
        <v>143</v>
      </c>
      <c r="C1121" s="2">
        <v>0.42499999999999999</v>
      </c>
      <c r="D1121" s="4">
        <f t="shared" si="103"/>
        <v>0.13958333333333334</v>
      </c>
      <c r="E1121" s="6">
        <v>0.28541666666666665</v>
      </c>
      <c r="F1121" s="5">
        <f t="shared" si="102"/>
        <v>0.67156862745098034</v>
      </c>
      <c r="G1121" s="5">
        <v>0.70399999999999996</v>
      </c>
      <c r="H1121" s="4">
        <f>67/1440</f>
        <v>4.6527777777777779E-2</v>
      </c>
      <c r="I1121" s="5">
        <v>0.115</v>
      </c>
      <c r="J1121" s="11" t="s">
        <v>144</v>
      </c>
    </row>
    <row r="1122" spans="1:10" ht="13.15" customHeight="1" x14ac:dyDescent="0.25">
      <c r="A1122">
        <f t="shared" si="104"/>
        <v>1117</v>
      </c>
      <c r="B1122" t="s">
        <v>356</v>
      </c>
      <c r="C1122" s="2">
        <v>0.39652777777777781</v>
      </c>
      <c r="D1122" s="4">
        <f t="shared" si="103"/>
        <v>0.11111111111111116</v>
      </c>
      <c r="E1122" s="6">
        <v>0.28541666666666665</v>
      </c>
      <c r="F1122" s="5">
        <f t="shared" si="102"/>
        <v>0.71978984238178623</v>
      </c>
      <c r="G1122" s="5">
        <v>0.72299999999999998</v>
      </c>
      <c r="H1122" s="4">
        <f>87.6/1440</f>
        <v>6.083333333333333E-2</v>
      </c>
      <c r="I1122" s="5">
        <v>0.154</v>
      </c>
      <c r="J1122" s="11" t="s">
        <v>362</v>
      </c>
    </row>
    <row r="1123" spans="1:10" ht="13.15" customHeight="1" x14ac:dyDescent="0.25">
      <c r="A1123">
        <f t="shared" si="104"/>
        <v>1118</v>
      </c>
      <c r="B1123" t="s">
        <v>698</v>
      </c>
      <c r="C1123" s="2">
        <v>0.40833333333333338</v>
      </c>
      <c r="D1123" s="4">
        <f t="shared" si="103"/>
        <v>0.12291666666666673</v>
      </c>
      <c r="E1123" s="6">
        <v>0.28541666666666665</v>
      </c>
      <c r="F1123" s="5">
        <f t="shared" si="102"/>
        <v>0.69897959183673453</v>
      </c>
      <c r="G1123" s="5">
        <v>0.79200000000000004</v>
      </c>
      <c r="H1123" s="4">
        <f>62.2/1440</f>
        <v>4.3194444444444445E-2</v>
      </c>
      <c r="I1123" s="5">
        <v>0.12</v>
      </c>
      <c r="J1123" s="11" t="s">
        <v>699</v>
      </c>
    </row>
    <row r="1124" spans="1:10" ht="13.15" customHeight="1" x14ac:dyDescent="0.25">
      <c r="A1124">
        <f t="shared" si="104"/>
        <v>1119</v>
      </c>
      <c r="B1124" t="s">
        <v>784</v>
      </c>
      <c r="C1124" s="2">
        <v>0.41319444444444442</v>
      </c>
      <c r="D1124" s="4">
        <f t="shared" si="103"/>
        <v>0.12777777777777777</v>
      </c>
      <c r="E1124" s="6">
        <v>0.28541666666666665</v>
      </c>
      <c r="F1124" s="5">
        <f t="shared" si="102"/>
        <v>0.69075630252100839</v>
      </c>
      <c r="G1124" s="5">
        <v>0.79600000000000004</v>
      </c>
      <c r="H1124" s="4">
        <f>61.1/1440</f>
        <v>4.2430555555555555E-2</v>
      </c>
      <c r="I1124" s="5">
        <v>0.11799999999999999</v>
      </c>
      <c r="J1124" s="11" t="s">
        <v>788</v>
      </c>
    </row>
    <row r="1125" spans="1:10" ht="13.15" customHeight="1" x14ac:dyDescent="0.25">
      <c r="A1125">
        <f t="shared" si="104"/>
        <v>1120</v>
      </c>
      <c r="B1125" t="s">
        <v>795</v>
      </c>
      <c r="C1125" s="2">
        <v>0.39166666666666666</v>
      </c>
      <c r="D1125" s="4">
        <f t="shared" si="103"/>
        <v>0.10625000000000001</v>
      </c>
      <c r="E1125" s="6">
        <v>0.28541666666666665</v>
      </c>
      <c r="F1125" s="5">
        <f t="shared" si="102"/>
        <v>0.72872340425531912</v>
      </c>
      <c r="G1125" s="5">
        <v>0.72299999999999998</v>
      </c>
      <c r="H1125" s="4">
        <f>59.3/1440</f>
        <v>4.1180555555555554E-2</v>
      </c>
      <c r="I1125" s="5">
        <v>0.104</v>
      </c>
      <c r="J1125" s="11" t="s">
        <v>800</v>
      </c>
    </row>
    <row r="1126" spans="1:10" ht="13.15" customHeight="1" x14ac:dyDescent="0.25">
      <c r="A1126">
        <f t="shared" si="104"/>
        <v>1121</v>
      </c>
      <c r="B1126" t="s">
        <v>1510</v>
      </c>
      <c r="C1126" s="2">
        <v>0.41319444444444442</v>
      </c>
      <c r="D1126" s="4">
        <f t="shared" si="103"/>
        <v>0.12777777777777777</v>
      </c>
      <c r="E1126" s="6">
        <v>0.28541666666666665</v>
      </c>
      <c r="F1126" s="5">
        <f t="shared" si="102"/>
        <v>0.69075630252100839</v>
      </c>
      <c r="G1126" s="5">
        <v>0.82699999999999996</v>
      </c>
      <c r="H1126" s="4">
        <f>63/1440</f>
        <v>4.3749999999999997E-2</v>
      </c>
      <c r="I1126" s="5">
        <v>0.127</v>
      </c>
      <c r="J1126" s="11" t="s">
        <v>1504</v>
      </c>
    </row>
    <row r="1127" spans="1:10" ht="13.15" customHeight="1" x14ac:dyDescent="0.25">
      <c r="A1127">
        <f t="shared" si="104"/>
        <v>1122</v>
      </c>
      <c r="B1127" t="s">
        <v>1800</v>
      </c>
      <c r="C1127" s="2">
        <v>0.39513888888888887</v>
      </c>
      <c r="D1127" s="4">
        <f t="shared" si="103"/>
        <v>0.10972222222222222</v>
      </c>
      <c r="E1127" s="6">
        <v>0.28541666666666665</v>
      </c>
      <c r="F1127" s="5">
        <f t="shared" si="102"/>
        <v>0.72231985940246046</v>
      </c>
      <c r="G1127" s="5">
        <v>0.83699999999999997</v>
      </c>
      <c r="H1127" s="4">
        <f>67.7/1440</f>
        <v>4.701388888888889E-2</v>
      </c>
      <c r="I1127" s="5">
        <v>0.13800000000000001</v>
      </c>
      <c r="J1127" s="11" t="s">
        <v>1811</v>
      </c>
    </row>
    <row r="1128" spans="1:10" ht="13.15" customHeight="1" x14ac:dyDescent="0.25">
      <c r="A1128">
        <f t="shared" si="104"/>
        <v>1123</v>
      </c>
      <c r="B1128" t="s">
        <v>1808</v>
      </c>
      <c r="C1128" s="2">
        <v>0.38263888888888886</v>
      </c>
      <c r="D1128" s="4">
        <f t="shared" si="103"/>
        <v>9.722222222222221E-2</v>
      </c>
      <c r="E1128" s="6">
        <v>0.28541666666666665</v>
      </c>
      <c r="F1128" s="5">
        <f t="shared" si="102"/>
        <v>0.74591651542649728</v>
      </c>
      <c r="G1128" s="5">
        <v>1</v>
      </c>
      <c r="H1128" s="4">
        <f>69.7/1440</f>
        <v>4.8402777777777781E-2</v>
      </c>
      <c r="I1128" s="5">
        <v>0.16900000000000001</v>
      </c>
      <c r="J1128" s="11" t="s">
        <v>1813</v>
      </c>
    </row>
    <row r="1129" spans="1:10" ht="13.15" customHeight="1" x14ac:dyDescent="0.25">
      <c r="A1129">
        <f t="shared" si="104"/>
        <v>1124</v>
      </c>
      <c r="B1129" t="s">
        <v>235</v>
      </c>
      <c r="C1129" s="2">
        <v>0.45833333333333331</v>
      </c>
      <c r="D1129" s="4">
        <f t="shared" si="103"/>
        <v>0.1736111111111111</v>
      </c>
      <c r="E1129" s="6">
        <v>0.28472222222222221</v>
      </c>
      <c r="F1129" s="5">
        <f t="shared" si="102"/>
        <v>0.62121212121212122</v>
      </c>
      <c r="G1129" s="5">
        <v>0.78400000000000003</v>
      </c>
      <c r="H1129" s="4">
        <f>71.1/1440</f>
        <v>4.9374999999999995E-2</v>
      </c>
      <c r="I1129" s="5">
        <v>0.13600000000000001</v>
      </c>
      <c r="J1129" s="11" t="s">
        <v>236</v>
      </c>
    </row>
    <row r="1130" spans="1:10" ht="13.15" customHeight="1" x14ac:dyDescent="0.25">
      <c r="A1130">
        <f t="shared" si="104"/>
        <v>1125</v>
      </c>
      <c r="B1130" t="s">
        <v>359</v>
      </c>
      <c r="C1130" s="2">
        <v>0.42152777777777778</v>
      </c>
      <c r="D1130" s="4">
        <f t="shared" si="103"/>
        <v>0.13680555555555557</v>
      </c>
      <c r="E1130" s="6">
        <v>0.28472222222222221</v>
      </c>
      <c r="F1130" s="5">
        <f t="shared" si="102"/>
        <v>0.67545304777594728</v>
      </c>
      <c r="G1130" s="5">
        <v>0.79900000000000004</v>
      </c>
      <c r="H1130" s="4">
        <f>74/1440</f>
        <v>5.1388888888888887E-2</v>
      </c>
      <c r="I1130" s="5">
        <v>0.14399999999999999</v>
      </c>
      <c r="J1130" s="11" t="s">
        <v>366</v>
      </c>
    </row>
    <row r="1131" spans="1:10" ht="13.15" customHeight="1" x14ac:dyDescent="0.25">
      <c r="A1131">
        <f t="shared" si="104"/>
        <v>1126</v>
      </c>
      <c r="B1131" t="s">
        <v>573</v>
      </c>
      <c r="C1131" s="2">
        <v>0.4375</v>
      </c>
      <c r="D1131" s="4">
        <f t="shared" si="103"/>
        <v>0.15277777777777779</v>
      </c>
      <c r="E1131" s="6">
        <v>0.28472222222222221</v>
      </c>
      <c r="F1131" s="5">
        <f t="shared" si="102"/>
        <v>0.65079365079365081</v>
      </c>
      <c r="G1131" s="5">
        <v>0.77300000000000002</v>
      </c>
      <c r="H1131" s="4">
        <f>46.4/1440</f>
        <v>3.2222222222222222E-2</v>
      </c>
      <c r="I1131" s="5">
        <v>8.6999999999999994E-2</v>
      </c>
      <c r="J1131" s="11" t="s">
        <v>577</v>
      </c>
    </row>
    <row r="1132" spans="1:10" ht="13.15" customHeight="1" x14ac:dyDescent="0.25">
      <c r="A1132">
        <f t="shared" si="104"/>
        <v>1127</v>
      </c>
      <c r="B1132" t="s">
        <v>816</v>
      </c>
      <c r="C1132" s="2">
        <v>0.41805555555555557</v>
      </c>
      <c r="D1132" s="4">
        <f t="shared" si="103"/>
        <v>0.13333333333333336</v>
      </c>
      <c r="E1132" s="6">
        <v>0.28472222222222221</v>
      </c>
      <c r="F1132" s="5">
        <f t="shared" si="102"/>
        <v>0.68106312292358795</v>
      </c>
      <c r="G1132" s="5">
        <v>0.83499999999999996</v>
      </c>
      <c r="H1132" s="4">
        <f>74.5/1440</f>
        <v>5.1736111111111108E-2</v>
      </c>
      <c r="I1132" s="5">
        <v>0.152</v>
      </c>
      <c r="J1132" s="11" t="s">
        <v>814</v>
      </c>
    </row>
    <row r="1133" spans="1:10" ht="13.15" customHeight="1" x14ac:dyDescent="0.25">
      <c r="A1133">
        <f t="shared" si="104"/>
        <v>1128</v>
      </c>
      <c r="B1133" t="s">
        <v>1355</v>
      </c>
      <c r="C1133" s="2">
        <v>0.40208333333333335</v>
      </c>
      <c r="D1133" s="4">
        <f t="shared" ref="D1133" si="105">C1133-E1133</f>
        <v>0.11736111111111114</v>
      </c>
      <c r="E1133" s="6">
        <v>0.28472222222222221</v>
      </c>
      <c r="F1133" s="5">
        <f t="shared" si="102"/>
        <v>0.70811744386873909</v>
      </c>
      <c r="G1133" s="5">
        <v>0.92800000000000005</v>
      </c>
      <c r="H1133" s="4">
        <f>65.9/1440</f>
        <v>4.5763888888888896E-2</v>
      </c>
      <c r="I1133" s="5">
        <v>0.14899999999999999</v>
      </c>
      <c r="J1133" s="11" t="s">
        <v>1352</v>
      </c>
    </row>
    <row r="1134" spans="1:10" ht="13.15" customHeight="1" x14ac:dyDescent="0.25">
      <c r="A1134">
        <f t="shared" si="104"/>
        <v>1129</v>
      </c>
      <c r="B1134" t="s">
        <v>1427</v>
      </c>
      <c r="C1134" s="2">
        <v>0.39861111111111114</v>
      </c>
      <c r="D1134" s="4">
        <v>0.10347222222222222</v>
      </c>
      <c r="E1134" s="6">
        <v>0.28472222222222221</v>
      </c>
      <c r="F1134" s="5">
        <f t="shared" si="102"/>
        <v>0.71428571428571419</v>
      </c>
      <c r="G1134" s="5">
        <v>0.72599999999999998</v>
      </c>
      <c r="H1134" s="4">
        <f>48/1440</f>
        <v>3.3333333333333333E-2</v>
      </c>
      <c r="I1134" s="5">
        <v>8.5000000000000006E-2</v>
      </c>
      <c r="J1134" s="11" t="s">
        <v>1417</v>
      </c>
    </row>
    <row r="1135" spans="1:10" ht="13.15" customHeight="1" x14ac:dyDescent="0.25">
      <c r="A1135">
        <f t="shared" si="104"/>
        <v>1130</v>
      </c>
      <c r="B1135" t="s">
        <v>1425</v>
      </c>
      <c r="C1135" s="2">
        <v>0.39513888888888887</v>
      </c>
      <c r="D1135" s="4">
        <v>0.10347222222222222</v>
      </c>
      <c r="E1135" s="6">
        <v>0.28472222222222221</v>
      </c>
      <c r="F1135" s="5">
        <f t="shared" si="102"/>
        <v>0.72056239015817225</v>
      </c>
      <c r="G1135" s="5">
        <v>0.76300000000000001</v>
      </c>
      <c r="H1135" s="4">
        <f>57.3/1440</f>
        <v>3.9791666666666663E-2</v>
      </c>
      <c r="I1135" s="5">
        <v>0.106</v>
      </c>
      <c r="J1135" s="11" t="s">
        <v>1417</v>
      </c>
    </row>
    <row r="1136" spans="1:10" ht="13.15" customHeight="1" x14ac:dyDescent="0.25">
      <c r="A1136">
        <f t="shared" si="104"/>
        <v>1131</v>
      </c>
      <c r="B1136" t="s">
        <v>1543</v>
      </c>
      <c r="C1136" s="2">
        <v>0.41666666666666669</v>
      </c>
      <c r="D1136" s="4">
        <f t="shared" ref="D1136:D1168" si="106">C1136-E1136</f>
        <v>0.13194444444444448</v>
      </c>
      <c r="E1136" s="6">
        <v>0.28472222222222221</v>
      </c>
      <c r="F1136" s="5">
        <f t="shared" si="102"/>
        <v>0.68333333333333324</v>
      </c>
      <c r="G1136" s="5">
        <v>0.80300000000000005</v>
      </c>
      <c r="H1136" s="4">
        <f>74.5/1440</f>
        <v>5.1736111111111108E-2</v>
      </c>
      <c r="I1136" s="5">
        <v>0.14599999999999999</v>
      </c>
      <c r="J1136" s="11" t="s">
        <v>1544</v>
      </c>
    </row>
    <row r="1137" spans="1:10" ht="13.15" customHeight="1" x14ac:dyDescent="0.25">
      <c r="A1137">
        <f t="shared" si="104"/>
        <v>1132</v>
      </c>
      <c r="B1137" t="s">
        <v>1723</v>
      </c>
      <c r="C1137" s="2">
        <v>0.37916666666666665</v>
      </c>
      <c r="D1137" s="4">
        <f t="shared" si="106"/>
        <v>9.4444444444444442E-2</v>
      </c>
      <c r="E1137" s="6">
        <v>0.28472222222222221</v>
      </c>
      <c r="F1137" s="5">
        <f t="shared" si="102"/>
        <v>0.75091575091575091</v>
      </c>
      <c r="G1137" s="5">
        <v>0.81299999999999994</v>
      </c>
      <c r="H1137" s="4">
        <f>66.1/1440</f>
        <v>4.5902777777777772E-2</v>
      </c>
      <c r="I1137" s="5">
        <v>0.13100000000000001</v>
      </c>
      <c r="J1137" s="11" t="s">
        <v>1706</v>
      </c>
    </row>
    <row r="1138" spans="1:10" ht="13.15" customHeight="1" x14ac:dyDescent="0.25">
      <c r="A1138">
        <f t="shared" si="104"/>
        <v>1133</v>
      </c>
      <c r="B1138" t="s">
        <v>483</v>
      </c>
      <c r="C1138" s="2">
        <v>0.45833333333333331</v>
      </c>
      <c r="D1138" s="4">
        <f t="shared" si="106"/>
        <v>0.17430555555555555</v>
      </c>
      <c r="E1138" s="6">
        <v>0.28402777777777777</v>
      </c>
      <c r="F1138" s="5">
        <f t="shared" si="102"/>
        <v>0.61969696969696975</v>
      </c>
      <c r="G1138" s="5">
        <v>0.94199999999999995</v>
      </c>
      <c r="H1138" s="4">
        <f>74.8/1440</f>
        <v>5.1944444444444446E-2</v>
      </c>
      <c r="I1138" s="5">
        <v>0.17199999999999999</v>
      </c>
      <c r="J1138" s="11" t="s">
        <v>484</v>
      </c>
    </row>
    <row r="1139" spans="1:10" ht="13.15" customHeight="1" x14ac:dyDescent="0.25">
      <c r="A1139">
        <f t="shared" si="104"/>
        <v>1134</v>
      </c>
      <c r="B1139" t="s">
        <v>725</v>
      </c>
      <c r="C1139" s="2">
        <v>0.40902777777777777</v>
      </c>
      <c r="D1139" s="4">
        <f t="shared" si="106"/>
        <v>0.125</v>
      </c>
      <c r="E1139" s="6">
        <v>0.28402777777777777</v>
      </c>
      <c r="F1139" s="5">
        <f t="shared" si="102"/>
        <v>0.69439728353140917</v>
      </c>
      <c r="G1139" s="5">
        <v>0.74399999999999999</v>
      </c>
      <c r="H1139" s="4">
        <f>62.5/1440</f>
        <v>4.3402777777777776E-2</v>
      </c>
      <c r="I1139" s="5">
        <v>0.114</v>
      </c>
      <c r="J1139" s="11" t="s">
        <v>715</v>
      </c>
    </row>
    <row r="1140" spans="1:10" ht="13.15" customHeight="1" x14ac:dyDescent="0.25">
      <c r="A1140">
        <f t="shared" si="104"/>
        <v>1135</v>
      </c>
      <c r="B1140" t="s">
        <v>999</v>
      </c>
      <c r="C1140" s="2">
        <v>0.46180555555555558</v>
      </c>
      <c r="D1140" s="4">
        <f t="shared" si="106"/>
        <v>0.17777777777777781</v>
      </c>
      <c r="E1140" s="6">
        <v>0.28402777777777777</v>
      </c>
      <c r="F1140" s="5">
        <f t="shared" si="102"/>
        <v>0.61503759398496238</v>
      </c>
      <c r="G1140" s="5">
        <v>0.81699999999999995</v>
      </c>
      <c r="H1140" s="4">
        <f>62.3/1440</f>
        <v>4.3263888888888886E-2</v>
      </c>
      <c r="I1140" s="5">
        <v>0.124</v>
      </c>
      <c r="J1140" s="11" t="s">
        <v>998</v>
      </c>
    </row>
    <row r="1141" spans="1:10" ht="13.15" customHeight="1" x14ac:dyDescent="0.25">
      <c r="A1141">
        <f t="shared" si="104"/>
        <v>1136</v>
      </c>
      <c r="B1141" t="s">
        <v>1189</v>
      </c>
      <c r="C1141" s="2">
        <v>0.40625</v>
      </c>
      <c r="D1141" s="4">
        <f t="shared" si="106"/>
        <v>0.12222222222222223</v>
      </c>
      <c r="E1141" s="6">
        <v>0.28402777777777777</v>
      </c>
      <c r="F1141" s="5">
        <f t="shared" si="102"/>
        <v>0.6991452991452991</v>
      </c>
      <c r="G1141" s="5">
        <v>0.84599999999999997</v>
      </c>
      <c r="H1141" s="4">
        <f>62.4/1440</f>
        <v>4.3333333333333335E-2</v>
      </c>
      <c r="I1141" s="5">
        <v>0.129</v>
      </c>
      <c r="J1141" s="11" t="s">
        <v>1179</v>
      </c>
    </row>
    <row r="1142" spans="1:10" ht="13.15" customHeight="1" x14ac:dyDescent="0.25">
      <c r="A1142">
        <f t="shared" si="104"/>
        <v>1137</v>
      </c>
      <c r="B1142" t="s">
        <v>1299</v>
      </c>
      <c r="C1142" s="2">
        <v>0.39305555555555555</v>
      </c>
      <c r="D1142" s="4">
        <f t="shared" si="106"/>
        <v>0.10902777777777778</v>
      </c>
      <c r="E1142" s="6">
        <v>0.28402777777777777</v>
      </c>
      <c r="F1142" s="5">
        <f t="shared" si="102"/>
        <v>0.72261484098939932</v>
      </c>
      <c r="G1142" s="5">
        <v>0.84899999999999998</v>
      </c>
      <c r="H1142" s="4">
        <f>63.4/1440</f>
        <v>4.4027777777777777E-2</v>
      </c>
      <c r="I1142" s="5">
        <v>0.13100000000000001</v>
      </c>
      <c r="J1142" s="11" t="s">
        <v>1289</v>
      </c>
    </row>
    <row r="1143" spans="1:10" ht="13.15" customHeight="1" x14ac:dyDescent="0.25">
      <c r="A1143">
        <f t="shared" si="104"/>
        <v>1138</v>
      </c>
      <c r="B1143" t="s">
        <v>1319</v>
      </c>
      <c r="C1143" s="2">
        <v>0.38263888888888886</v>
      </c>
      <c r="D1143" s="4">
        <f t="shared" si="106"/>
        <v>9.8611111111111094E-2</v>
      </c>
      <c r="E1143" s="6">
        <v>0.28402777777777777</v>
      </c>
      <c r="F1143" s="5">
        <f t="shared" si="102"/>
        <v>0.74228675136116151</v>
      </c>
      <c r="G1143" s="5">
        <v>0.873</v>
      </c>
      <c r="H1143" s="4">
        <f>62.7/1440</f>
        <v>4.3541666666666666E-2</v>
      </c>
      <c r="I1143" s="5">
        <v>0.13400000000000001</v>
      </c>
      <c r="J1143" s="11" t="s">
        <v>1293</v>
      </c>
    </row>
    <row r="1144" spans="1:10" ht="13.15" customHeight="1" x14ac:dyDescent="0.25">
      <c r="A1144">
        <f t="shared" si="104"/>
        <v>1139</v>
      </c>
      <c r="B1144" t="s">
        <v>1322</v>
      </c>
      <c r="C1144" s="2">
        <v>0.38194444444444442</v>
      </c>
      <c r="D1144" s="4">
        <f t="shared" si="106"/>
        <v>9.7916666666666652E-2</v>
      </c>
      <c r="E1144" s="6">
        <v>0.28402777777777777</v>
      </c>
      <c r="F1144" s="5">
        <f t="shared" si="102"/>
        <v>0.74363636363636365</v>
      </c>
      <c r="G1144" s="5">
        <v>0.86099999999999999</v>
      </c>
      <c r="H1144" s="4">
        <f>59.9/1440</f>
        <v>4.1597222222222223E-2</v>
      </c>
      <c r="I1144" s="5">
        <v>0.126</v>
      </c>
      <c r="J1144" s="11" t="s">
        <v>1293</v>
      </c>
    </row>
    <row r="1145" spans="1:10" ht="13.15" customHeight="1" x14ac:dyDescent="0.25">
      <c r="A1145">
        <f t="shared" si="104"/>
        <v>1140</v>
      </c>
      <c r="B1145" t="s">
        <v>678</v>
      </c>
      <c r="C1145" s="2">
        <v>0.42569444444444443</v>
      </c>
      <c r="D1145" s="4">
        <f t="shared" si="106"/>
        <v>0.1423611111111111</v>
      </c>
      <c r="E1145" s="6">
        <v>0.28333333333333333</v>
      </c>
      <c r="F1145" s="5">
        <f t="shared" si="102"/>
        <v>0.66557911908646006</v>
      </c>
      <c r="G1145" s="5">
        <v>0.79200000000000004</v>
      </c>
      <c r="H1145" s="4">
        <f>64.8/1440</f>
        <v>4.4999999999999998E-2</v>
      </c>
      <c r="I1145" s="5">
        <v>0.126</v>
      </c>
      <c r="J1145" s="11" t="s">
        <v>681</v>
      </c>
    </row>
    <row r="1146" spans="1:10" ht="13.15" customHeight="1" x14ac:dyDescent="0.25">
      <c r="A1146">
        <f t="shared" si="104"/>
        <v>1141</v>
      </c>
      <c r="B1146" t="s">
        <v>1479</v>
      </c>
      <c r="C1146" s="2">
        <v>0.40347222222222223</v>
      </c>
      <c r="D1146" s="4">
        <f t="shared" si="106"/>
        <v>0.12013888888888891</v>
      </c>
      <c r="E1146" s="6">
        <v>0.28333333333333333</v>
      </c>
      <c r="F1146" s="5">
        <f t="shared" si="102"/>
        <v>0.70223752151462993</v>
      </c>
      <c r="G1146" s="5">
        <v>0.71099999999999997</v>
      </c>
      <c r="H1146" s="4">
        <f>64.7/1440</f>
        <v>4.4930555555555557E-2</v>
      </c>
      <c r="I1146" s="5">
        <v>0.113</v>
      </c>
      <c r="J1146" s="11" t="s">
        <v>1470</v>
      </c>
    </row>
    <row r="1147" spans="1:10" ht="13.15" customHeight="1" x14ac:dyDescent="0.25">
      <c r="A1147">
        <f t="shared" si="104"/>
        <v>1142</v>
      </c>
      <c r="B1147" t="s">
        <v>525</v>
      </c>
      <c r="C1147" s="2">
        <v>0.45902777777777781</v>
      </c>
      <c r="D1147" s="4">
        <f t="shared" si="106"/>
        <v>0.17638888888888893</v>
      </c>
      <c r="E1147" s="6">
        <v>0.28263888888888888</v>
      </c>
      <c r="F1147" s="5">
        <f t="shared" si="102"/>
        <v>0.615733736762481</v>
      </c>
      <c r="G1147" s="5">
        <v>0.85199999999999998</v>
      </c>
      <c r="H1147" s="4">
        <f>81.8/1440</f>
        <v>5.6805555555555554E-2</v>
      </c>
      <c r="I1147" s="5">
        <v>0.17100000000000001</v>
      </c>
      <c r="J1147" s="11" t="s">
        <v>528</v>
      </c>
    </row>
    <row r="1148" spans="1:10" ht="13.15" customHeight="1" x14ac:dyDescent="0.25">
      <c r="A1148">
        <f t="shared" si="104"/>
        <v>1143</v>
      </c>
      <c r="B1148" t="s">
        <v>864</v>
      </c>
      <c r="C1148" s="2">
        <v>0.3888888888888889</v>
      </c>
      <c r="D1148" s="4">
        <f t="shared" si="106"/>
        <v>0.10625000000000001</v>
      </c>
      <c r="E1148" s="6">
        <v>0.28263888888888888</v>
      </c>
      <c r="F1148" s="5">
        <f t="shared" si="102"/>
        <v>0.72678571428571426</v>
      </c>
      <c r="G1148" s="5">
        <v>0.72799999999999998</v>
      </c>
      <c r="H1148" s="4">
        <f>55.4/1440</f>
        <v>3.847222222222222E-2</v>
      </c>
      <c r="I1148" s="5">
        <v>9.9000000000000005E-2</v>
      </c>
      <c r="J1148" s="11" t="s">
        <v>866</v>
      </c>
    </row>
    <row r="1149" spans="1:10" ht="13.15" customHeight="1" x14ac:dyDescent="0.25">
      <c r="A1149">
        <f t="shared" si="104"/>
        <v>1144</v>
      </c>
      <c r="B1149" t="s">
        <v>556</v>
      </c>
      <c r="C1149" s="2">
        <v>0.41111111111111115</v>
      </c>
      <c r="D1149" s="4">
        <f t="shared" si="106"/>
        <v>0.12916666666666671</v>
      </c>
      <c r="E1149" s="6">
        <v>0.28194444444444444</v>
      </c>
      <c r="F1149" s="5">
        <f t="shared" si="102"/>
        <v>0.68581081081081074</v>
      </c>
      <c r="G1149" s="5">
        <v>0.83</v>
      </c>
      <c r="H1149" s="4">
        <f>45/1440</f>
        <v>3.125E-2</v>
      </c>
      <c r="I1149" s="5">
        <v>9.1999999999999998E-2</v>
      </c>
      <c r="J1149" s="11" t="s">
        <v>557</v>
      </c>
    </row>
    <row r="1150" spans="1:10" ht="13.15" customHeight="1" x14ac:dyDescent="0.25">
      <c r="A1150">
        <f t="shared" si="104"/>
        <v>1145</v>
      </c>
      <c r="B1150" t="s">
        <v>991</v>
      </c>
      <c r="C1150" s="2">
        <v>0.40486111111111112</v>
      </c>
      <c r="D1150" s="4">
        <f t="shared" si="106"/>
        <v>0.12291666666666667</v>
      </c>
      <c r="E1150" s="6">
        <v>0.28194444444444444</v>
      </c>
      <c r="F1150" s="5">
        <f t="shared" si="102"/>
        <v>0.69639794168096059</v>
      </c>
      <c r="G1150" s="5">
        <v>0.79</v>
      </c>
      <c r="H1150" s="4">
        <f>59.1/1440</f>
        <v>4.1041666666666671E-2</v>
      </c>
      <c r="I1150" s="5">
        <v>0.115</v>
      </c>
      <c r="J1150" s="11" t="s">
        <v>990</v>
      </c>
    </row>
    <row r="1151" spans="1:10" ht="13.15" customHeight="1" x14ac:dyDescent="0.25">
      <c r="A1151">
        <f t="shared" si="104"/>
        <v>1146</v>
      </c>
      <c r="B1151" t="s">
        <v>1130</v>
      </c>
      <c r="C1151" s="2">
        <v>0.39930555555555558</v>
      </c>
      <c r="D1151" s="4">
        <f t="shared" si="106"/>
        <v>0.11736111111111114</v>
      </c>
      <c r="E1151" s="6">
        <v>0.28194444444444444</v>
      </c>
      <c r="F1151" s="5">
        <f t="shared" si="102"/>
        <v>0.70608695652173903</v>
      </c>
      <c r="G1151" s="5">
        <v>0.81899999999999995</v>
      </c>
      <c r="H1151" s="4">
        <f>58.8/1440</f>
        <v>4.0833333333333333E-2</v>
      </c>
      <c r="I1151" s="5">
        <v>0.11899999999999999</v>
      </c>
      <c r="J1151" s="11" t="s">
        <v>1124</v>
      </c>
    </row>
    <row r="1152" spans="1:10" ht="13.15" customHeight="1" x14ac:dyDescent="0.25">
      <c r="A1152">
        <f t="shared" si="104"/>
        <v>1147</v>
      </c>
      <c r="B1152" t="s">
        <v>1409</v>
      </c>
      <c r="C1152" s="2">
        <v>0.42499999999999999</v>
      </c>
      <c r="D1152" s="4">
        <f t="shared" si="106"/>
        <v>0.14305555555555555</v>
      </c>
      <c r="E1152" s="6">
        <v>0.28194444444444444</v>
      </c>
      <c r="F1152" s="5">
        <f t="shared" ref="F1152:F1215" si="107">E1152/C1152</f>
        <v>0.66339869281045749</v>
      </c>
      <c r="G1152" s="5">
        <v>0.83699999999999997</v>
      </c>
      <c r="H1152" s="4">
        <f>74.4/1440</f>
        <v>5.1666666666666673E-2</v>
      </c>
      <c r="I1152" s="5">
        <v>0.153</v>
      </c>
      <c r="J1152" s="11" t="s">
        <v>1406</v>
      </c>
    </row>
    <row r="1153" spans="1:10" ht="13.15" customHeight="1" x14ac:dyDescent="0.25">
      <c r="A1153">
        <f t="shared" si="104"/>
        <v>1148</v>
      </c>
      <c r="B1153" t="s">
        <v>1465</v>
      </c>
      <c r="C1153" s="2">
        <v>0.37361111111111112</v>
      </c>
      <c r="D1153" s="4">
        <f t="shared" si="106"/>
        <v>9.1666666666666674E-2</v>
      </c>
      <c r="E1153" s="6">
        <v>0.28194444444444444</v>
      </c>
      <c r="F1153" s="5">
        <f t="shared" si="107"/>
        <v>0.75464684014869887</v>
      </c>
      <c r="G1153" s="5">
        <v>0.79600000000000004</v>
      </c>
      <c r="H1153" s="4">
        <f>56.2/1440</f>
        <v>3.9027777777777779E-2</v>
      </c>
      <c r="I1153" s="5">
        <v>0.11</v>
      </c>
      <c r="J1153" s="11" t="s">
        <v>1463</v>
      </c>
    </row>
    <row r="1154" spans="1:10" ht="13.15" customHeight="1" x14ac:dyDescent="0.25">
      <c r="A1154">
        <f t="shared" si="104"/>
        <v>1149</v>
      </c>
      <c r="B1154" t="s">
        <v>741</v>
      </c>
      <c r="C1154" s="2">
        <v>0.40625</v>
      </c>
      <c r="D1154" s="4">
        <f t="shared" si="106"/>
        <v>0.125</v>
      </c>
      <c r="E1154" s="6">
        <v>0.28125</v>
      </c>
      <c r="F1154" s="5">
        <f t="shared" si="107"/>
        <v>0.69230769230769229</v>
      </c>
      <c r="G1154" s="5">
        <v>0.83299999999999996</v>
      </c>
      <c r="H1154" s="4">
        <f>48.7/1440</f>
        <v>3.3819444444444444E-2</v>
      </c>
      <c r="I1154" s="5">
        <v>0.1</v>
      </c>
      <c r="J1154" s="11" t="s">
        <v>748</v>
      </c>
    </row>
    <row r="1155" spans="1:10" ht="13.15" customHeight="1" x14ac:dyDescent="0.25">
      <c r="A1155">
        <f t="shared" si="104"/>
        <v>1150</v>
      </c>
      <c r="B1155" t="s">
        <v>865</v>
      </c>
      <c r="C1155" s="2">
        <v>0.39097222222222222</v>
      </c>
      <c r="D1155" s="4">
        <f t="shared" si="106"/>
        <v>0.10972222222222222</v>
      </c>
      <c r="E1155" s="6">
        <v>0.28125</v>
      </c>
      <c r="F1155" s="5">
        <f t="shared" si="107"/>
        <v>0.71936056838365903</v>
      </c>
      <c r="G1155" s="5">
        <v>0.751</v>
      </c>
      <c r="H1155" s="4">
        <f>54.8/1440</f>
        <v>3.8055555555555551E-2</v>
      </c>
      <c r="I1155" s="5">
        <v>0.10100000000000001</v>
      </c>
      <c r="J1155" s="11" t="s">
        <v>866</v>
      </c>
    </row>
    <row r="1156" spans="1:10" ht="13.15" customHeight="1" x14ac:dyDescent="0.25">
      <c r="A1156">
        <f t="shared" si="104"/>
        <v>1151</v>
      </c>
      <c r="B1156" t="s">
        <v>1058</v>
      </c>
      <c r="C1156" s="2">
        <v>0.42638888888888887</v>
      </c>
      <c r="D1156" s="4">
        <f t="shared" si="106"/>
        <v>0.14513888888888887</v>
      </c>
      <c r="E1156" s="6">
        <v>0.28125</v>
      </c>
      <c r="F1156" s="5">
        <f t="shared" si="107"/>
        <v>0.65960912052117271</v>
      </c>
      <c r="G1156" s="5">
        <v>0.81</v>
      </c>
      <c r="H1156" s="4">
        <f>57.7/1440</f>
        <v>4.0069444444444449E-2</v>
      </c>
      <c r="I1156" s="5">
        <v>0.115</v>
      </c>
      <c r="J1156" s="11" t="s">
        <v>1050</v>
      </c>
    </row>
    <row r="1157" spans="1:10" ht="13.15" customHeight="1" x14ac:dyDescent="0.25">
      <c r="A1157">
        <f t="shared" si="104"/>
        <v>1152</v>
      </c>
      <c r="B1157" t="s">
        <v>1604</v>
      </c>
      <c r="C1157" s="2">
        <v>0.39652777777777776</v>
      </c>
      <c r="D1157" s="4">
        <f t="shared" si="106"/>
        <v>0.11527777777777776</v>
      </c>
      <c r="E1157" s="6">
        <v>0.28125</v>
      </c>
      <c r="F1157" s="5">
        <f t="shared" si="107"/>
        <v>0.70928196147110334</v>
      </c>
      <c r="G1157" s="5">
        <v>0.77200000000000002</v>
      </c>
      <c r="H1157" s="4">
        <f>52.7/1440</f>
        <v>3.6597222222222225E-2</v>
      </c>
      <c r="I1157" s="5">
        <v>0.1</v>
      </c>
      <c r="J1157" s="11" t="s">
        <v>1600</v>
      </c>
    </row>
    <row r="1158" spans="1:10" ht="13.15" customHeight="1" x14ac:dyDescent="0.25">
      <c r="A1158">
        <f t="shared" si="104"/>
        <v>1153</v>
      </c>
      <c r="B1158" t="s">
        <v>8</v>
      </c>
      <c r="C1158" s="2">
        <v>0.41250000000000003</v>
      </c>
      <c r="D1158" s="4">
        <f t="shared" si="106"/>
        <v>0.13194444444444448</v>
      </c>
      <c r="E1158" s="6">
        <v>0.28055555555555556</v>
      </c>
      <c r="F1158" s="5">
        <f t="shared" si="107"/>
        <v>0.68013468013468004</v>
      </c>
      <c r="G1158" s="5">
        <v>0.67300000000000004</v>
      </c>
      <c r="H1158" s="4">
        <f>58.3/1440</f>
        <v>4.0486111111111112E-2</v>
      </c>
      <c r="I1158" s="5">
        <v>9.7000000000000003E-2</v>
      </c>
      <c r="J1158" s="11" t="s">
        <v>68</v>
      </c>
    </row>
    <row r="1159" spans="1:10" ht="13.15" customHeight="1" x14ac:dyDescent="0.25">
      <c r="A1159">
        <f t="shared" si="104"/>
        <v>1154</v>
      </c>
      <c r="B1159" t="s">
        <v>157</v>
      </c>
      <c r="C1159" s="2">
        <v>0.39305555555555555</v>
      </c>
      <c r="D1159" s="4">
        <f t="shared" si="106"/>
        <v>0.11249999999999999</v>
      </c>
      <c r="E1159" s="6">
        <v>0.28055555555555556</v>
      </c>
      <c r="F1159" s="5">
        <f t="shared" si="107"/>
        <v>0.71378091872791527</v>
      </c>
      <c r="G1159" s="5">
        <v>0.66100000000000003</v>
      </c>
      <c r="H1159" s="4">
        <f>59.1/1440</f>
        <v>4.1041666666666671E-2</v>
      </c>
      <c r="I1159" s="5">
        <v>9.7000000000000003E-2</v>
      </c>
      <c r="J1159" s="11" t="s">
        <v>158</v>
      </c>
    </row>
    <row r="1160" spans="1:10" ht="13.15" customHeight="1" x14ac:dyDescent="0.25">
      <c r="A1160">
        <f t="shared" si="104"/>
        <v>1155</v>
      </c>
      <c r="B1160" t="s">
        <v>395</v>
      </c>
      <c r="C1160" s="2">
        <v>0.4152777777777778</v>
      </c>
      <c r="D1160" s="4">
        <f t="shared" si="106"/>
        <v>0.13472222222222224</v>
      </c>
      <c r="E1160" s="6">
        <v>0.28055555555555556</v>
      </c>
      <c r="F1160" s="5">
        <f t="shared" si="107"/>
        <v>0.67558528428093645</v>
      </c>
      <c r="G1160" s="5">
        <v>0.68600000000000005</v>
      </c>
      <c r="H1160" s="4">
        <f>63.8/1440</f>
        <v>4.4305555555555556E-2</v>
      </c>
      <c r="I1160" s="5">
        <v>0.108</v>
      </c>
      <c r="J1160" s="11" t="s">
        <v>396</v>
      </c>
    </row>
    <row r="1161" spans="1:10" ht="13.15" customHeight="1" x14ac:dyDescent="0.25">
      <c r="A1161">
        <f t="shared" si="104"/>
        <v>1156</v>
      </c>
      <c r="B1161" t="s">
        <v>551</v>
      </c>
      <c r="C1161" s="2">
        <v>0.39999999999999997</v>
      </c>
      <c r="D1161" s="4">
        <f t="shared" si="106"/>
        <v>0.11944444444444441</v>
      </c>
      <c r="E1161" s="6">
        <v>0.28055555555555556</v>
      </c>
      <c r="F1161" s="5">
        <f t="shared" si="107"/>
        <v>0.70138888888888895</v>
      </c>
      <c r="G1161" s="5">
        <v>0.76100000000000001</v>
      </c>
      <c r="H1161" s="4">
        <f>75.9/1440</f>
        <v>5.2708333333333336E-2</v>
      </c>
      <c r="I1161" s="5">
        <v>0.14299999999999999</v>
      </c>
      <c r="J1161" s="11" t="s">
        <v>552</v>
      </c>
    </row>
    <row r="1162" spans="1:10" ht="13.15" customHeight="1" x14ac:dyDescent="0.25">
      <c r="A1162">
        <f t="shared" si="104"/>
        <v>1157</v>
      </c>
      <c r="B1162" t="s">
        <v>724</v>
      </c>
      <c r="C1162" s="2">
        <v>0.41736111111111113</v>
      </c>
      <c r="D1162" s="4">
        <f t="shared" si="106"/>
        <v>0.13680555555555557</v>
      </c>
      <c r="E1162" s="6">
        <v>0.28055555555555556</v>
      </c>
      <c r="F1162" s="5">
        <f t="shared" si="107"/>
        <v>0.67221297836938432</v>
      </c>
      <c r="G1162" s="5">
        <v>0.77100000000000002</v>
      </c>
      <c r="H1162" s="4">
        <f>63.2/1440</f>
        <v>4.3888888888888894E-2</v>
      </c>
      <c r="I1162" s="5">
        <v>0.121</v>
      </c>
      <c r="J1162" s="11" t="s">
        <v>715</v>
      </c>
    </row>
    <row r="1163" spans="1:10" ht="13.15" customHeight="1" x14ac:dyDescent="0.25">
      <c r="A1163">
        <f t="shared" si="104"/>
        <v>1158</v>
      </c>
      <c r="B1163" t="s">
        <v>740</v>
      </c>
      <c r="C1163" s="2">
        <v>0.40763888888888888</v>
      </c>
      <c r="D1163" s="4">
        <f t="shared" si="106"/>
        <v>0.12708333333333333</v>
      </c>
      <c r="E1163" s="6">
        <v>0.28055555555555556</v>
      </c>
      <c r="F1163" s="5">
        <f t="shared" si="107"/>
        <v>0.68824531516183984</v>
      </c>
      <c r="G1163" s="5">
        <v>0.84499999999999997</v>
      </c>
      <c r="H1163" s="4">
        <f>69.2/1440</f>
        <v>4.805555555555556E-2</v>
      </c>
      <c r="I1163" s="5">
        <v>0.14499999999999999</v>
      </c>
      <c r="J1163" s="11" t="s">
        <v>748</v>
      </c>
    </row>
    <row r="1164" spans="1:10" ht="13.15" customHeight="1" x14ac:dyDescent="0.25">
      <c r="A1164">
        <f t="shared" si="104"/>
        <v>1159</v>
      </c>
      <c r="B1164" t="s">
        <v>957</v>
      </c>
      <c r="C1164" s="2">
        <v>0.40347222222222223</v>
      </c>
      <c r="D1164" s="4">
        <f t="shared" si="106"/>
        <v>0.12291666666666667</v>
      </c>
      <c r="E1164" s="6">
        <v>0.28055555555555556</v>
      </c>
      <c r="F1164" s="5">
        <f t="shared" si="107"/>
        <v>0.69535283993115315</v>
      </c>
      <c r="G1164" s="5">
        <v>0.78800000000000003</v>
      </c>
      <c r="H1164" s="4">
        <f>61.1/1440</f>
        <v>4.2430555555555555E-2</v>
      </c>
      <c r="I1164" s="5">
        <v>0.11899999999999999</v>
      </c>
      <c r="J1164" s="11" t="s">
        <v>955</v>
      </c>
    </row>
    <row r="1165" spans="1:10" ht="13.15" customHeight="1" x14ac:dyDescent="0.25">
      <c r="A1165">
        <f t="shared" si="104"/>
        <v>1160</v>
      </c>
      <c r="B1165" t="s">
        <v>1380</v>
      </c>
      <c r="C1165" s="2">
        <v>0.4236111111111111</v>
      </c>
      <c r="D1165" s="4">
        <f t="shared" si="106"/>
        <v>0.14374999999999999</v>
      </c>
      <c r="E1165" s="6">
        <v>0.27986111111111112</v>
      </c>
      <c r="F1165" s="5">
        <f t="shared" si="107"/>
        <v>0.66065573770491803</v>
      </c>
      <c r="G1165" s="5">
        <v>0.78200000000000003</v>
      </c>
      <c r="H1165" s="4">
        <f>72.3/1440</f>
        <v>5.0208333333333334E-2</v>
      </c>
      <c r="I1165" s="5">
        <v>0.14000000000000001</v>
      </c>
      <c r="J1165" s="11" t="s">
        <v>1367</v>
      </c>
    </row>
    <row r="1166" spans="1:10" ht="13.15" customHeight="1" x14ac:dyDescent="0.25">
      <c r="A1166">
        <f t="shared" si="104"/>
        <v>1161</v>
      </c>
      <c r="B1166" t="s">
        <v>1737</v>
      </c>
      <c r="C1166" s="2">
        <v>0.42083333333333334</v>
      </c>
      <c r="D1166" s="4">
        <f t="shared" si="106"/>
        <v>0.14097222222222222</v>
      </c>
      <c r="E1166" s="6">
        <v>0.27986111111111112</v>
      </c>
      <c r="F1166" s="5">
        <f t="shared" si="107"/>
        <v>0.66501650165016502</v>
      </c>
      <c r="G1166" s="5">
        <v>0.82299999999999995</v>
      </c>
      <c r="H1166" s="4">
        <f>66.6/1440</f>
        <v>4.6249999999999999E-2</v>
      </c>
      <c r="I1166" s="5">
        <v>0.13600000000000001</v>
      </c>
      <c r="J1166" s="11" t="s">
        <v>1728</v>
      </c>
    </row>
    <row r="1167" spans="1:10" ht="13.15" customHeight="1" x14ac:dyDescent="0.25">
      <c r="A1167">
        <f t="shared" si="104"/>
        <v>1162</v>
      </c>
      <c r="B1167" t="s">
        <v>1007</v>
      </c>
      <c r="C1167" s="2">
        <v>0.42916666666666664</v>
      </c>
      <c r="D1167" s="4">
        <f t="shared" si="106"/>
        <v>0.14999999999999997</v>
      </c>
      <c r="E1167" s="6">
        <v>0.27916666666666667</v>
      </c>
      <c r="F1167" s="5">
        <f t="shared" si="107"/>
        <v>0.65048543689320393</v>
      </c>
      <c r="G1167" s="5">
        <v>0.81799999999999995</v>
      </c>
      <c r="H1167" s="4">
        <f>62.5/1440</f>
        <v>4.3402777777777776E-2</v>
      </c>
      <c r="I1167" s="5">
        <v>0.127</v>
      </c>
      <c r="J1167" s="11" t="s">
        <v>1004</v>
      </c>
    </row>
    <row r="1168" spans="1:10" ht="13.15" customHeight="1" x14ac:dyDescent="0.25">
      <c r="A1168">
        <f t="shared" si="104"/>
        <v>1163</v>
      </c>
      <c r="B1168" t="s">
        <v>1139</v>
      </c>
      <c r="C1168" s="2">
        <v>0.37777777777777777</v>
      </c>
      <c r="D1168" s="4">
        <f t="shared" si="106"/>
        <v>9.8611111111111094E-2</v>
      </c>
      <c r="E1168" s="6">
        <v>0.27916666666666667</v>
      </c>
      <c r="F1168" s="5">
        <f t="shared" si="107"/>
        <v>0.73897058823529416</v>
      </c>
      <c r="G1168" s="5">
        <v>0.82899999999999996</v>
      </c>
      <c r="H1168" s="4">
        <f>65/1440</f>
        <v>4.5138888888888888E-2</v>
      </c>
      <c r="I1168" s="5">
        <v>0.13400000000000001</v>
      </c>
      <c r="J1168" s="11" t="s">
        <v>1126</v>
      </c>
    </row>
    <row r="1169" spans="1:10" ht="13.15" customHeight="1" x14ac:dyDescent="0.25">
      <c r="A1169">
        <f t="shared" si="104"/>
        <v>1164</v>
      </c>
      <c r="B1169" t="s">
        <v>1421</v>
      </c>
      <c r="C1169" s="2">
        <v>0.37569444444444444</v>
      </c>
      <c r="D1169" s="4">
        <v>0.10347222222222222</v>
      </c>
      <c r="E1169" s="6">
        <v>0.27916666666666667</v>
      </c>
      <c r="F1169" s="5">
        <f t="shared" si="107"/>
        <v>0.7430683918669132</v>
      </c>
      <c r="G1169" s="5">
        <v>0.83299999999999996</v>
      </c>
      <c r="H1169" s="4">
        <f>64.3/1440</f>
        <v>4.4652777777777777E-2</v>
      </c>
      <c r="I1169" s="5">
        <v>0.13300000000000001</v>
      </c>
      <c r="J1169" s="11" t="s">
        <v>1415</v>
      </c>
    </row>
    <row r="1170" spans="1:10" ht="13.15" customHeight="1" x14ac:dyDescent="0.25">
      <c r="A1170">
        <f t="shared" si="104"/>
        <v>1165</v>
      </c>
      <c r="B1170" t="s">
        <v>1490</v>
      </c>
      <c r="C1170" s="2">
        <v>0.37986111111111109</v>
      </c>
      <c r="D1170" s="4">
        <f t="shared" ref="D1170:D1201" si="108">C1170-E1170</f>
        <v>0.10069444444444442</v>
      </c>
      <c r="E1170" s="6">
        <v>0.27916666666666667</v>
      </c>
      <c r="F1170" s="5">
        <f t="shared" si="107"/>
        <v>0.73491773308957953</v>
      </c>
      <c r="G1170" s="5">
        <v>0.73299999999999998</v>
      </c>
      <c r="H1170" s="4">
        <f>49.7/1440</f>
        <v>3.4513888888888893E-2</v>
      </c>
      <c r="I1170" s="5">
        <v>9.0999999999999998E-2</v>
      </c>
      <c r="J1170" s="11" t="s">
        <v>1486</v>
      </c>
    </row>
    <row r="1171" spans="1:10" ht="13.15" customHeight="1" x14ac:dyDescent="0.25">
      <c r="A1171">
        <f t="shared" si="104"/>
        <v>1166</v>
      </c>
      <c r="B1171" t="s">
        <v>1408</v>
      </c>
      <c r="C1171" s="2">
        <v>0.43055555555555558</v>
      </c>
      <c r="D1171" s="4">
        <f t="shared" si="108"/>
        <v>0.15277777777777779</v>
      </c>
      <c r="E1171" s="6">
        <v>0.27777777777777779</v>
      </c>
      <c r="F1171" s="5">
        <f t="shared" si="107"/>
        <v>0.64516129032258063</v>
      </c>
      <c r="G1171" s="5">
        <v>0.85</v>
      </c>
      <c r="H1171" s="4">
        <f>67.1/1440</f>
        <v>4.659722222222222E-2</v>
      </c>
      <c r="I1171" s="5">
        <v>0.14299999999999999</v>
      </c>
      <c r="J1171" s="11" t="s">
        <v>1406</v>
      </c>
    </row>
    <row r="1172" spans="1:10" ht="13.15" customHeight="1" x14ac:dyDescent="0.25">
      <c r="A1172">
        <f t="shared" ref="A1172:A1235" si="109">A1171+1</f>
        <v>1167</v>
      </c>
      <c r="B1172" t="s">
        <v>1105</v>
      </c>
      <c r="C1172" s="2">
        <v>0.42152777777777778</v>
      </c>
      <c r="D1172" s="4">
        <f t="shared" si="108"/>
        <v>0.14444444444444443</v>
      </c>
      <c r="E1172" s="6">
        <v>0.27708333333333335</v>
      </c>
      <c r="F1172" s="5">
        <f t="shared" si="107"/>
        <v>0.6573311367380561</v>
      </c>
      <c r="G1172" s="5">
        <v>0.82299999999999995</v>
      </c>
      <c r="H1172" s="4">
        <f>59.8/1440</f>
        <v>4.1527777777777775E-2</v>
      </c>
      <c r="I1172" s="5">
        <v>0.123</v>
      </c>
      <c r="J1172" s="11" t="s">
        <v>1099</v>
      </c>
    </row>
    <row r="1173" spans="1:10" ht="13.15" customHeight="1" x14ac:dyDescent="0.25">
      <c r="A1173">
        <f t="shared" si="109"/>
        <v>1168</v>
      </c>
      <c r="B1173" t="s">
        <v>1721</v>
      </c>
      <c r="C1173" s="2">
        <v>0.38055555555555554</v>
      </c>
      <c r="D1173" s="4">
        <f t="shared" si="108"/>
        <v>0.10347222222222219</v>
      </c>
      <c r="E1173" s="6">
        <v>0.27708333333333335</v>
      </c>
      <c r="F1173" s="5">
        <f t="shared" si="107"/>
        <v>0.72810218978102192</v>
      </c>
      <c r="G1173" s="5">
        <v>0.80700000000000005</v>
      </c>
      <c r="H1173" s="4">
        <f>62.8/1440</f>
        <v>4.3611111111111107E-2</v>
      </c>
      <c r="I1173" s="5">
        <v>0.127</v>
      </c>
      <c r="J1173" s="11" t="s">
        <v>1706</v>
      </c>
    </row>
    <row r="1174" spans="1:10" ht="13.15" customHeight="1" x14ac:dyDescent="0.25">
      <c r="A1174">
        <f t="shared" si="109"/>
        <v>1169</v>
      </c>
      <c r="B1174" t="s">
        <v>1735</v>
      </c>
      <c r="C1174" s="2">
        <v>0.40208333333333335</v>
      </c>
      <c r="D1174" s="4">
        <f t="shared" si="108"/>
        <v>0.12569444444444444</v>
      </c>
      <c r="E1174" s="6">
        <v>0.27638888888888891</v>
      </c>
      <c r="F1174" s="5">
        <f t="shared" si="107"/>
        <v>0.68739205526770297</v>
      </c>
      <c r="G1174" s="5">
        <v>0.81899999999999995</v>
      </c>
      <c r="H1174" s="4">
        <f>61.6/1440</f>
        <v>4.2777777777777776E-2</v>
      </c>
      <c r="I1174" s="5">
        <v>0.127</v>
      </c>
      <c r="J1174" s="11" t="s">
        <v>1728</v>
      </c>
    </row>
    <row r="1175" spans="1:10" ht="13.15" customHeight="1" x14ac:dyDescent="0.25">
      <c r="A1175">
        <f t="shared" si="109"/>
        <v>1170</v>
      </c>
      <c r="B1175" t="s">
        <v>1109</v>
      </c>
      <c r="C1175" s="2">
        <v>0.43888888888888888</v>
      </c>
      <c r="D1175" s="4">
        <f t="shared" si="108"/>
        <v>0.16319444444444442</v>
      </c>
      <c r="E1175" s="6">
        <v>0.27569444444444446</v>
      </c>
      <c r="F1175" s="5">
        <f t="shared" si="107"/>
        <v>0.62816455696202533</v>
      </c>
      <c r="G1175" s="5">
        <v>0.82899999999999996</v>
      </c>
      <c r="H1175" s="4">
        <f>57.7/1440</f>
        <v>4.0069444444444449E-2</v>
      </c>
      <c r="I1175" s="5">
        <v>0.12</v>
      </c>
      <c r="J1175" s="11" t="s">
        <v>1100</v>
      </c>
    </row>
    <row r="1176" spans="1:10" ht="13.15" customHeight="1" x14ac:dyDescent="0.25">
      <c r="A1176">
        <f t="shared" si="109"/>
        <v>1171</v>
      </c>
      <c r="B1176" t="s">
        <v>1320</v>
      </c>
      <c r="C1176" s="2">
        <v>0.38541666666666669</v>
      </c>
      <c r="D1176" s="4">
        <f t="shared" si="108"/>
        <v>0.1111111111111111</v>
      </c>
      <c r="E1176" s="6">
        <v>0.27430555555555558</v>
      </c>
      <c r="F1176" s="5">
        <f t="shared" si="107"/>
        <v>0.71171171171171177</v>
      </c>
      <c r="G1176" s="5">
        <v>0.77500000000000002</v>
      </c>
      <c r="H1176" s="4">
        <f>56.6/1440</f>
        <v>3.9305555555555559E-2</v>
      </c>
      <c r="I1176" s="5">
        <v>0.111</v>
      </c>
      <c r="J1176" s="11" t="s">
        <v>1293</v>
      </c>
    </row>
    <row r="1177" spans="1:10" ht="13.15" customHeight="1" x14ac:dyDescent="0.25">
      <c r="A1177">
        <f t="shared" si="109"/>
        <v>1172</v>
      </c>
      <c r="B1177" t="s">
        <v>1482</v>
      </c>
      <c r="C1177" s="2">
        <v>0.37847222222222221</v>
      </c>
      <c r="D1177" s="4">
        <f t="shared" si="108"/>
        <v>0.10416666666666663</v>
      </c>
      <c r="E1177" s="6">
        <v>0.27430555555555558</v>
      </c>
      <c r="F1177" s="5">
        <f t="shared" si="107"/>
        <v>0.72477064220183496</v>
      </c>
      <c r="G1177" s="5">
        <v>0.88100000000000001</v>
      </c>
      <c r="H1177" s="4">
        <f>80/1440</f>
        <v>5.5555555555555552E-2</v>
      </c>
      <c r="I1177" s="5">
        <v>0.17799999999999999</v>
      </c>
      <c r="J1177" s="11" t="s">
        <v>1480</v>
      </c>
    </row>
    <row r="1178" spans="1:10" ht="13.15" customHeight="1" x14ac:dyDescent="0.25">
      <c r="A1178">
        <f t="shared" si="109"/>
        <v>1173</v>
      </c>
      <c r="B1178" t="s">
        <v>1549</v>
      </c>
      <c r="C1178" s="2">
        <v>0.37638888888888888</v>
      </c>
      <c r="D1178" s="4">
        <f t="shared" si="108"/>
        <v>0.1020833333333333</v>
      </c>
      <c r="E1178" s="6">
        <v>0.27430555555555558</v>
      </c>
      <c r="F1178" s="5">
        <f t="shared" si="107"/>
        <v>0.72878228782287835</v>
      </c>
      <c r="G1178" s="5">
        <v>0.80900000000000005</v>
      </c>
      <c r="H1178" s="4">
        <f>66.8/1440</f>
        <v>4.6388888888888889E-2</v>
      </c>
      <c r="I1178" s="5">
        <v>0.13700000000000001</v>
      </c>
      <c r="J1178" s="11" t="s">
        <v>1545</v>
      </c>
    </row>
    <row r="1179" spans="1:10" ht="13.15" customHeight="1" x14ac:dyDescent="0.25">
      <c r="A1179">
        <f t="shared" si="109"/>
        <v>1174</v>
      </c>
      <c r="B1179" t="s">
        <v>248</v>
      </c>
      <c r="C1179" s="2">
        <v>0.39097222222222222</v>
      </c>
      <c r="D1179" s="4">
        <f t="shared" si="108"/>
        <v>0.1166666666666667</v>
      </c>
      <c r="E1179" s="6">
        <v>0.27430555555555552</v>
      </c>
      <c r="F1179" s="5">
        <f t="shared" si="107"/>
        <v>0.70159857904085254</v>
      </c>
      <c r="G1179" s="5">
        <v>0.67800000000000005</v>
      </c>
      <c r="H1179" s="4">
        <f>64.9/1440</f>
        <v>4.5069444444444447E-2</v>
      </c>
      <c r="I1179" s="5">
        <v>0.111</v>
      </c>
      <c r="J1179" s="11" t="s">
        <v>249</v>
      </c>
    </row>
    <row r="1180" spans="1:10" ht="13.15" customHeight="1" x14ac:dyDescent="0.25">
      <c r="A1180">
        <f t="shared" si="109"/>
        <v>1175</v>
      </c>
      <c r="B1180" t="s">
        <v>1561</v>
      </c>
      <c r="C1180" s="2">
        <v>0.37083333333333335</v>
      </c>
      <c r="D1180" s="4">
        <f t="shared" si="108"/>
        <v>9.722222222222221E-2</v>
      </c>
      <c r="E1180" s="6">
        <v>0.27361111111111114</v>
      </c>
      <c r="F1180" s="5">
        <f t="shared" si="107"/>
        <v>0.73782771535580527</v>
      </c>
      <c r="G1180" s="5">
        <v>0.76</v>
      </c>
      <c r="H1180" s="4">
        <f>53.3/1440</f>
        <v>3.7013888888888888E-2</v>
      </c>
      <c r="I1180" s="5">
        <v>0.10299999999999999</v>
      </c>
      <c r="J1180" s="11" t="s">
        <v>1559</v>
      </c>
    </row>
    <row r="1181" spans="1:10" ht="13.15" customHeight="1" x14ac:dyDescent="0.25">
      <c r="A1181">
        <f t="shared" si="109"/>
        <v>1176</v>
      </c>
      <c r="B1181" t="s">
        <v>719</v>
      </c>
      <c r="C1181" s="2">
        <v>0.43541666666666667</v>
      </c>
      <c r="D1181" s="4">
        <f t="shared" si="108"/>
        <v>0.16250000000000003</v>
      </c>
      <c r="E1181" s="6">
        <v>0.27291666666666664</v>
      </c>
      <c r="F1181" s="5">
        <f t="shared" si="107"/>
        <v>0.62679425837320568</v>
      </c>
      <c r="G1181" s="5">
        <v>0.8</v>
      </c>
      <c r="H1181" s="4">
        <f>65/1440</f>
        <v>4.5138888888888888E-2</v>
      </c>
      <c r="I1181" s="5">
        <v>0.13200000000000001</v>
      </c>
      <c r="J1181" s="11" t="s">
        <v>714</v>
      </c>
    </row>
    <row r="1182" spans="1:10" ht="13.15" customHeight="1" x14ac:dyDescent="0.25">
      <c r="A1182">
        <f t="shared" si="109"/>
        <v>1177</v>
      </c>
      <c r="B1182" t="s">
        <v>1736</v>
      </c>
      <c r="C1182" s="2">
        <v>0.39097222222222222</v>
      </c>
      <c r="D1182" s="4">
        <f t="shared" si="108"/>
        <v>0.11805555555555558</v>
      </c>
      <c r="E1182" s="6">
        <v>0.27291666666666664</v>
      </c>
      <c r="F1182" s="5">
        <f t="shared" si="107"/>
        <v>0.69804618117229122</v>
      </c>
      <c r="G1182" s="5">
        <v>0.81599999999999995</v>
      </c>
      <c r="H1182" s="4">
        <f>55.8/1440</f>
        <v>3.875E-2</v>
      </c>
      <c r="I1182" s="5">
        <v>0.11600000000000001</v>
      </c>
      <c r="J1182" s="11" t="s">
        <v>1728</v>
      </c>
    </row>
    <row r="1183" spans="1:10" ht="13.15" customHeight="1" x14ac:dyDescent="0.25">
      <c r="A1183">
        <f t="shared" si="109"/>
        <v>1178</v>
      </c>
      <c r="B1183" t="s">
        <v>23</v>
      </c>
      <c r="C1183" s="2">
        <v>0.41111111111111115</v>
      </c>
      <c r="D1183" s="4">
        <f t="shared" si="108"/>
        <v>0.13888888888888895</v>
      </c>
      <c r="E1183" s="6">
        <v>0.2722222222222222</v>
      </c>
      <c r="F1183" s="5">
        <f t="shared" si="107"/>
        <v>0.66216216216216206</v>
      </c>
      <c r="G1183" s="5">
        <v>0.67800000000000005</v>
      </c>
      <c r="H1183" s="4">
        <f>72.2/1440</f>
        <v>5.0138888888888893E-2</v>
      </c>
      <c r="I1183" s="5">
        <v>0.125</v>
      </c>
      <c r="J1183" s="11" t="s">
        <v>83</v>
      </c>
    </row>
    <row r="1184" spans="1:10" ht="13.15" customHeight="1" x14ac:dyDescent="0.25">
      <c r="A1184">
        <f t="shared" si="109"/>
        <v>1179</v>
      </c>
      <c r="B1184" t="s">
        <v>465</v>
      </c>
      <c r="C1184" s="2">
        <v>0.4152777777777778</v>
      </c>
      <c r="D1184" s="4">
        <f t="shared" si="108"/>
        <v>0.14375000000000004</v>
      </c>
      <c r="E1184" s="6">
        <v>0.27152777777777776</v>
      </c>
      <c r="F1184" s="5">
        <f t="shared" si="107"/>
        <v>0.65384615384615374</v>
      </c>
      <c r="G1184" s="5">
        <v>0.89400000000000002</v>
      </c>
      <c r="H1184" s="4">
        <f>65.2/1440</f>
        <v>4.5277777777777778E-2</v>
      </c>
      <c r="I1184" s="5">
        <v>0.14899999999999999</v>
      </c>
      <c r="J1184" s="11" t="s">
        <v>475</v>
      </c>
    </row>
    <row r="1185" spans="1:10" ht="13.15" customHeight="1" x14ac:dyDescent="0.25">
      <c r="A1185">
        <f t="shared" si="109"/>
        <v>1180</v>
      </c>
      <c r="B1185" t="s">
        <v>498</v>
      </c>
      <c r="C1185" s="2">
        <v>0.3979166666666667</v>
      </c>
      <c r="D1185" s="4">
        <f t="shared" si="108"/>
        <v>0.12638888888888894</v>
      </c>
      <c r="E1185" s="6">
        <v>0.27152777777777776</v>
      </c>
      <c r="F1185" s="5">
        <f t="shared" si="107"/>
        <v>0.6823734729493891</v>
      </c>
      <c r="G1185" s="5">
        <v>0.68100000000000005</v>
      </c>
      <c r="H1185" s="4">
        <f>52.4/1440</f>
        <v>3.6388888888888887E-2</v>
      </c>
      <c r="I1185" s="5">
        <v>9.0999999999999998E-2</v>
      </c>
      <c r="J1185" s="11" t="s">
        <v>502</v>
      </c>
    </row>
    <row r="1186" spans="1:10" ht="13.15" customHeight="1" x14ac:dyDescent="0.25">
      <c r="A1186">
        <f t="shared" si="109"/>
        <v>1181</v>
      </c>
      <c r="B1186" t="s">
        <v>690</v>
      </c>
      <c r="C1186" s="2">
        <v>0.38958333333333334</v>
      </c>
      <c r="D1186" s="4">
        <f t="shared" si="108"/>
        <v>0.11805555555555558</v>
      </c>
      <c r="E1186" s="6">
        <v>0.27152777777777776</v>
      </c>
      <c r="F1186" s="5">
        <f t="shared" si="107"/>
        <v>0.69696969696969691</v>
      </c>
      <c r="G1186" s="5">
        <v>0.81100000000000005</v>
      </c>
      <c r="H1186" s="4">
        <f>59.5/1440</f>
        <v>4.1319444444444443E-2</v>
      </c>
      <c r="I1186" s="5">
        <v>0.123</v>
      </c>
      <c r="J1186" s="11" t="s">
        <v>693</v>
      </c>
    </row>
    <row r="1187" spans="1:10" ht="13.15" customHeight="1" x14ac:dyDescent="0.25">
      <c r="A1187">
        <f t="shared" si="109"/>
        <v>1182</v>
      </c>
      <c r="B1187" t="s">
        <v>1344</v>
      </c>
      <c r="C1187" s="2">
        <v>0.37222222222222223</v>
      </c>
      <c r="D1187" s="4">
        <f t="shared" si="108"/>
        <v>0.10069444444444448</v>
      </c>
      <c r="E1187" s="6">
        <v>0.27152777777777776</v>
      </c>
      <c r="F1187" s="5">
        <f t="shared" si="107"/>
        <v>0.72947761194029848</v>
      </c>
      <c r="G1187" s="5">
        <v>0.748</v>
      </c>
      <c r="H1187" s="4">
        <f>50.7/1440</f>
        <v>3.5208333333333335E-2</v>
      </c>
      <c r="I1187" s="5">
        <v>9.7000000000000003E-2</v>
      </c>
      <c r="J1187" s="11" t="s">
        <v>1340</v>
      </c>
    </row>
    <row r="1188" spans="1:10" ht="13.15" customHeight="1" x14ac:dyDescent="0.25">
      <c r="A1188">
        <f t="shared" si="109"/>
        <v>1183</v>
      </c>
      <c r="B1188" t="s">
        <v>916</v>
      </c>
      <c r="C1188" s="2">
        <v>0.39166666666666666</v>
      </c>
      <c r="D1188" s="4">
        <f t="shared" si="108"/>
        <v>0.12083333333333335</v>
      </c>
      <c r="E1188" s="6">
        <v>0.27083333333333331</v>
      </c>
      <c r="F1188" s="5">
        <f t="shared" si="107"/>
        <v>0.6914893617021276</v>
      </c>
      <c r="G1188" s="5">
        <v>0.82699999999999996</v>
      </c>
      <c r="H1188" s="4">
        <f>53.7/1440</f>
        <v>3.7291666666666667E-2</v>
      </c>
      <c r="I1188" s="5">
        <v>0.114</v>
      </c>
      <c r="J1188" s="11" t="s">
        <v>920</v>
      </c>
    </row>
    <row r="1189" spans="1:10" ht="13.15" customHeight="1" x14ac:dyDescent="0.25">
      <c r="A1189">
        <f t="shared" si="109"/>
        <v>1184</v>
      </c>
      <c r="B1189" t="s">
        <v>1241</v>
      </c>
      <c r="C1189" s="2">
        <v>0.375</v>
      </c>
      <c r="D1189" s="4">
        <f t="shared" si="108"/>
        <v>0.10416666666666669</v>
      </c>
      <c r="E1189" s="6">
        <v>0.27083333333333331</v>
      </c>
      <c r="F1189" s="5">
        <f t="shared" si="107"/>
        <v>0.72222222222222221</v>
      </c>
      <c r="G1189" s="5">
        <v>0.79900000000000004</v>
      </c>
      <c r="H1189" s="4">
        <f>54.3/1440</f>
        <v>3.770833333333333E-2</v>
      </c>
      <c r="I1189" s="5">
        <v>0.111</v>
      </c>
      <c r="J1189" s="11" t="s">
        <v>1237</v>
      </c>
    </row>
    <row r="1190" spans="1:10" ht="13.15" customHeight="1" x14ac:dyDescent="0.25">
      <c r="A1190">
        <f t="shared" si="109"/>
        <v>1185</v>
      </c>
      <c r="B1190" t="s">
        <v>1387</v>
      </c>
      <c r="C1190" s="2">
        <v>0.37361111111111112</v>
      </c>
      <c r="D1190" s="4">
        <f t="shared" si="108"/>
        <v>0.1027777777777778</v>
      </c>
      <c r="E1190" s="6">
        <v>0.27083333333333331</v>
      </c>
      <c r="F1190" s="5">
        <f t="shared" si="107"/>
        <v>0.72490706319702591</v>
      </c>
      <c r="G1190" s="5">
        <v>0.747</v>
      </c>
      <c r="H1190" s="4">
        <f>54.7/1440</f>
        <v>3.7986111111111116E-2</v>
      </c>
      <c r="I1190" s="5">
        <v>0.105</v>
      </c>
      <c r="J1190" s="11" t="s">
        <v>1367</v>
      </c>
    </row>
    <row r="1191" spans="1:10" ht="13.15" customHeight="1" x14ac:dyDescent="0.25">
      <c r="A1191">
        <f t="shared" si="109"/>
        <v>1186</v>
      </c>
      <c r="B1191" t="s">
        <v>469</v>
      </c>
      <c r="C1191" s="2">
        <v>0.42569444444444443</v>
      </c>
      <c r="D1191" s="4">
        <f t="shared" si="108"/>
        <v>0.15555555555555556</v>
      </c>
      <c r="E1191" s="6">
        <v>0.27013888888888887</v>
      </c>
      <c r="F1191" s="5">
        <f t="shared" si="107"/>
        <v>0.63458401305057099</v>
      </c>
      <c r="G1191" s="5">
        <v>0.88700000000000001</v>
      </c>
      <c r="H1191" s="4">
        <f>72.5/1440</f>
        <v>5.0347222222222224E-2</v>
      </c>
      <c r="I1191" s="5">
        <v>0.16500000000000001</v>
      </c>
      <c r="J1191" s="11" t="s">
        <v>475</v>
      </c>
    </row>
    <row r="1192" spans="1:10" ht="13.15" customHeight="1" x14ac:dyDescent="0.25">
      <c r="A1192">
        <f t="shared" si="109"/>
        <v>1187</v>
      </c>
      <c r="B1192" t="s">
        <v>1190</v>
      </c>
      <c r="C1192" s="2">
        <v>0.3611111111111111</v>
      </c>
      <c r="D1192" s="4">
        <f t="shared" si="108"/>
        <v>9.0972222222222232E-2</v>
      </c>
      <c r="E1192" s="6">
        <v>0.27013888888888887</v>
      </c>
      <c r="F1192" s="5">
        <f t="shared" si="107"/>
        <v>0.74807692307692308</v>
      </c>
      <c r="G1192" s="5">
        <v>0.84499999999999997</v>
      </c>
      <c r="H1192" s="4">
        <f>80.9/1440</f>
        <v>5.618055555555556E-2</v>
      </c>
      <c r="I1192" s="5">
        <v>0.17499999999999999</v>
      </c>
      <c r="J1192" s="11" t="s">
        <v>1179</v>
      </c>
    </row>
    <row r="1193" spans="1:10" ht="13.15" customHeight="1" x14ac:dyDescent="0.25">
      <c r="A1193">
        <f t="shared" si="109"/>
        <v>1188</v>
      </c>
      <c r="B1193" t="s">
        <v>1317</v>
      </c>
      <c r="C1193" s="2">
        <v>0.37430555555555556</v>
      </c>
      <c r="D1193" s="4">
        <f t="shared" si="108"/>
        <v>0.10416666666666669</v>
      </c>
      <c r="E1193" s="6">
        <v>0.27013888888888887</v>
      </c>
      <c r="F1193" s="5">
        <f t="shared" si="107"/>
        <v>0.72170686456400734</v>
      </c>
      <c r="G1193" s="5">
        <v>0.86399999999999999</v>
      </c>
      <c r="H1193" s="4">
        <f>63.2/1440</f>
        <v>4.3888888888888894E-2</v>
      </c>
      <c r="I1193" s="5">
        <v>0.14000000000000001</v>
      </c>
      <c r="J1193" s="11" t="s">
        <v>1292</v>
      </c>
    </row>
    <row r="1194" spans="1:10" ht="13.15" customHeight="1" x14ac:dyDescent="0.25">
      <c r="A1194">
        <f t="shared" si="109"/>
        <v>1189</v>
      </c>
      <c r="B1194" t="s">
        <v>1321</v>
      </c>
      <c r="C1194" s="2">
        <v>0.40486111111111112</v>
      </c>
      <c r="D1194" s="4">
        <f t="shared" si="108"/>
        <v>0.13472222222222224</v>
      </c>
      <c r="E1194" s="6">
        <v>0.27013888888888887</v>
      </c>
      <c r="F1194" s="5">
        <f t="shared" si="107"/>
        <v>0.66723842195540306</v>
      </c>
      <c r="G1194" s="5">
        <v>0.77700000000000002</v>
      </c>
      <c r="H1194" s="4">
        <f>58.8/1440</f>
        <v>4.0833333333333333E-2</v>
      </c>
      <c r="I1194" s="5">
        <v>0.11700000000000001</v>
      </c>
      <c r="J1194" s="11" t="s">
        <v>1293</v>
      </c>
    </row>
    <row r="1195" spans="1:10" ht="13.15" customHeight="1" x14ac:dyDescent="0.25">
      <c r="A1195">
        <f t="shared" si="109"/>
        <v>1190</v>
      </c>
      <c r="B1195" t="s">
        <v>1467</v>
      </c>
      <c r="C1195" s="2">
        <v>0.38194444444444442</v>
      </c>
      <c r="D1195" s="4">
        <f t="shared" si="108"/>
        <v>0.11180555555555555</v>
      </c>
      <c r="E1195" s="6">
        <v>0.27013888888888887</v>
      </c>
      <c r="F1195" s="5">
        <f t="shared" si="107"/>
        <v>0.70727272727272728</v>
      </c>
      <c r="G1195" s="5">
        <v>0.83899999999999997</v>
      </c>
      <c r="H1195" s="4">
        <f>71.7/1440</f>
        <v>4.9791666666666672E-2</v>
      </c>
      <c r="I1195" s="5">
        <v>0.154</v>
      </c>
      <c r="J1195" s="11" t="s">
        <v>1463</v>
      </c>
    </row>
    <row r="1196" spans="1:10" ht="13.15" customHeight="1" x14ac:dyDescent="0.25">
      <c r="A1196">
        <f t="shared" si="109"/>
        <v>1191</v>
      </c>
      <c r="B1196" t="s">
        <v>1197</v>
      </c>
      <c r="C1196" s="2">
        <v>0.3611111111111111</v>
      </c>
      <c r="D1196" s="4">
        <f t="shared" si="108"/>
        <v>9.1666666666666674E-2</v>
      </c>
      <c r="E1196" s="6">
        <v>0.26944444444444443</v>
      </c>
      <c r="F1196" s="5">
        <f t="shared" si="107"/>
        <v>0.74615384615384617</v>
      </c>
      <c r="G1196" s="5">
        <v>0.8</v>
      </c>
      <c r="H1196" s="4">
        <f>49.8/1440</f>
        <v>3.4583333333333334E-2</v>
      </c>
      <c r="I1196" s="5">
        <v>0.10299999999999999</v>
      </c>
      <c r="J1196" s="11" t="s">
        <v>1182</v>
      </c>
    </row>
    <row r="1197" spans="1:10" ht="13.15" customHeight="1" x14ac:dyDescent="0.25">
      <c r="A1197">
        <f t="shared" si="109"/>
        <v>1192</v>
      </c>
      <c r="B1197" t="s">
        <v>1483</v>
      </c>
      <c r="C1197" s="2">
        <v>0.39930555555555558</v>
      </c>
      <c r="D1197" s="4">
        <f t="shared" si="108"/>
        <v>0.12986111111111115</v>
      </c>
      <c r="E1197" s="6">
        <v>0.26944444444444443</v>
      </c>
      <c r="F1197" s="5">
        <f t="shared" si="107"/>
        <v>0.6747826086956521</v>
      </c>
      <c r="G1197" s="5">
        <v>0.76500000000000001</v>
      </c>
      <c r="H1197" s="4">
        <f>71/1440</f>
        <v>4.9305555555555554E-2</v>
      </c>
      <c r="I1197" s="5">
        <v>0.14000000000000001</v>
      </c>
      <c r="J1197" s="11" t="s">
        <v>1480</v>
      </c>
    </row>
    <row r="1198" spans="1:10" ht="13.15" customHeight="1" x14ac:dyDescent="0.25">
      <c r="A1198">
        <f t="shared" si="109"/>
        <v>1193</v>
      </c>
      <c r="B1198" t="s">
        <v>335</v>
      </c>
      <c r="C1198" s="2">
        <v>0.40902777777777777</v>
      </c>
      <c r="D1198" s="4">
        <f t="shared" si="108"/>
        <v>0.14027777777777778</v>
      </c>
      <c r="E1198" s="6">
        <v>0.26874999999999999</v>
      </c>
      <c r="F1198" s="5">
        <f t="shared" si="107"/>
        <v>0.65704584040747027</v>
      </c>
      <c r="G1198" s="5">
        <v>0.71499999999999997</v>
      </c>
      <c r="H1198" s="4">
        <f>48.6/1440</f>
        <v>3.3750000000000002E-2</v>
      </c>
      <c r="I1198" s="5">
        <v>0.09</v>
      </c>
      <c r="J1198" s="11" t="s">
        <v>336</v>
      </c>
    </row>
    <row r="1199" spans="1:10" ht="13.15" customHeight="1" x14ac:dyDescent="0.25">
      <c r="A1199">
        <f t="shared" si="109"/>
        <v>1194</v>
      </c>
      <c r="B1199" t="s">
        <v>790</v>
      </c>
      <c r="C1199" s="2">
        <v>0.39513888888888887</v>
      </c>
      <c r="D1199" s="4">
        <f t="shared" si="108"/>
        <v>0.12638888888888888</v>
      </c>
      <c r="E1199" s="6">
        <v>0.26874999999999999</v>
      </c>
      <c r="F1199" s="5">
        <f t="shared" si="107"/>
        <v>0.68014059753954303</v>
      </c>
      <c r="G1199" s="5">
        <v>0.73799999999999999</v>
      </c>
      <c r="H1199" s="4">
        <f>56.5/1440</f>
        <v>3.923611111111111E-2</v>
      </c>
      <c r="I1199" s="5">
        <v>0.108</v>
      </c>
      <c r="J1199" s="11" t="s">
        <v>794</v>
      </c>
    </row>
    <row r="1200" spans="1:10" ht="13.15" customHeight="1" x14ac:dyDescent="0.25">
      <c r="A1200">
        <f t="shared" si="109"/>
        <v>1195</v>
      </c>
      <c r="B1200" t="s">
        <v>1155</v>
      </c>
      <c r="C1200" s="2">
        <v>0.46041666666666664</v>
      </c>
      <c r="D1200" s="4">
        <f t="shared" si="108"/>
        <v>0.19166666666666665</v>
      </c>
      <c r="E1200" s="6">
        <v>0.26874999999999999</v>
      </c>
      <c r="F1200" s="5">
        <f t="shared" si="107"/>
        <v>0.58371040723981904</v>
      </c>
      <c r="G1200" s="5">
        <v>0.83299999999999996</v>
      </c>
      <c r="H1200" s="4">
        <f>61.2/1440</f>
        <v>4.2500000000000003E-2</v>
      </c>
      <c r="I1200" s="5">
        <v>0.13200000000000001</v>
      </c>
      <c r="J1200" s="11" t="s">
        <v>1147</v>
      </c>
    </row>
    <row r="1201" spans="1:10" ht="13.15" customHeight="1" x14ac:dyDescent="0.25">
      <c r="A1201">
        <f t="shared" si="109"/>
        <v>1196</v>
      </c>
      <c r="B1201" t="s">
        <v>1722</v>
      </c>
      <c r="C1201" s="2">
        <v>0.39652777777777776</v>
      </c>
      <c r="D1201" s="4">
        <f t="shared" si="108"/>
        <v>0.12777777777777777</v>
      </c>
      <c r="E1201" s="6">
        <v>0.26874999999999999</v>
      </c>
      <c r="F1201" s="5">
        <f t="shared" si="107"/>
        <v>0.67775831873905434</v>
      </c>
      <c r="G1201" s="5">
        <v>0.80100000000000005</v>
      </c>
      <c r="H1201" s="4">
        <f>59.4/1440</f>
        <v>4.1250000000000002E-2</v>
      </c>
      <c r="I1201" s="5">
        <v>0.123</v>
      </c>
      <c r="J1201" s="11" t="s">
        <v>1706</v>
      </c>
    </row>
    <row r="1202" spans="1:10" ht="13.15" customHeight="1" x14ac:dyDescent="0.25">
      <c r="A1202">
        <f t="shared" si="109"/>
        <v>1197</v>
      </c>
      <c r="B1202" t="s">
        <v>1798</v>
      </c>
      <c r="C1202" s="2">
        <v>0.39374999999999999</v>
      </c>
      <c r="D1202" s="4">
        <f t="shared" ref="D1202:D1228" si="110">C1202-E1202</f>
        <v>0.125</v>
      </c>
      <c r="E1202" s="6">
        <v>0.26874999999999999</v>
      </c>
      <c r="F1202" s="5">
        <f t="shared" si="107"/>
        <v>0.68253968253968256</v>
      </c>
      <c r="G1202" s="5">
        <v>0.84799999999999998</v>
      </c>
      <c r="H1202" s="4">
        <f>61/1440</f>
        <v>4.2361111111111113E-2</v>
      </c>
      <c r="I1202" s="5">
        <v>0.13400000000000001</v>
      </c>
      <c r="J1202" s="11" t="s">
        <v>1811</v>
      </c>
    </row>
    <row r="1203" spans="1:10" ht="13.15" customHeight="1" x14ac:dyDescent="0.25">
      <c r="A1203">
        <f t="shared" si="109"/>
        <v>1198</v>
      </c>
      <c r="B1203" t="s">
        <v>751</v>
      </c>
      <c r="C1203" s="2">
        <v>0.40833333333333333</v>
      </c>
      <c r="D1203" s="4">
        <f t="shared" si="110"/>
        <v>0.14027777777777778</v>
      </c>
      <c r="E1203" s="6">
        <v>0.26805555555555555</v>
      </c>
      <c r="F1203" s="5">
        <f t="shared" si="107"/>
        <v>0.65646258503401356</v>
      </c>
      <c r="G1203" s="5">
        <v>0.871</v>
      </c>
      <c r="H1203" s="4">
        <f>81.6/1440</f>
        <v>5.6666666666666664E-2</v>
      </c>
      <c r="I1203" s="5">
        <v>0.184</v>
      </c>
      <c r="J1203" s="11" t="s">
        <v>758</v>
      </c>
    </row>
    <row r="1204" spans="1:10" ht="13.15" customHeight="1" x14ac:dyDescent="0.25">
      <c r="A1204">
        <f t="shared" si="109"/>
        <v>1199</v>
      </c>
      <c r="B1204" t="s">
        <v>1484</v>
      </c>
      <c r="C1204" s="2">
        <v>0.39166666666666666</v>
      </c>
      <c r="D1204" s="4">
        <f t="shared" si="110"/>
        <v>0.12361111111111112</v>
      </c>
      <c r="E1204" s="6">
        <v>0.26805555555555555</v>
      </c>
      <c r="F1204" s="5">
        <f t="shared" si="107"/>
        <v>0.68439716312056731</v>
      </c>
      <c r="G1204" s="5">
        <v>0.68400000000000005</v>
      </c>
      <c r="H1204" s="4">
        <f>56.2/1440</f>
        <v>3.9027777777777779E-2</v>
      </c>
      <c r="I1204" s="5">
        <v>9.9000000000000005E-2</v>
      </c>
      <c r="J1204" s="11" t="s">
        <v>1480</v>
      </c>
    </row>
    <row r="1205" spans="1:10" ht="13.15" customHeight="1" x14ac:dyDescent="0.25">
      <c r="A1205">
        <f t="shared" si="109"/>
        <v>1200</v>
      </c>
      <c r="B1205" t="s">
        <v>567</v>
      </c>
      <c r="C1205" s="2">
        <v>0.39999999999999997</v>
      </c>
      <c r="D1205" s="4">
        <f t="shared" si="110"/>
        <v>0.13263888888888886</v>
      </c>
      <c r="E1205" s="6">
        <v>0.2673611111111111</v>
      </c>
      <c r="F1205" s="5">
        <f t="shared" si="107"/>
        <v>0.66840277777777779</v>
      </c>
      <c r="G1205" s="5">
        <v>0.78</v>
      </c>
      <c r="H1205" s="4">
        <f>66.8/1440</f>
        <v>4.6388888888888889E-2</v>
      </c>
      <c r="I1205" s="5">
        <v>0.13500000000000001</v>
      </c>
      <c r="J1205" s="11" t="s">
        <v>574</v>
      </c>
    </row>
    <row r="1206" spans="1:10" ht="13.15" customHeight="1" x14ac:dyDescent="0.25">
      <c r="A1206">
        <f t="shared" si="109"/>
        <v>1201</v>
      </c>
      <c r="B1206" t="s">
        <v>918</v>
      </c>
      <c r="C1206" s="2">
        <v>0.37083333333333335</v>
      </c>
      <c r="D1206" s="4">
        <f t="shared" si="110"/>
        <v>0.10347222222222224</v>
      </c>
      <c r="E1206" s="6">
        <v>0.2673611111111111</v>
      </c>
      <c r="F1206" s="5">
        <f t="shared" si="107"/>
        <v>0.72097378277153557</v>
      </c>
      <c r="G1206" s="5">
        <v>0.84399999999999997</v>
      </c>
      <c r="H1206" s="4">
        <f>61.4/1440</f>
        <v>4.2638888888888886E-2</v>
      </c>
      <c r="I1206" s="5">
        <v>0.13400000000000001</v>
      </c>
      <c r="J1206" s="11" t="s">
        <v>920</v>
      </c>
    </row>
    <row r="1207" spans="1:10" ht="13.15" customHeight="1" x14ac:dyDescent="0.25">
      <c r="A1207">
        <f t="shared" si="109"/>
        <v>1202</v>
      </c>
      <c r="B1207" t="s">
        <v>1315</v>
      </c>
      <c r="C1207" s="2">
        <v>0.3840277777777778</v>
      </c>
      <c r="D1207" s="4">
        <f t="shared" si="110"/>
        <v>0.1166666666666667</v>
      </c>
      <c r="E1207" s="6">
        <v>0.2673611111111111</v>
      </c>
      <c r="F1207" s="5">
        <f t="shared" si="107"/>
        <v>0.69620253164556956</v>
      </c>
      <c r="G1207" s="5">
        <v>0.78</v>
      </c>
      <c r="H1207" s="4">
        <f>57.3/1440</f>
        <v>3.9791666666666663E-2</v>
      </c>
      <c r="I1207" s="5">
        <v>0.11600000000000001</v>
      </c>
      <c r="J1207" s="11" t="s">
        <v>1292</v>
      </c>
    </row>
    <row r="1208" spans="1:10" ht="13.15" customHeight="1" x14ac:dyDescent="0.25">
      <c r="A1208">
        <f t="shared" si="109"/>
        <v>1203</v>
      </c>
      <c r="B1208" t="s">
        <v>615</v>
      </c>
      <c r="C1208" s="2">
        <v>0.40138888888888885</v>
      </c>
      <c r="D1208" s="4">
        <f t="shared" si="110"/>
        <v>0.13472222222222219</v>
      </c>
      <c r="E1208" s="6">
        <v>0.26666666666666666</v>
      </c>
      <c r="F1208" s="5">
        <f t="shared" si="107"/>
        <v>0.66435986159169558</v>
      </c>
      <c r="G1208" s="5">
        <v>0.77500000000000002</v>
      </c>
      <c r="H1208" s="4">
        <f>60.6/1440</f>
        <v>4.2083333333333334E-2</v>
      </c>
      <c r="I1208" s="5">
        <v>0.122</v>
      </c>
      <c r="J1208" s="11" t="s">
        <v>618</v>
      </c>
    </row>
    <row r="1209" spans="1:10" ht="13.15" customHeight="1" x14ac:dyDescent="0.25">
      <c r="A1209">
        <f t="shared" si="109"/>
        <v>1204</v>
      </c>
      <c r="B1209" t="s">
        <v>993</v>
      </c>
      <c r="C1209" s="2">
        <v>0.37361111111111112</v>
      </c>
      <c r="D1209" s="4">
        <f t="shared" si="110"/>
        <v>0.10694444444444445</v>
      </c>
      <c r="E1209" s="6">
        <v>0.26666666666666666</v>
      </c>
      <c r="F1209" s="5">
        <f t="shared" si="107"/>
        <v>0.71375464684014867</v>
      </c>
      <c r="G1209" s="5">
        <v>0.77300000000000002</v>
      </c>
      <c r="H1209" s="4">
        <f>60.7/1440</f>
        <v>4.2152777777777782E-2</v>
      </c>
      <c r="I1209" s="5">
        <v>0.122</v>
      </c>
      <c r="J1209" s="11" t="s">
        <v>990</v>
      </c>
    </row>
    <row r="1210" spans="1:10" ht="13.15" customHeight="1" x14ac:dyDescent="0.25">
      <c r="A1210">
        <f t="shared" si="109"/>
        <v>1205</v>
      </c>
      <c r="B1210" t="s">
        <v>509</v>
      </c>
      <c r="C1210" s="2">
        <v>0.33680555555555558</v>
      </c>
      <c r="D1210" s="4">
        <f t="shared" si="110"/>
        <v>7.0833333333333359E-2</v>
      </c>
      <c r="E1210" s="6">
        <v>0.26597222222222222</v>
      </c>
      <c r="F1210" s="5">
        <f t="shared" si="107"/>
        <v>0.78969072164948451</v>
      </c>
      <c r="G1210" s="5">
        <v>0.73799999999999999</v>
      </c>
      <c r="H1210" s="4">
        <f>67/1440</f>
        <v>4.6527777777777779E-2</v>
      </c>
      <c r="I1210" s="5">
        <v>0.129</v>
      </c>
      <c r="J1210" s="11" t="s">
        <v>511</v>
      </c>
    </row>
    <row r="1211" spans="1:10" ht="13.15" customHeight="1" x14ac:dyDescent="0.25">
      <c r="A1211">
        <f t="shared" si="109"/>
        <v>1206</v>
      </c>
      <c r="B1211" t="s">
        <v>787</v>
      </c>
      <c r="C1211" s="2">
        <v>0.38263888888888886</v>
      </c>
      <c r="D1211" s="4">
        <f t="shared" si="110"/>
        <v>0.11666666666666664</v>
      </c>
      <c r="E1211" s="6">
        <v>0.26597222222222222</v>
      </c>
      <c r="F1211" s="5">
        <f t="shared" si="107"/>
        <v>0.69509981851179681</v>
      </c>
      <c r="G1211" s="5">
        <v>0.79300000000000004</v>
      </c>
      <c r="H1211" s="4">
        <f>63.1/1440</f>
        <v>4.3819444444444446E-2</v>
      </c>
      <c r="I1211" s="5">
        <v>0.13100000000000001</v>
      </c>
      <c r="J1211" s="11" t="s">
        <v>788</v>
      </c>
    </row>
    <row r="1212" spans="1:10" ht="13.15" customHeight="1" x14ac:dyDescent="0.25">
      <c r="A1212">
        <f t="shared" si="109"/>
        <v>1207</v>
      </c>
      <c r="B1212" t="s">
        <v>1056</v>
      </c>
      <c r="C1212" s="2">
        <v>0.37152777777777779</v>
      </c>
      <c r="D1212" s="4">
        <f t="shared" si="110"/>
        <v>0.10555555555555557</v>
      </c>
      <c r="E1212" s="6">
        <v>0.26597222222222222</v>
      </c>
      <c r="F1212" s="5">
        <f t="shared" si="107"/>
        <v>0.71588785046728964</v>
      </c>
      <c r="G1212" s="5">
        <v>0.78800000000000003</v>
      </c>
      <c r="H1212" s="4">
        <f>64/1440</f>
        <v>4.4444444444444446E-2</v>
      </c>
      <c r="I1212" s="5">
        <v>0.13100000000000001</v>
      </c>
      <c r="J1212" s="11" t="s">
        <v>1049</v>
      </c>
    </row>
    <row r="1213" spans="1:10" ht="13.15" customHeight="1" x14ac:dyDescent="0.25">
      <c r="A1213">
        <f t="shared" si="109"/>
        <v>1208</v>
      </c>
      <c r="B1213" t="s">
        <v>1061</v>
      </c>
      <c r="C1213" s="2">
        <v>0.49166666666666664</v>
      </c>
      <c r="D1213" s="4">
        <f t="shared" si="110"/>
        <v>0.22569444444444442</v>
      </c>
      <c r="E1213" s="6">
        <v>0.26597222222222222</v>
      </c>
      <c r="F1213" s="5">
        <f t="shared" si="107"/>
        <v>0.54096045197740117</v>
      </c>
      <c r="G1213" s="5">
        <v>0.79400000000000004</v>
      </c>
      <c r="H1213" s="4">
        <f>67.4/1440</f>
        <v>4.6805555555555559E-2</v>
      </c>
      <c r="I1213" s="5">
        <v>0.13900000000000001</v>
      </c>
      <c r="J1213" s="11" t="s">
        <v>1050</v>
      </c>
    </row>
    <row r="1214" spans="1:10" ht="13.15" customHeight="1" x14ac:dyDescent="0.25">
      <c r="A1214">
        <f t="shared" si="109"/>
        <v>1209</v>
      </c>
      <c r="B1214" t="s">
        <v>1303</v>
      </c>
      <c r="C1214" s="2">
        <v>0.38472222222222224</v>
      </c>
      <c r="D1214" s="4">
        <f t="shared" si="110"/>
        <v>0.11875000000000002</v>
      </c>
      <c r="E1214" s="6">
        <v>0.26597222222222222</v>
      </c>
      <c r="F1214" s="5">
        <f t="shared" si="107"/>
        <v>0.69133574007220211</v>
      </c>
      <c r="G1214" s="5">
        <v>0.83299999999999996</v>
      </c>
      <c r="H1214" s="4">
        <f>52.9/1440</f>
        <v>3.6736111111111108E-2</v>
      </c>
      <c r="I1214" s="5">
        <v>0.115</v>
      </c>
      <c r="J1214" s="11" t="s">
        <v>1289</v>
      </c>
    </row>
    <row r="1215" spans="1:10" ht="13.15" customHeight="1" x14ac:dyDescent="0.25">
      <c r="A1215">
        <f t="shared" si="109"/>
        <v>1210</v>
      </c>
      <c r="B1215" t="s">
        <v>524</v>
      </c>
      <c r="C1215" s="2">
        <v>0.4152777777777778</v>
      </c>
      <c r="D1215" s="4">
        <f t="shared" si="110"/>
        <v>0.15000000000000002</v>
      </c>
      <c r="E1215" s="6">
        <v>0.26527777777777778</v>
      </c>
      <c r="F1215" s="5">
        <f t="shared" si="107"/>
        <v>0.6387959866220736</v>
      </c>
      <c r="G1215" s="5">
        <v>0.79600000000000004</v>
      </c>
      <c r="H1215" s="4">
        <f>67.4/1440</f>
        <v>4.6805555555555559E-2</v>
      </c>
      <c r="I1215" s="5">
        <v>0.14000000000000001</v>
      </c>
      <c r="J1215" s="11" t="s">
        <v>529</v>
      </c>
    </row>
    <row r="1216" spans="1:10" ht="13.15" customHeight="1" x14ac:dyDescent="0.25">
      <c r="A1216">
        <f t="shared" si="109"/>
        <v>1211</v>
      </c>
      <c r="B1216" t="s">
        <v>743</v>
      </c>
      <c r="C1216" s="2">
        <v>0.39861111111111114</v>
      </c>
      <c r="D1216" s="4">
        <f t="shared" si="110"/>
        <v>0.13333333333333336</v>
      </c>
      <c r="E1216" s="6">
        <v>0.26527777777777778</v>
      </c>
      <c r="F1216" s="5">
        <f t="shared" ref="F1216:F1228" si="111">E1216/C1216</f>
        <v>0.66550522648083621</v>
      </c>
      <c r="G1216" s="5">
        <v>0.85499999999999998</v>
      </c>
      <c r="H1216" s="4">
        <f>78.8/1440</f>
        <v>5.4722222222222221E-2</v>
      </c>
      <c r="I1216" s="5">
        <v>0.17599999999999999</v>
      </c>
      <c r="J1216" s="11" t="s">
        <v>749</v>
      </c>
    </row>
    <row r="1217" spans="1:10" ht="13.15" customHeight="1" x14ac:dyDescent="0.25">
      <c r="A1217">
        <f t="shared" si="109"/>
        <v>1212</v>
      </c>
      <c r="B1217" t="s">
        <v>827</v>
      </c>
      <c r="C1217" s="2">
        <v>0.44930555555555557</v>
      </c>
      <c r="D1217" s="4">
        <f t="shared" si="110"/>
        <v>0.18402777777777779</v>
      </c>
      <c r="E1217" s="6">
        <v>0.26527777777777778</v>
      </c>
      <c r="F1217" s="5">
        <f t="shared" si="111"/>
        <v>0.5904173106646059</v>
      </c>
      <c r="G1217" s="5">
        <v>0.81100000000000005</v>
      </c>
      <c r="H1217" s="4">
        <f>63.3/1440</f>
        <v>4.3958333333333328E-2</v>
      </c>
      <c r="I1217" s="5">
        <v>0.13400000000000001</v>
      </c>
      <c r="J1217" s="11" t="s">
        <v>823</v>
      </c>
    </row>
    <row r="1218" spans="1:10" ht="13.15" customHeight="1" x14ac:dyDescent="0.25">
      <c r="A1218">
        <f t="shared" si="109"/>
        <v>1213</v>
      </c>
      <c r="B1218" t="s">
        <v>827</v>
      </c>
      <c r="C1218" s="2">
        <v>0.44930555555555557</v>
      </c>
      <c r="D1218" s="4">
        <f t="shared" si="110"/>
        <v>0.18402777777777779</v>
      </c>
      <c r="E1218" s="6">
        <v>0.26527777777777778</v>
      </c>
      <c r="F1218" s="5">
        <f t="shared" si="111"/>
        <v>0.5904173106646059</v>
      </c>
      <c r="G1218" s="5">
        <v>0.81100000000000005</v>
      </c>
      <c r="H1218" s="4">
        <f>63.3/1440</f>
        <v>4.3958333333333328E-2</v>
      </c>
      <c r="I1218" s="5">
        <v>0.13400000000000001</v>
      </c>
      <c r="J1218" s="11" t="s">
        <v>823</v>
      </c>
    </row>
    <row r="1219" spans="1:10" ht="13.15" customHeight="1" x14ac:dyDescent="0.25">
      <c r="A1219">
        <f t="shared" si="109"/>
        <v>1214</v>
      </c>
      <c r="B1219" t="s">
        <v>1384</v>
      </c>
      <c r="C1219" s="2">
        <v>0.38472222222222224</v>
      </c>
      <c r="D1219" s="4">
        <f t="shared" si="110"/>
        <v>0.12013888888888891</v>
      </c>
      <c r="E1219" s="6">
        <v>0.26458333333333334</v>
      </c>
      <c r="F1219" s="5">
        <f t="shared" si="111"/>
        <v>0.68772563176895307</v>
      </c>
      <c r="G1219" s="5">
        <v>0.65400000000000003</v>
      </c>
      <c r="H1219" s="4">
        <f>37.5/1440</f>
        <v>2.6041666666666668E-2</v>
      </c>
      <c r="I1219" s="5">
        <v>6.4000000000000001E-2</v>
      </c>
      <c r="J1219" s="11" t="s">
        <v>1367</v>
      </c>
    </row>
    <row r="1220" spans="1:10" ht="13.15" customHeight="1" x14ac:dyDescent="0.25">
      <c r="A1220">
        <f t="shared" si="109"/>
        <v>1215</v>
      </c>
      <c r="B1220" t="s">
        <v>31</v>
      </c>
      <c r="C1220" s="2">
        <v>0.40277777777777773</v>
      </c>
      <c r="D1220" s="4">
        <f t="shared" si="110"/>
        <v>0.13888888888888884</v>
      </c>
      <c r="E1220" s="6">
        <v>0.2638888888888889</v>
      </c>
      <c r="F1220" s="5">
        <f t="shared" si="111"/>
        <v>0.65517241379310354</v>
      </c>
      <c r="G1220" s="5">
        <v>0.60499999999999998</v>
      </c>
      <c r="H1220" s="4">
        <f>58.1/1440</f>
        <v>4.0347222222222222E-2</v>
      </c>
      <c r="I1220" s="5">
        <v>9.1999999999999998E-2</v>
      </c>
      <c r="J1220" s="11" t="s">
        <v>99</v>
      </c>
    </row>
    <row r="1221" spans="1:10" ht="13.15" customHeight="1" x14ac:dyDescent="0.25">
      <c r="A1221">
        <f t="shared" si="109"/>
        <v>1216</v>
      </c>
      <c r="B1221" t="s">
        <v>885</v>
      </c>
      <c r="C1221" s="2">
        <v>0.33888888888888891</v>
      </c>
      <c r="D1221" s="4">
        <f t="shared" si="110"/>
        <v>7.5694444444444453E-2</v>
      </c>
      <c r="E1221" s="6">
        <v>0.26319444444444445</v>
      </c>
      <c r="F1221" s="5">
        <f t="shared" si="111"/>
        <v>0.77663934426229508</v>
      </c>
      <c r="G1221" s="5">
        <v>0.91100000000000003</v>
      </c>
      <c r="H1221" s="4">
        <f>56/1440</f>
        <v>3.888888888888889E-2</v>
      </c>
      <c r="I1221" s="5">
        <v>0.13500000000000001</v>
      </c>
      <c r="J1221" s="11" t="s">
        <v>890</v>
      </c>
    </row>
    <row r="1222" spans="1:10" ht="13.15" customHeight="1" x14ac:dyDescent="0.25">
      <c r="A1222">
        <f t="shared" si="109"/>
        <v>1217</v>
      </c>
      <c r="B1222" t="s">
        <v>188</v>
      </c>
      <c r="C1222" s="2">
        <v>0.44375000000000003</v>
      </c>
      <c r="D1222" s="4">
        <f t="shared" si="110"/>
        <v>0.18125000000000002</v>
      </c>
      <c r="E1222" s="6">
        <v>0.26250000000000001</v>
      </c>
      <c r="F1222" s="5">
        <f t="shared" si="111"/>
        <v>0.59154929577464788</v>
      </c>
      <c r="G1222" s="5">
        <v>0.88400000000000001</v>
      </c>
      <c r="H1222" s="4">
        <f>79.7/1440</f>
        <v>5.5347222222222221E-2</v>
      </c>
      <c r="I1222" s="5">
        <v>0.186</v>
      </c>
      <c r="J1222" s="11" t="s">
        <v>189</v>
      </c>
    </row>
    <row r="1223" spans="1:10" ht="13.15" customHeight="1" x14ac:dyDescent="0.25">
      <c r="A1223">
        <f t="shared" si="109"/>
        <v>1218</v>
      </c>
      <c r="B1223" t="s">
        <v>1060</v>
      </c>
      <c r="C1223" s="2">
        <v>0.47430555555555554</v>
      </c>
      <c r="D1223" s="4">
        <f t="shared" si="110"/>
        <v>0.21180555555555552</v>
      </c>
      <c r="E1223" s="6">
        <v>0.26250000000000001</v>
      </c>
      <c r="F1223" s="5">
        <f t="shared" si="111"/>
        <v>0.55344070278184487</v>
      </c>
      <c r="G1223" s="5">
        <v>0.82</v>
      </c>
      <c r="H1223" s="4">
        <f>75/1440</f>
        <v>5.2083333333333336E-2</v>
      </c>
      <c r="I1223" s="5">
        <v>0.16200000000000001</v>
      </c>
      <c r="J1223" s="11" t="s">
        <v>1050</v>
      </c>
    </row>
    <row r="1224" spans="1:10" ht="13.15" customHeight="1" x14ac:dyDescent="0.25">
      <c r="A1224">
        <f t="shared" si="109"/>
        <v>1219</v>
      </c>
      <c r="B1224" t="s">
        <v>960</v>
      </c>
      <c r="C1224" s="2">
        <v>0.40347222222222223</v>
      </c>
      <c r="D1224" s="4">
        <f t="shared" si="110"/>
        <v>0.14166666666666666</v>
      </c>
      <c r="E1224" s="6">
        <v>0.26180555555555557</v>
      </c>
      <c r="F1224" s="5">
        <f t="shared" si="111"/>
        <v>0.64888123924268504</v>
      </c>
      <c r="G1224" s="5">
        <v>0.65900000000000003</v>
      </c>
      <c r="H1224" s="4">
        <f>39.5/1440</f>
        <v>2.7430555555555555E-2</v>
      </c>
      <c r="I1224" s="5">
        <v>6.9000000000000006E-2</v>
      </c>
      <c r="J1224" s="11" t="s">
        <v>961</v>
      </c>
    </row>
    <row r="1225" spans="1:10" ht="13.15" customHeight="1" x14ac:dyDescent="0.25">
      <c r="A1225">
        <f t="shared" si="109"/>
        <v>1220</v>
      </c>
      <c r="B1225" t="s">
        <v>501</v>
      </c>
      <c r="C1225" s="2">
        <v>0.41944444444444445</v>
      </c>
      <c r="D1225" s="4">
        <f t="shared" si="110"/>
        <v>0.15833333333333333</v>
      </c>
      <c r="E1225" s="6">
        <v>0.26111111111111113</v>
      </c>
      <c r="F1225" s="5">
        <f t="shared" si="111"/>
        <v>0.6225165562913908</v>
      </c>
      <c r="G1225" s="5">
        <v>0.75600000000000001</v>
      </c>
      <c r="H1225" s="4">
        <f>59.9/1440</f>
        <v>4.1597222222222223E-2</v>
      </c>
      <c r="I1225" s="5">
        <v>0.12</v>
      </c>
      <c r="J1225" s="11" t="s">
        <v>502</v>
      </c>
    </row>
    <row r="1226" spans="1:10" ht="13.15" customHeight="1" x14ac:dyDescent="0.25">
      <c r="A1226">
        <f t="shared" si="109"/>
        <v>1221</v>
      </c>
      <c r="B1226" t="s">
        <v>1107</v>
      </c>
      <c r="C1226" s="2">
        <v>0.44097222222222221</v>
      </c>
      <c r="D1226" s="4">
        <f t="shared" si="110"/>
        <v>0.17986111111111108</v>
      </c>
      <c r="E1226" s="6">
        <v>0.26111111111111113</v>
      </c>
      <c r="F1226" s="5">
        <f t="shared" si="111"/>
        <v>0.59212598425196861</v>
      </c>
      <c r="G1226" s="5">
        <v>0.78200000000000003</v>
      </c>
      <c r="H1226" s="4">
        <f>51.5/1440</f>
        <v>3.5763888888888887E-2</v>
      </c>
      <c r="I1226" s="5">
        <v>0.107</v>
      </c>
      <c r="J1226" s="11" t="s">
        <v>1099</v>
      </c>
    </row>
    <row r="1227" spans="1:10" ht="13.15" customHeight="1" x14ac:dyDescent="0.25">
      <c r="A1227">
        <f t="shared" si="109"/>
        <v>1222</v>
      </c>
      <c r="B1227" t="s">
        <v>1140</v>
      </c>
      <c r="C1227" s="2">
        <v>0.36458333333333331</v>
      </c>
      <c r="D1227" s="4">
        <f t="shared" si="110"/>
        <v>0.10347222222222219</v>
      </c>
      <c r="E1227" s="6">
        <v>0.26111111111111113</v>
      </c>
      <c r="F1227" s="5">
        <f t="shared" si="111"/>
        <v>0.71619047619047627</v>
      </c>
      <c r="G1227" s="5">
        <v>0.82899999999999996</v>
      </c>
      <c r="H1227" s="4">
        <f>63.5/1440</f>
        <v>4.4097222222222225E-2</v>
      </c>
      <c r="I1227" s="5">
        <v>0.14000000000000001</v>
      </c>
      <c r="J1227" s="11" t="s">
        <v>1126</v>
      </c>
    </row>
    <row r="1228" spans="1:10" ht="13.15" customHeight="1" x14ac:dyDescent="0.25">
      <c r="A1228">
        <f t="shared" si="109"/>
        <v>1223</v>
      </c>
      <c r="B1228" t="s">
        <v>917</v>
      </c>
      <c r="C1228" s="2">
        <v>0.36388888888888887</v>
      </c>
      <c r="D1228" s="4">
        <f t="shared" si="110"/>
        <v>0.10347222222222219</v>
      </c>
      <c r="E1228" s="6">
        <v>0.26041666666666669</v>
      </c>
      <c r="F1228" s="5">
        <f t="shared" si="111"/>
        <v>0.71564885496183217</v>
      </c>
      <c r="G1228" s="5">
        <v>0.82599999999999996</v>
      </c>
      <c r="H1228" s="4">
        <f>55.6/1440</f>
        <v>3.861111111111111E-2</v>
      </c>
      <c r="I1228" s="5">
        <v>0.122</v>
      </c>
      <c r="J1228" s="11" t="s">
        <v>920</v>
      </c>
    </row>
    <row r="1229" spans="1:10" ht="13.15" customHeight="1" x14ac:dyDescent="0.25">
      <c r="A1229">
        <f t="shared" si="109"/>
        <v>1224</v>
      </c>
      <c r="B1229" t="s">
        <v>1249</v>
      </c>
      <c r="C1229" s="2">
        <v>0.33055555555555555</v>
      </c>
      <c r="D1229" s="4">
        <v>7.0138888888888862E-2</v>
      </c>
      <c r="E1229" s="6">
        <v>0.26041666666666669</v>
      </c>
      <c r="F1229" s="5">
        <v>0.78781512605042026</v>
      </c>
      <c r="G1229" s="5">
        <v>0.83199999999999996</v>
      </c>
      <c r="H1229" s="4">
        <v>3.5972222222222218E-2</v>
      </c>
      <c r="I1229" s="5">
        <v>0.115</v>
      </c>
      <c r="J1229" s="11" t="s">
        <v>1242</v>
      </c>
    </row>
    <row r="1230" spans="1:10" ht="13.15" customHeight="1" x14ac:dyDescent="0.25">
      <c r="A1230">
        <f t="shared" si="109"/>
        <v>1225</v>
      </c>
      <c r="B1230" t="s">
        <v>1302</v>
      </c>
      <c r="C1230" s="2">
        <v>0.34861111111111109</v>
      </c>
      <c r="D1230" s="4">
        <f t="shared" ref="D1230:D1240" si="112">C1230-E1230</f>
        <v>8.8194444444444409E-2</v>
      </c>
      <c r="E1230" s="6">
        <v>0.26041666666666669</v>
      </c>
      <c r="F1230" s="5">
        <f t="shared" ref="F1230:F1240" si="113">E1230/C1230</f>
        <v>0.74701195219123517</v>
      </c>
      <c r="G1230" s="5">
        <v>0.82599999999999996</v>
      </c>
      <c r="H1230" s="4">
        <f>63.6/1440</f>
        <v>4.4166666666666667E-2</v>
      </c>
      <c r="I1230" s="5">
        <v>0.14000000000000001</v>
      </c>
      <c r="J1230" s="11" t="s">
        <v>1289</v>
      </c>
    </row>
    <row r="1231" spans="1:10" ht="13.15" customHeight="1" x14ac:dyDescent="0.25">
      <c r="A1231">
        <f t="shared" si="109"/>
        <v>1226</v>
      </c>
      <c r="B1231" t="s">
        <v>43</v>
      </c>
      <c r="C1231" s="2">
        <v>0.38541666666666669</v>
      </c>
      <c r="D1231" s="4">
        <f t="shared" si="112"/>
        <v>0.12569444444444444</v>
      </c>
      <c r="E1231" s="6">
        <v>0.25972222222222224</v>
      </c>
      <c r="F1231" s="5">
        <f t="shared" si="113"/>
        <v>0.67387387387387387</v>
      </c>
      <c r="G1231" s="5">
        <v>0.69499999999999995</v>
      </c>
      <c r="H1231" s="4">
        <f>57.7/1440</f>
        <v>4.0069444444444449E-2</v>
      </c>
      <c r="I1231" s="5">
        <v>0.107</v>
      </c>
      <c r="J1231" s="11" t="s">
        <v>110</v>
      </c>
    </row>
    <row r="1232" spans="1:10" ht="13.15" customHeight="1" x14ac:dyDescent="0.25">
      <c r="A1232">
        <f t="shared" si="109"/>
        <v>1227</v>
      </c>
      <c r="B1232" t="s">
        <v>63</v>
      </c>
      <c r="C1232" s="2">
        <v>0.42986111111111108</v>
      </c>
      <c r="D1232" s="4">
        <f t="shared" si="112"/>
        <v>0.17013888888888884</v>
      </c>
      <c r="E1232" s="6">
        <v>0.25972222222222224</v>
      </c>
      <c r="F1232" s="5">
        <f t="shared" si="113"/>
        <v>0.60420032310177718</v>
      </c>
      <c r="G1232" s="5">
        <v>0.59499999999999997</v>
      </c>
      <c r="H1232" s="4">
        <f>54.2/1440</f>
        <v>3.7638888888888888E-2</v>
      </c>
      <c r="I1232" s="5">
        <v>8.5999999999999993E-2</v>
      </c>
      <c r="J1232" s="11" t="s">
        <v>128</v>
      </c>
    </row>
    <row r="1233" spans="1:10" ht="13.15" customHeight="1" x14ac:dyDescent="0.25">
      <c r="A1233">
        <f t="shared" si="109"/>
        <v>1228</v>
      </c>
      <c r="B1233" t="s">
        <v>785</v>
      </c>
      <c r="C1233" s="2">
        <v>0.38611111111111113</v>
      </c>
      <c r="D1233" s="4">
        <f t="shared" si="112"/>
        <v>0.12638888888888888</v>
      </c>
      <c r="E1233" s="6">
        <v>0.25972222222222224</v>
      </c>
      <c r="F1233" s="5">
        <f t="shared" si="113"/>
        <v>0.67266187050359716</v>
      </c>
      <c r="G1233" s="5">
        <v>0.79100000000000004</v>
      </c>
      <c r="H1233" s="4">
        <f>61.6/1440</f>
        <v>4.2777777777777776E-2</v>
      </c>
      <c r="I1233" s="5">
        <v>0.129</v>
      </c>
      <c r="J1233" s="11" t="s">
        <v>788</v>
      </c>
    </row>
    <row r="1234" spans="1:10" ht="13.15" customHeight="1" x14ac:dyDescent="0.25">
      <c r="A1234">
        <f t="shared" si="109"/>
        <v>1229</v>
      </c>
      <c r="B1234" t="s">
        <v>915</v>
      </c>
      <c r="C1234" s="2">
        <v>0.34791666666666665</v>
      </c>
      <c r="D1234" s="4">
        <f t="shared" si="112"/>
        <v>8.8194444444444409E-2</v>
      </c>
      <c r="E1234" s="6">
        <v>0.25972222222222224</v>
      </c>
      <c r="F1234" s="5">
        <f t="shared" si="113"/>
        <v>0.74650698602794419</v>
      </c>
      <c r="G1234" s="5">
        <v>0.80800000000000005</v>
      </c>
      <c r="H1234" s="4">
        <f>58.6/1440</f>
        <v>4.0694444444444443E-2</v>
      </c>
      <c r="I1234" s="5">
        <v>0.127</v>
      </c>
      <c r="J1234" s="11" t="s">
        <v>920</v>
      </c>
    </row>
    <row r="1235" spans="1:10" ht="13.15" customHeight="1" x14ac:dyDescent="0.25">
      <c r="A1235">
        <f t="shared" si="109"/>
        <v>1230</v>
      </c>
      <c r="B1235" t="s">
        <v>1138</v>
      </c>
      <c r="C1235" s="2">
        <v>0.35833333333333334</v>
      </c>
      <c r="D1235" s="4">
        <f t="shared" si="112"/>
        <v>9.8611111111111094E-2</v>
      </c>
      <c r="E1235" s="6">
        <v>0.25972222222222224</v>
      </c>
      <c r="F1235" s="5">
        <f t="shared" si="113"/>
        <v>0.72480620155038766</v>
      </c>
      <c r="G1235" s="5">
        <v>0.82599999999999996</v>
      </c>
      <c r="H1235" s="4">
        <f>62.1/1440</f>
        <v>4.3125000000000004E-2</v>
      </c>
      <c r="I1235" s="5">
        <v>0.13700000000000001</v>
      </c>
      <c r="J1235" s="11" t="s">
        <v>1126</v>
      </c>
    </row>
    <row r="1236" spans="1:10" ht="13.15" customHeight="1" x14ac:dyDescent="0.25">
      <c r="A1236">
        <f t="shared" ref="A1236:A1299" si="114">A1235+1</f>
        <v>1231</v>
      </c>
      <c r="B1236" t="s">
        <v>1637</v>
      </c>
      <c r="C1236" s="2">
        <v>0.33819444444444446</v>
      </c>
      <c r="D1236" s="4">
        <f t="shared" si="112"/>
        <v>7.8472222222222221E-2</v>
      </c>
      <c r="E1236" s="6">
        <v>0.25972222222222224</v>
      </c>
      <c r="F1236" s="5">
        <f t="shared" si="113"/>
        <v>0.76796714579055447</v>
      </c>
      <c r="G1236" s="5">
        <v>0.70399999999999996</v>
      </c>
      <c r="H1236" s="4">
        <f>51.5/1440</f>
        <v>3.5763888888888887E-2</v>
      </c>
      <c r="I1236" s="5">
        <v>9.7000000000000003E-2</v>
      </c>
      <c r="J1236" s="11" t="s">
        <v>1627</v>
      </c>
    </row>
    <row r="1237" spans="1:10" ht="13.15" customHeight="1" x14ac:dyDescent="0.25">
      <c r="A1237">
        <f t="shared" si="114"/>
        <v>1232</v>
      </c>
      <c r="B1237" t="s">
        <v>1658</v>
      </c>
      <c r="C1237" s="2">
        <v>0.42569444444444443</v>
      </c>
      <c r="D1237" s="4">
        <f t="shared" si="112"/>
        <v>0.16597222222222219</v>
      </c>
      <c r="E1237" s="6">
        <v>0.25972222222222224</v>
      </c>
      <c r="F1237" s="5">
        <f t="shared" si="113"/>
        <v>0.6101141924959218</v>
      </c>
      <c r="G1237" s="5">
        <v>0.879</v>
      </c>
      <c r="H1237" s="4">
        <f>80.3/1440</f>
        <v>5.5763888888888884E-2</v>
      </c>
      <c r="I1237" s="5">
        <v>0.188</v>
      </c>
      <c r="J1237" s="11" t="s">
        <v>1650</v>
      </c>
    </row>
    <row r="1238" spans="1:10" ht="13.15" customHeight="1" x14ac:dyDescent="0.25">
      <c r="A1238">
        <f t="shared" si="114"/>
        <v>1233</v>
      </c>
      <c r="B1238" t="s">
        <v>530</v>
      </c>
      <c r="C1238" s="2">
        <v>0.3840277777777778</v>
      </c>
      <c r="D1238" s="4">
        <f t="shared" si="112"/>
        <v>0.12708333333333333</v>
      </c>
      <c r="E1238" s="6">
        <v>0.25694444444444448</v>
      </c>
      <c r="F1238" s="5">
        <f t="shared" si="113"/>
        <v>0.66907775768535271</v>
      </c>
      <c r="G1238" s="5">
        <v>0.82799999999999996</v>
      </c>
      <c r="H1238" s="4">
        <f>36/1440</f>
        <v>2.5000000000000001E-2</v>
      </c>
      <c r="I1238" s="5">
        <v>8.1000000000000003E-2</v>
      </c>
      <c r="J1238" s="11" t="s">
        <v>531</v>
      </c>
    </row>
    <row r="1239" spans="1:10" ht="13.15" customHeight="1" x14ac:dyDescent="0.25">
      <c r="A1239">
        <f t="shared" si="114"/>
        <v>1234</v>
      </c>
      <c r="B1239" t="s">
        <v>744</v>
      </c>
      <c r="C1239" s="2">
        <v>0.36944444444444446</v>
      </c>
      <c r="D1239" s="4">
        <f t="shared" si="112"/>
        <v>0.11250000000000004</v>
      </c>
      <c r="E1239" s="6">
        <v>0.25694444444444442</v>
      </c>
      <c r="F1239" s="5">
        <f t="shared" si="113"/>
        <v>0.69548872180451116</v>
      </c>
      <c r="G1239" s="5">
        <v>0.879</v>
      </c>
      <c r="H1239" s="4">
        <f>75.3/1440</f>
        <v>5.2291666666666667E-2</v>
      </c>
      <c r="I1239" s="5">
        <v>0.17899999999999999</v>
      </c>
      <c r="J1239" s="11" t="s">
        <v>749</v>
      </c>
    </row>
    <row r="1240" spans="1:10" ht="13.15" customHeight="1" x14ac:dyDescent="0.25">
      <c r="A1240">
        <f t="shared" si="114"/>
        <v>1235</v>
      </c>
      <c r="B1240" t="s">
        <v>789</v>
      </c>
      <c r="C1240" s="2">
        <v>0.38819444444444445</v>
      </c>
      <c r="D1240" s="4">
        <f t="shared" si="112"/>
        <v>0.13125000000000003</v>
      </c>
      <c r="E1240" s="6">
        <v>0.25694444444444442</v>
      </c>
      <c r="F1240" s="5">
        <f t="shared" si="113"/>
        <v>0.66189624329159202</v>
      </c>
      <c r="G1240" s="5">
        <v>0.77900000000000003</v>
      </c>
      <c r="H1240" s="4">
        <f>57.8/1440</f>
        <v>4.0138888888888884E-2</v>
      </c>
      <c r="I1240" s="5">
        <v>0.122</v>
      </c>
      <c r="J1240" s="11" t="s">
        <v>794</v>
      </c>
    </row>
    <row r="1241" spans="1:10" ht="13.15" customHeight="1" x14ac:dyDescent="0.25">
      <c r="A1241">
        <f t="shared" si="114"/>
        <v>1236</v>
      </c>
      <c r="B1241" t="s">
        <v>351</v>
      </c>
      <c r="C1241" s="2">
        <v>0.37916666666666665</v>
      </c>
      <c r="D1241" s="4">
        <v>0.11805555555555555</v>
      </c>
      <c r="E1241" s="6">
        <v>0.25625000000000003</v>
      </c>
      <c r="F1241" s="5">
        <v>0.66666666666666674</v>
      </c>
      <c r="G1241" s="5">
        <v>0.67900000000000005</v>
      </c>
      <c r="H1241" s="4">
        <f>62.7/1440</f>
        <v>4.3541666666666666E-2</v>
      </c>
      <c r="I1241" s="5">
        <v>0.115</v>
      </c>
      <c r="J1241" s="11" t="s">
        <v>352</v>
      </c>
    </row>
    <row r="1242" spans="1:10" ht="13.15" customHeight="1" x14ac:dyDescent="0.25">
      <c r="A1242">
        <f t="shared" si="114"/>
        <v>1237</v>
      </c>
      <c r="B1242" t="s">
        <v>928</v>
      </c>
      <c r="C1242" s="2">
        <v>0.45902777777777776</v>
      </c>
      <c r="D1242" s="4">
        <f t="shared" ref="D1242:D1247" si="115">C1242-E1242</f>
        <v>0.20277777777777778</v>
      </c>
      <c r="E1242" s="6">
        <v>0.25624999999999998</v>
      </c>
      <c r="F1242" s="5">
        <f t="shared" ref="F1242:F1247" si="116">E1242/C1242</f>
        <v>0.55824508320726174</v>
      </c>
      <c r="G1242" s="5">
        <v>0.84799999999999998</v>
      </c>
      <c r="H1242" s="4">
        <f>69/1440</f>
        <v>4.791666666666667E-2</v>
      </c>
      <c r="I1242" s="5">
        <v>0.159</v>
      </c>
      <c r="J1242" s="11" t="s">
        <v>929</v>
      </c>
    </row>
    <row r="1243" spans="1:10" ht="13.15" customHeight="1" x14ac:dyDescent="0.25">
      <c r="A1243">
        <f t="shared" si="114"/>
        <v>1238</v>
      </c>
      <c r="B1243" t="s">
        <v>1539</v>
      </c>
      <c r="C1243" s="2">
        <v>0.38750000000000001</v>
      </c>
      <c r="D1243" s="4">
        <f t="shared" si="115"/>
        <v>0.13125000000000003</v>
      </c>
      <c r="E1243" s="6">
        <v>0.25624999999999998</v>
      </c>
      <c r="F1243" s="5">
        <f t="shared" si="116"/>
        <v>0.66129032258064513</v>
      </c>
      <c r="G1243" s="5">
        <v>0.76800000000000002</v>
      </c>
      <c r="H1243" s="4">
        <f>60.3/1440</f>
        <v>4.1874999999999996E-2</v>
      </c>
      <c r="I1243" s="5">
        <v>0.125</v>
      </c>
      <c r="J1243" s="11" t="s">
        <v>1544</v>
      </c>
    </row>
    <row r="1244" spans="1:10" ht="13.15" customHeight="1" x14ac:dyDescent="0.25">
      <c r="A1244">
        <f t="shared" si="114"/>
        <v>1239</v>
      </c>
      <c r="B1244" t="s">
        <v>261</v>
      </c>
      <c r="C1244" s="2">
        <v>0.36041666666666666</v>
      </c>
      <c r="D1244" s="4">
        <f t="shared" si="115"/>
        <v>0.10486111111111107</v>
      </c>
      <c r="E1244" s="6">
        <v>0.25555555555555559</v>
      </c>
      <c r="F1244" s="5">
        <f t="shared" si="116"/>
        <v>0.70905587668593462</v>
      </c>
      <c r="G1244" s="5">
        <v>0.82199999999999995</v>
      </c>
      <c r="H1244" s="4">
        <f>72.9/1440</f>
        <v>5.0625000000000003E-2</v>
      </c>
      <c r="I1244" s="5">
        <v>0.16300000000000001</v>
      </c>
      <c r="J1244" s="11" t="s">
        <v>262</v>
      </c>
    </row>
    <row r="1245" spans="1:10" ht="13.15" customHeight="1" x14ac:dyDescent="0.25">
      <c r="A1245">
        <f t="shared" si="114"/>
        <v>1240</v>
      </c>
      <c r="B1245" t="s">
        <v>887</v>
      </c>
      <c r="C1245" s="2">
        <v>0.3840277777777778</v>
      </c>
      <c r="D1245" s="4">
        <f t="shared" si="115"/>
        <v>0.12847222222222227</v>
      </c>
      <c r="E1245" s="6">
        <v>0.25555555555555554</v>
      </c>
      <c r="F1245" s="5">
        <f t="shared" si="116"/>
        <v>0.66546112115732359</v>
      </c>
      <c r="G1245" s="5">
        <v>0.89800000000000002</v>
      </c>
      <c r="H1245" s="4">
        <f>79.2/1440</f>
        <v>5.5E-2</v>
      </c>
      <c r="I1245" s="5">
        <v>0.193</v>
      </c>
      <c r="J1245" s="11" t="s">
        <v>890</v>
      </c>
    </row>
    <row r="1246" spans="1:10" ht="13.15" customHeight="1" x14ac:dyDescent="0.25">
      <c r="A1246">
        <f t="shared" si="114"/>
        <v>1241</v>
      </c>
      <c r="B1246" t="s">
        <v>1194</v>
      </c>
      <c r="C1246" s="2">
        <v>0.37083333333333335</v>
      </c>
      <c r="D1246" s="4">
        <f t="shared" si="115"/>
        <v>0.11527777777777781</v>
      </c>
      <c r="E1246" s="6">
        <v>0.25555555555555554</v>
      </c>
      <c r="F1246" s="5">
        <f t="shared" si="116"/>
        <v>0.68913857677902612</v>
      </c>
      <c r="G1246" s="5">
        <v>0.80700000000000005</v>
      </c>
      <c r="H1246" s="4">
        <f>66.3/1440</f>
        <v>4.6041666666666661E-2</v>
      </c>
      <c r="I1246" s="5">
        <v>0.14499999999999999</v>
      </c>
      <c r="J1246" s="11" t="s">
        <v>1182</v>
      </c>
    </row>
    <row r="1247" spans="1:10" ht="13.15" customHeight="1" x14ac:dyDescent="0.25">
      <c r="A1247">
        <f t="shared" si="114"/>
        <v>1242</v>
      </c>
      <c r="B1247" t="s">
        <v>1799</v>
      </c>
      <c r="C1247" s="2">
        <v>0.37152777777777779</v>
      </c>
      <c r="D1247" s="4">
        <f t="shared" si="115"/>
        <v>0.1166666666666667</v>
      </c>
      <c r="E1247" s="6">
        <v>0.25486111111111109</v>
      </c>
      <c r="F1247" s="5">
        <f t="shared" si="116"/>
        <v>0.68598130841121485</v>
      </c>
      <c r="G1247" s="5">
        <v>0.85899999999999999</v>
      </c>
      <c r="H1247" s="4">
        <f>54.7/1440</f>
        <v>3.7986111111111116E-2</v>
      </c>
      <c r="I1247" s="5">
        <v>0.128</v>
      </c>
      <c r="J1247" s="11" t="s">
        <v>1811</v>
      </c>
    </row>
    <row r="1248" spans="1:10" ht="13.15" customHeight="1" x14ac:dyDescent="0.25">
      <c r="A1248">
        <f t="shared" si="114"/>
        <v>1243</v>
      </c>
      <c r="B1248" t="s">
        <v>371</v>
      </c>
      <c r="C1248" s="2">
        <v>0.41597222222222219</v>
      </c>
      <c r="D1248" s="4">
        <v>0.11805555555555555</v>
      </c>
      <c r="E1248" s="6">
        <v>0.25347222222222221</v>
      </c>
      <c r="F1248" s="5">
        <v>0.66666666666666674</v>
      </c>
      <c r="G1248" s="5">
        <v>0.79900000000000004</v>
      </c>
      <c r="H1248" s="4">
        <f>75.9/1440</f>
        <v>5.2708333333333336E-2</v>
      </c>
      <c r="I1248" s="5">
        <v>0.16600000000000001</v>
      </c>
      <c r="J1248" s="11" t="s">
        <v>372</v>
      </c>
    </row>
    <row r="1249" spans="1:10" ht="13.15" customHeight="1" x14ac:dyDescent="0.25">
      <c r="A1249">
        <f t="shared" si="114"/>
        <v>1244</v>
      </c>
      <c r="B1249" t="s">
        <v>383</v>
      </c>
      <c r="C1249" s="2">
        <v>0.34861111111111115</v>
      </c>
      <c r="D1249" s="4">
        <f t="shared" ref="D1249:D1273" si="117">C1249-E1249</f>
        <v>9.5138888888888939E-2</v>
      </c>
      <c r="E1249" s="6">
        <v>0.25347222222222221</v>
      </c>
      <c r="F1249" s="5">
        <f t="shared" ref="F1249:F1273" si="118">E1249/C1249</f>
        <v>0.72709163346613537</v>
      </c>
      <c r="G1249" s="5">
        <v>0.71299999999999997</v>
      </c>
      <c r="H1249" s="4">
        <f>66.7/1440</f>
        <v>4.6319444444444448E-2</v>
      </c>
      <c r="I1249" s="5">
        <v>0.13</v>
      </c>
      <c r="J1249" s="11" t="s">
        <v>384</v>
      </c>
    </row>
    <row r="1250" spans="1:10" ht="13.15" customHeight="1" x14ac:dyDescent="0.25">
      <c r="A1250">
        <f t="shared" si="114"/>
        <v>1245</v>
      </c>
      <c r="B1250" t="s">
        <v>1541</v>
      </c>
      <c r="C1250" s="2">
        <v>0.39583333333333331</v>
      </c>
      <c r="D1250" s="4">
        <f t="shared" si="117"/>
        <v>0.14305555555555555</v>
      </c>
      <c r="E1250" s="6">
        <v>0.25277777777777777</v>
      </c>
      <c r="F1250" s="5">
        <f t="shared" si="118"/>
        <v>0.63859649122807016</v>
      </c>
      <c r="G1250" s="5">
        <v>0.77300000000000002</v>
      </c>
      <c r="H1250" s="4">
        <f>65.1/1440</f>
        <v>4.520833333333333E-2</v>
      </c>
      <c r="I1250" s="5">
        <v>0.13800000000000001</v>
      </c>
      <c r="J1250" s="11" t="s">
        <v>1544</v>
      </c>
    </row>
    <row r="1251" spans="1:10" ht="13.15" customHeight="1" x14ac:dyDescent="0.25">
      <c r="A1251">
        <f t="shared" si="114"/>
        <v>1246</v>
      </c>
      <c r="B1251" t="s">
        <v>614</v>
      </c>
      <c r="C1251" s="2">
        <v>0.3972222222222222</v>
      </c>
      <c r="D1251" s="4">
        <f t="shared" si="117"/>
        <v>0.14513888888888887</v>
      </c>
      <c r="E1251" s="6">
        <v>0.25208333333333333</v>
      </c>
      <c r="F1251" s="5">
        <f t="shared" si="118"/>
        <v>0.63461538461538458</v>
      </c>
      <c r="G1251" s="5">
        <v>0.78700000000000003</v>
      </c>
      <c r="H1251" s="4">
        <f>48.8/1440</f>
        <v>3.3888888888888885E-2</v>
      </c>
      <c r="I1251" s="5">
        <v>0.106</v>
      </c>
      <c r="J1251" s="11" t="s">
        <v>618</v>
      </c>
    </row>
    <row r="1252" spans="1:10" ht="13.15" customHeight="1" x14ac:dyDescent="0.25">
      <c r="A1252">
        <f t="shared" si="114"/>
        <v>1247</v>
      </c>
      <c r="B1252" t="s">
        <v>746</v>
      </c>
      <c r="C1252" s="2">
        <v>0.3923611111111111</v>
      </c>
      <c r="D1252" s="4">
        <f t="shared" si="117"/>
        <v>0.14027777777777778</v>
      </c>
      <c r="E1252" s="6">
        <v>0.25208333333333333</v>
      </c>
      <c r="F1252" s="5">
        <f t="shared" si="118"/>
        <v>0.64247787610619467</v>
      </c>
      <c r="G1252" s="5">
        <v>0.93600000000000005</v>
      </c>
      <c r="H1252" s="4">
        <f>85.2/1440</f>
        <v>5.9166666666666666E-2</v>
      </c>
      <c r="I1252" s="5">
        <v>0.22</v>
      </c>
      <c r="J1252" s="11" t="s">
        <v>749</v>
      </c>
    </row>
    <row r="1253" spans="1:10" ht="13.15" customHeight="1" x14ac:dyDescent="0.25">
      <c r="A1253">
        <f t="shared" si="114"/>
        <v>1248</v>
      </c>
      <c r="B1253" t="s">
        <v>1111</v>
      </c>
      <c r="C1253" s="2">
        <v>0.45902777777777776</v>
      </c>
      <c r="D1253" s="4">
        <f t="shared" si="117"/>
        <v>0.20763888888888887</v>
      </c>
      <c r="E1253" s="6">
        <v>0.25138888888888888</v>
      </c>
      <c r="F1253" s="5">
        <f t="shared" si="118"/>
        <v>0.54765506807866871</v>
      </c>
      <c r="G1253" s="5">
        <v>0.79300000000000004</v>
      </c>
      <c r="H1253" s="4">
        <f>49.6/1440</f>
        <v>3.4444444444444444E-2</v>
      </c>
      <c r="I1253" s="5">
        <v>0.109</v>
      </c>
      <c r="J1253" s="11" t="s">
        <v>1100</v>
      </c>
    </row>
    <row r="1254" spans="1:10" ht="13.15" customHeight="1" x14ac:dyDescent="0.25">
      <c r="A1254">
        <f t="shared" si="114"/>
        <v>1249</v>
      </c>
      <c r="B1254" t="s">
        <v>1300</v>
      </c>
      <c r="C1254" s="2">
        <v>0.34097222222222223</v>
      </c>
      <c r="D1254" s="4">
        <f t="shared" si="117"/>
        <v>9.027777777777779E-2</v>
      </c>
      <c r="E1254" s="6">
        <v>0.25069444444444444</v>
      </c>
      <c r="F1254" s="5">
        <f t="shared" si="118"/>
        <v>0.73523421588594706</v>
      </c>
      <c r="G1254" s="5">
        <v>0.85</v>
      </c>
      <c r="H1254" s="4">
        <f>59.1/1440</f>
        <v>4.1041666666666671E-2</v>
      </c>
      <c r="I1254" s="5">
        <v>0.13900000000000001</v>
      </c>
      <c r="J1254" s="11" t="s">
        <v>1289</v>
      </c>
    </row>
    <row r="1255" spans="1:10" ht="13.15" customHeight="1" x14ac:dyDescent="0.25">
      <c r="A1255">
        <f t="shared" si="114"/>
        <v>1250</v>
      </c>
      <c r="B1255" t="s">
        <v>466</v>
      </c>
      <c r="C1255" s="2">
        <v>0.39097222222222222</v>
      </c>
      <c r="D1255" s="4">
        <f t="shared" si="117"/>
        <v>0.14097222222222222</v>
      </c>
      <c r="E1255" s="6">
        <v>0.25</v>
      </c>
      <c r="F1255" s="5">
        <f t="shared" si="118"/>
        <v>0.63943161634103018</v>
      </c>
      <c r="G1255" s="5">
        <v>0.88200000000000001</v>
      </c>
      <c r="H1255" s="4">
        <f>64.5/1440</f>
        <v>4.4791666666666667E-2</v>
      </c>
      <c r="I1255" s="5">
        <v>0.158</v>
      </c>
      <c r="J1255" s="11" t="s">
        <v>475</v>
      </c>
    </row>
    <row r="1256" spans="1:10" ht="13.15" customHeight="1" x14ac:dyDescent="0.25">
      <c r="A1256">
        <f t="shared" si="114"/>
        <v>1251</v>
      </c>
      <c r="B1256" t="s">
        <v>586</v>
      </c>
      <c r="C1256" s="2">
        <v>0.36249999999999999</v>
      </c>
      <c r="D1256" s="4">
        <f t="shared" si="117"/>
        <v>0.11249999999999999</v>
      </c>
      <c r="E1256" s="6">
        <v>0.25</v>
      </c>
      <c r="F1256" s="5">
        <f t="shared" si="118"/>
        <v>0.68965517241379315</v>
      </c>
      <c r="G1256" s="5">
        <v>0.86499999999999999</v>
      </c>
      <c r="H1256" s="4">
        <f>53.2/1440</f>
        <v>3.6944444444444446E-2</v>
      </c>
      <c r="I1256" s="5">
        <v>0.128</v>
      </c>
      <c r="J1256" s="11" t="s">
        <v>587</v>
      </c>
    </row>
    <row r="1257" spans="1:10" ht="13.15" customHeight="1" x14ac:dyDescent="0.25">
      <c r="A1257">
        <f t="shared" si="114"/>
        <v>1252</v>
      </c>
      <c r="B1257" t="s">
        <v>1141</v>
      </c>
      <c r="C1257" s="2">
        <v>0.33888888888888891</v>
      </c>
      <c r="D1257" s="4">
        <f t="shared" si="117"/>
        <v>8.8888888888888906E-2</v>
      </c>
      <c r="E1257" s="6">
        <v>0.25</v>
      </c>
      <c r="F1257" s="5">
        <f t="shared" si="118"/>
        <v>0.73770491803278682</v>
      </c>
      <c r="G1257" s="5">
        <v>0.79900000000000004</v>
      </c>
      <c r="H1257" s="4">
        <f>67.8/1440</f>
        <v>4.7083333333333331E-2</v>
      </c>
      <c r="I1257" s="5">
        <v>0.15</v>
      </c>
      <c r="J1257" s="11" t="s">
        <v>1126</v>
      </c>
    </row>
    <row r="1258" spans="1:10" ht="13.15" customHeight="1" x14ac:dyDescent="0.25">
      <c r="A1258">
        <f t="shared" si="114"/>
        <v>1253</v>
      </c>
      <c r="B1258" t="s">
        <v>1818</v>
      </c>
      <c r="C1258" s="2">
        <v>0.36805555555555558</v>
      </c>
      <c r="D1258" s="4">
        <f t="shared" si="117"/>
        <v>0.11875000000000002</v>
      </c>
      <c r="E1258" s="6">
        <v>0.24930555555555556</v>
      </c>
      <c r="F1258" s="5">
        <f t="shared" si="118"/>
        <v>0.6773584905660377</v>
      </c>
      <c r="G1258" s="5">
        <v>0.63500000000000001</v>
      </c>
      <c r="H1258" s="4">
        <f>55.3/1440</f>
        <v>3.8402777777777779E-2</v>
      </c>
      <c r="I1258" s="5">
        <v>9.8000000000000004E-2</v>
      </c>
      <c r="J1258" s="11" t="s">
        <v>1815</v>
      </c>
    </row>
    <row r="1259" spans="1:10" ht="13.15" customHeight="1" x14ac:dyDescent="0.25">
      <c r="A1259">
        <f t="shared" si="114"/>
        <v>1254</v>
      </c>
      <c r="B1259" t="s">
        <v>721</v>
      </c>
      <c r="C1259" s="2">
        <v>0.4236111111111111</v>
      </c>
      <c r="D1259" s="4">
        <f t="shared" si="117"/>
        <v>0.17499999999999999</v>
      </c>
      <c r="E1259" s="6">
        <v>0.24861111111111112</v>
      </c>
      <c r="F1259" s="5">
        <f t="shared" si="118"/>
        <v>0.58688524590163937</v>
      </c>
      <c r="G1259" s="5">
        <v>0.83099999999999996</v>
      </c>
      <c r="H1259" s="4">
        <f>68.7/1440</f>
        <v>4.7708333333333339E-2</v>
      </c>
      <c r="I1259" s="5">
        <v>0.159</v>
      </c>
      <c r="J1259" s="11" t="s">
        <v>714</v>
      </c>
    </row>
    <row r="1260" spans="1:10" ht="13.15" customHeight="1" x14ac:dyDescent="0.25">
      <c r="A1260">
        <f t="shared" si="114"/>
        <v>1255</v>
      </c>
      <c r="B1260" t="s">
        <v>540</v>
      </c>
      <c r="C1260" s="2">
        <v>0.38263888888888892</v>
      </c>
      <c r="D1260" s="4">
        <f t="shared" si="117"/>
        <v>0.13472222222222224</v>
      </c>
      <c r="E1260" s="6">
        <v>0.24791666666666667</v>
      </c>
      <c r="F1260" s="5">
        <f t="shared" si="118"/>
        <v>0.64791288566243188</v>
      </c>
      <c r="G1260" s="5">
        <v>0.72199999999999998</v>
      </c>
      <c r="H1260" s="4">
        <f>53.5/1440</f>
        <v>3.7152777777777778E-2</v>
      </c>
      <c r="I1260" s="5">
        <v>0.108</v>
      </c>
      <c r="J1260" s="11" t="s">
        <v>541</v>
      </c>
    </row>
    <row r="1261" spans="1:10" ht="13.15" customHeight="1" x14ac:dyDescent="0.25">
      <c r="A1261">
        <f t="shared" si="114"/>
        <v>1256</v>
      </c>
      <c r="B1261" t="s">
        <v>1316</v>
      </c>
      <c r="C1261" s="2">
        <v>0.36666666666666664</v>
      </c>
      <c r="D1261" s="4">
        <f t="shared" si="117"/>
        <v>0.11874999999999997</v>
      </c>
      <c r="E1261" s="6">
        <v>0.24791666666666667</v>
      </c>
      <c r="F1261" s="5">
        <f t="shared" si="118"/>
        <v>0.67613636363636376</v>
      </c>
      <c r="G1261" s="5">
        <v>0.72499999999999998</v>
      </c>
      <c r="H1261" s="4">
        <f>54.7/1440</f>
        <v>3.7986111111111116E-2</v>
      </c>
      <c r="I1261" s="5">
        <v>0.111</v>
      </c>
      <c r="J1261" s="11" t="s">
        <v>1292</v>
      </c>
    </row>
    <row r="1262" spans="1:10" ht="13.15" customHeight="1" x14ac:dyDescent="0.25">
      <c r="A1262">
        <f t="shared" si="114"/>
        <v>1257</v>
      </c>
      <c r="B1262" t="s">
        <v>1759</v>
      </c>
      <c r="C1262" s="2">
        <v>0.35208333333333336</v>
      </c>
      <c r="D1262" s="4">
        <f t="shared" si="117"/>
        <v>0.10416666666666669</v>
      </c>
      <c r="E1262" s="6">
        <v>0.24791666666666667</v>
      </c>
      <c r="F1262" s="5">
        <f t="shared" si="118"/>
        <v>0.70414201183431946</v>
      </c>
      <c r="G1262" s="5">
        <v>0.74199999999999999</v>
      </c>
      <c r="H1262" s="4">
        <f>50.1/1440</f>
        <v>3.4791666666666665E-2</v>
      </c>
      <c r="I1262" s="5">
        <v>0.104</v>
      </c>
      <c r="J1262" s="11" t="s">
        <v>1758</v>
      </c>
    </row>
    <row r="1263" spans="1:10" ht="13.15" customHeight="1" x14ac:dyDescent="0.25">
      <c r="A1263">
        <f t="shared" si="114"/>
        <v>1258</v>
      </c>
      <c r="B1263" t="s">
        <v>562</v>
      </c>
      <c r="C1263" s="2">
        <v>0.38472222222222219</v>
      </c>
      <c r="D1263" s="4">
        <f t="shared" si="117"/>
        <v>0.13749999999999996</v>
      </c>
      <c r="E1263" s="6">
        <v>0.24722222222222223</v>
      </c>
      <c r="F1263" s="5">
        <f t="shared" si="118"/>
        <v>0.64259927797833938</v>
      </c>
      <c r="G1263" s="5">
        <v>0.84499999999999997</v>
      </c>
      <c r="H1263" s="4">
        <f>68.4/1440</f>
        <v>4.7500000000000001E-2</v>
      </c>
      <c r="I1263" s="5">
        <v>0.16200000000000001</v>
      </c>
      <c r="J1263" s="11" t="s">
        <v>563</v>
      </c>
    </row>
    <row r="1264" spans="1:10" ht="13.15" customHeight="1" x14ac:dyDescent="0.25">
      <c r="A1264">
        <f t="shared" si="114"/>
        <v>1259</v>
      </c>
      <c r="B1264" t="s">
        <v>439</v>
      </c>
      <c r="C1264" s="2">
        <v>0.38472222222222219</v>
      </c>
      <c r="D1264" s="4">
        <f t="shared" si="117"/>
        <v>0.1381944444444444</v>
      </c>
      <c r="E1264" s="6">
        <v>0.24652777777777779</v>
      </c>
      <c r="F1264" s="5">
        <f t="shared" si="118"/>
        <v>0.64079422382671491</v>
      </c>
      <c r="G1264" s="5">
        <v>0.72299999999999998</v>
      </c>
      <c r="H1264" s="4">
        <f>38.9/1440</f>
        <v>2.7013888888888889E-2</v>
      </c>
      <c r="I1264" s="5">
        <v>7.9000000000000001E-2</v>
      </c>
      <c r="J1264" s="11" t="s">
        <v>440</v>
      </c>
    </row>
    <row r="1265" spans="1:10" ht="13.15" customHeight="1" x14ac:dyDescent="0.25">
      <c r="A1265">
        <f t="shared" si="114"/>
        <v>1260</v>
      </c>
      <c r="B1265" t="s">
        <v>1062</v>
      </c>
      <c r="C1265" s="2">
        <v>0.44513888888888886</v>
      </c>
      <c r="D1265" s="4">
        <f t="shared" si="117"/>
        <v>0.19861111111111107</v>
      </c>
      <c r="E1265" s="6">
        <v>0.24652777777777779</v>
      </c>
      <c r="F1265" s="5">
        <f t="shared" si="118"/>
        <v>0.55382215288611547</v>
      </c>
      <c r="G1265" s="5">
        <v>0.78500000000000003</v>
      </c>
      <c r="H1265" s="4">
        <f>63.2/1440</f>
        <v>4.3888888888888894E-2</v>
      </c>
      <c r="I1265" s="5">
        <v>0.14000000000000001</v>
      </c>
      <c r="J1265" s="11" t="s">
        <v>1050</v>
      </c>
    </row>
    <row r="1266" spans="1:10" ht="13.15" customHeight="1" x14ac:dyDescent="0.25">
      <c r="A1266">
        <f t="shared" si="114"/>
        <v>1261</v>
      </c>
      <c r="B1266" t="s">
        <v>579</v>
      </c>
      <c r="C1266" s="2">
        <v>0.3743055555555555</v>
      </c>
      <c r="D1266" s="4">
        <f t="shared" si="117"/>
        <v>0.12916666666666662</v>
      </c>
      <c r="E1266" s="6">
        <v>0.24513888888888888</v>
      </c>
      <c r="F1266" s="5">
        <f t="shared" si="118"/>
        <v>0.65491651205936929</v>
      </c>
      <c r="G1266" s="5">
        <v>0.85399999999999998</v>
      </c>
      <c r="H1266" s="4">
        <f>66.1/1440</f>
        <v>4.5902777777777772E-2</v>
      </c>
      <c r="I1266" s="5">
        <v>0.159</v>
      </c>
      <c r="J1266" s="11" t="s">
        <v>584</v>
      </c>
    </row>
    <row r="1267" spans="1:10" ht="13.15" customHeight="1" x14ac:dyDescent="0.25">
      <c r="A1267">
        <f t="shared" si="114"/>
        <v>1262</v>
      </c>
      <c r="B1267" t="s">
        <v>49</v>
      </c>
      <c r="C1267" s="2">
        <v>0.35972222222222222</v>
      </c>
      <c r="D1267" s="4">
        <f t="shared" si="117"/>
        <v>0.11527777777777776</v>
      </c>
      <c r="E1267" s="6">
        <v>0.24444444444444446</v>
      </c>
      <c r="F1267" s="5">
        <f t="shared" si="118"/>
        <v>0.67953667953667962</v>
      </c>
      <c r="G1267" s="5">
        <v>0.75700000000000001</v>
      </c>
      <c r="H1267" s="4">
        <f>52.4/1440</f>
        <v>3.6388888888888887E-2</v>
      </c>
      <c r="I1267" s="5">
        <v>0.113</v>
      </c>
      <c r="J1267" s="11" t="s">
        <v>113</v>
      </c>
    </row>
    <row r="1268" spans="1:10" ht="13.15" customHeight="1" x14ac:dyDescent="0.25">
      <c r="A1268">
        <f t="shared" si="114"/>
        <v>1263</v>
      </c>
      <c r="B1268" t="s">
        <v>821</v>
      </c>
      <c r="C1268" s="2">
        <v>0.34027777777777779</v>
      </c>
      <c r="D1268" s="4">
        <f t="shared" si="117"/>
        <v>9.5833333333333354E-2</v>
      </c>
      <c r="E1268" s="6">
        <v>0.24444444444444444</v>
      </c>
      <c r="F1268" s="5">
        <f t="shared" si="118"/>
        <v>0.71836734693877546</v>
      </c>
      <c r="G1268" s="5">
        <v>0.82299999999999995</v>
      </c>
      <c r="H1268" s="4">
        <f>59.1/1440</f>
        <v>4.1041666666666671E-2</v>
      </c>
      <c r="I1268" s="5">
        <v>0.13800000000000001</v>
      </c>
      <c r="J1268" s="11" t="s">
        <v>1126</v>
      </c>
    </row>
    <row r="1269" spans="1:10" ht="13.15" customHeight="1" x14ac:dyDescent="0.25">
      <c r="A1269">
        <f t="shared" si="114"/>
        <v>1264</v>
      </c>
      <c r="B1269" t="s">
        <v>1540</v>
      </c>
      <c r="C1269" s="2">
        <v>0.38958333333333334</v>
      </c>
      <c r="D1269" s="4">
        <f t="shared" si="117"/>
        <v>0.14583333333333334</v>
      </c>
      <c r="E1269" s="6">
        <v>0.24374999999999999</v>
      </c>
      <c r="F1269" s="5">
        <f t="shared" si="118"/>
        <v>0.62566844919786091</v>
      </c>
      <c r="G1269" s="5">
        <v>0.70799999999999996</v>
      </c>
      <c r="H1269" s="4">
        <f>51.2/1440</f>
        <v>3.5555555555555556E-2</v>
      </c>
      <c r="I1269" s="5">
        <v>0.10299999999999999</v>
      </c>
      <c r="J1269" s="11" t="s">
        <v>1544</v>
      </c>
    </row>
    <row r="1270" spans="1:10" ht="13.15" customHeight="1" x14ac:dyDescent="0.25">
      <c r="A1270">
        <f t="shared" si="114"/>
        <v>1265</v>
      </c>
      <c r="B1270" t="s">
        <v>464</v>
      </c>
      <c r="C1270" s="2">
        <v>0.36527777777777781</v>
      </c>
      <c r="D1270" s="4">
        <f t="shared" si="117"/>
        <v>0.12222222222222226</v>
      </c>
      <c r="E1270" s="6">
        <v>0.24305555555555555</v>
      </c>
      <c r="F1270" s="5">
        <f t="shared" si="118"/>
        <v>0.66539923954372615</v>
      </c>
      <c r="G1270" s="5">
        <v>0.88100000000000001</v>
      </c>
      <c r="H1270" s="4">
        <f>59.6/1440</f>
        <v>4.1388888888888892E-2</v>
      </c>
      <c r="I1270" s="5">
        <v>0.15</v>
      </c>
      <c r="J1270" s="11" t="s">
        <v>475</v>
      </c>
    </row>
    <row r="1271" spans="1:10" ht="13.15" customHeight="1" x14ac:dyDescent="0.25">
      <c r="A1271">
        <f t="shared" si="114"/>
        <v>1266</v>
      </c>
      <c r="B1271" t="s">
        <v>1816</v>
      </c>
      <c r="C1271" s="2">
        <v>0.3659722222222222</v>
      </c>
      <c r="D1271" s="4">
        <f t="shared" si="117"/>
        <v>0.12499999999999997</v>
      </c>
      <c r="E1271" s="6">
        <v>0.24097222222222223</v>
      </c>
      <c r="F1271" s="5">
        <f t="shared" si="118"/>
        <v>0.65844402277039848</v>
      </c>
      <c r="G1271" s="5">
        <v>0.66600000000000004</v>
      </c>
      <c r="H1271" s="4">
        <f>51.2/1440</f>
        <v>3.5555555555555556E-2</v>
      </c>
      <c r="I1271" s="5">
        <v>9.8000000000000004E-2</v>
      </c>
      <c r="J1271" s="11" t="s">
        <v>1815</v>
      </c>
    </row>
    <row r="1272" spans="1:10" ht="13.15" customHeight="1" x14ac:dyDescent="0.25">
      <c r="A1272">
        <f t="shared" si="114"/>
        <v>1267</v>
      </c>
      <c r="B1272" t="s">
        <v>1000</v>
      </c>
      <c r="C1272" s="2">
        <v>0.45833333333333331</v>
      </c>
      <c r="D1272" s="4">
        <f t="shared" si="117"/>
        <v>0.21805555555555553</v>
      </c>
      <c r="E1272" s="6">
        <v>0.24027777777777778</v>
      </c>
      <c r="F1272" s="5">
        <f t="shared" si="118"/>
        <v>0.52424242424242429</v>
      </c>
      <c r="G1272" s="5">
        <v>0.79400000000000004</v>
      </c>
      <c r="H1272" s="4">
        <f>58.9/1440</f>
        <v>4.0902777777777774E-2</v>
      </c>
      <c r="I1272" s="5">
        <v>0.13500000000000001</v>
      </c>
      <c r="J1272" s="11" t="s">
        <v>998</v>
      </c>
    </row>
    <row r="1273" spans="1:10" ht="13.15" customHeight="1" x14ac:dyDescent="0.25">
      <c r="A1273">
        <f t="shared" si="114"/>
        <v>1268</v>
      </c>
      <c r="B1273" t="s">
        <v>39</v>
      </c>
      <c r="C1273" s="2">
        <v>0.36874999999999997</v>
      </c>
      <c r="D1273" s="4">
        <f t="shared" si="117"/>
        <v>0.12916666666666662</v>
      </c>
      <c r="E1273" s="6">
        <v>0.23958333333333334</v>
      </c>
      <c r="F1273" s="5">
        <f t="shared" si="118"/>
        <v>0.6497175141242939</v>
      </c>
      <c r="G1273" s="5">
        <v>0.79200000000000004</v>
      </c>
      <c r="H1273" s="4">
        <f>60.1/1440</f>
        <v>4.1736111111111113E-2</v>
      </c>
      <c r="I1273" s="5">
        <v>0.13800000000000001</v>
      </c>
      <c r="J1273" s="11" t="s">
        <v>107</v>
      </c>
    </row>
    <row r="1274" spans="1:10" ht="13.15" customHeight="1" x14ac:dyDescent="0.25">
      <c r="A1274">
        <f t="shared" si="114"/>
        <v>1269</v>
      </c>
      <c r="B1274" t="s">
        <v>1257</v>
      </c>
      <c r="C1274" s="2">
        <v>0.36041666666666666</v>
      </c>
      <c r="D1274" s="4">
        <v>0.12083333333333332</v>
      </c>
      <c r="E1274" s="6">
        <v>0.23958333333333334</v>
      </c>
      <c r="F1274" s="5">
        <v>0.66473988439306364</v>
      </c>
      <c r="G1274" s="5">
        <v>0.875</v>
      </c>
      <c r="H1274" s="4">
        <v>4.3958333333333328E-2</v>
      </c>
      <c r="I1274" s="5">
        <v>0.16</v>
      </c>
      <c r="J1274" s="11" t="s">
        <v>1244</v>
      </c>
    </row>
    <row r="1275" spans="1:10" ht="13.15" customHeight="1" x14ac:dyDescent="0.25">
      <c r="A1275">
        <f t="shared" si="114"/>
        <v>1270</v>
      </c>
      <c r="B1275" t="s">
        <v>821</v>
      </c>
      <c r="C1275" s="2">
        <v>0.3298611111111111</v>
      </c>
      <c r="D1275" s="4">
        <f t="shared" ref="D1275:D1314" si="119">C1275-E1275</f>
        <v>9.0972222222222204E-2</v>
      </c>
      <c r="E1275" s="6">
        <v>0.2388888888888889</v>
      </c>
      <c r="F1275" s="5">
        <f t="shared" ref="F1275:F1295" si="120">E1275/C1275</f>
        <v>0.72421052631578953</v>
      </c>
      <c r="G1275" s="5">
        <v>0.79500000000000004</v>
      </c>
      <c r="H1275" s="4">
        <f>61.8/1440</f>
        <v>4.2916666666666665E-2</v>
      </c>
      <c r="I1275" s="5">
        <v>0.14299999999999999</v>
      </c>
      <c r="J1275" s="11" t="s">
        <v>822</v>
      </c>
    </row>
    <row r="1276" spans="1:10" ht="13.15" customHeight="1" x14ac:dyDescent="0.25">
      <c r="A1276">
        <f t="shared" si="114"/>
        <v>1271</v>
      </c>
      <c r="B1276" t="s">
        <v>1110</v>
      </c>
      <c r="C1276" s="2">
        <v>0.3923611111111111</v>
      </c>
      <c r="D1276" s="4">
        <f t="shared" si="119"/>
        <v>0.15555555555555556</v>
      </c>
      <c r="E1276" s="6">
        <v>0.23680555555555555</v>
      </c>
      <c r="F1276" s="5">
        <f t="shared" si="120"/>
        <v>0.60353982300884956</v>
      </c>
      <c r="G1276" s="5">
        <v>0.83199999999999996</v>
      </c>
      <c r="H1276" s="4">
        <f>53/1440</f>
        <v>3.6805555555555557E-2</v>
      </c>
      <c r="I1276" s="5">
        <v>0.129</v>
      </c>
      <c r="J1276" s="11" t="s">
        <v>1100</v>
      </c>
    </row>
    <row r="1277" spans="1:10" ht="13.15" customHeight="1" x14ac:dyDescent="0.25">
      <c r="A1277">
        <f t="shared" si="114"/>
        <v>1272</v>
      </c>
      <c r="B1277" t="s">
        <v>254</v>
      </c>
      <c r="C1277" s="2">
        <v>0.35416666666666669</v>
      </c>
      <c r="D1277" s="4">
        <f t="shared" si="119"/>
        <v>0.11805555555555555</v>
      </c>
      <c r="E1277" s="6">
        <v>0.23611111111111113</v>
      </c>
      <c r="F1277" s="5">
        <f t="shared" si="120"/>
        <v>0.66666666666666674</v>
      </c>
      <c r="G1277" s="5">
        <v>0.76700000000000002</v>
      </c>
      <c r="H1277" s="4">
        <f>47.6/1440</f>
        <v>3.3055555555555553E-2</v>
      </c>
      <c r="I1277" s="5">
        <v>0.107</v>
      </c>
      <c r="J1277" s="11" t="s">
        <v>255</v>
      </c>
    </row>
    <row r="1278" spans="1:10" ht="13.15" customHeight="1" x14ac:dyDescent="0.25">
      <c r="A1278">
        <f t="shared" si="114"/>
        <v>1273</v>
      </c>
      <c r="B1278" t="s">
        <v>1410</v>
      </c>
      <c r="C1278" s="2">
        <v>0.47986111111111113</v>
      </c>
      <c r="D1278" s="4">
        <f t="shared" si="119"/>
        <v>0.24444444444444446</v>
      </c>
      <c r="E1278" s="6">
        <v>0.23541666666666666</v>
      </c>
      <c r="F1278" s="5">
        <f t="shared" si="120"/>
        <v>0.49059334298118668</v>
      </c>
      <c r="G1278" s="5">
        <v>0.82699999999999996</v>
      </c>
      <c r="H1278" s="4">
        <f>91.9/1440</f>
        <v>6.3819444444444443E-2</v>
      </c>
      <c r="I1278" s="5">
        <v>0.224</v>
      </c>
      <c r="J1278" s="11" t="s">
        <v>1406</v>
      </c>
    </row>
    <row r="1279" spans="1:10" ht="13.15" customHeight="1" x14ac:dyDescent="0.25">
      <c r="A1279">
        <f t="shared" si="114"/>
        <v>1274</v>
      </c>
      <c r="B1279" t="s">
        <v>1817</v>
      </c>
      <c r="C1279" s="2">
        <v>0.35138888888888886</v>
      </c>
      <c r="D1279" s="4">
        <f t="shared" si="119"/>
        <v>0.1159722222222222</v>
      </c>
      <c r="E1279" s="6">
        <v>0.23541666666666666</v>
      </c>
      <c r="F1279" s="5">
        <f t="shared" si="120"/>
        <v>0.66996047430830041</v>
      </c>
      <c r="G1279" s="5">
        <v>0.69899999999999995</v>
      </c>
      <c r="H1279" s="4">
        <f>47.2/1440</f>
        <v>3.2777777777777781E-2</v>
      </c>
      <c r="I1279" s="5">
        <v>9.7000000000000003E-2</v>
      </c>
      <c r="J1279" s="11" t="s">
        <v>1815</v>
      </c>
    </row>
    <row r="1280" spans="1:10" ht="13.15" customHeight="1" x14ac:dyDescent="0.25">
      <c r="A1280">
        <f t="shared" si="114"/>
        <v>1275</v>
      </c>
      <c r="B1280" t="s">
        <v>1547</v>
      </c>
      <c r="C1280" s="2">
        <v>0.3298611111111111</v>
      </c>
      <c r="D1280" s="4">
        <f t="shared" si="119"/>
        <v>9.5138888888888884E-2</v>
      </c>
      <c r="E1280" s="6">
        <v>0.23472222222222222</v>
      </c>
      <c r="F1280" s="5">
        <f t="shared" si="120"/>
        <v>0.71157894736842109</v>
      </c>
      <c r="G1280" s="5">
        <v>0.81399999999999995</v>
      </c>
      <c r="H1280" s="4">
        <f>64.7/1440</f>
        <v>4.4930555555555557E-2</v>
      </c>
      <c r="I1280" s="5">
        <v>0.155</v>
      </c>
      <c r="J1280" s="11" t="s">
        <v>1545</v>
      </c>
    </row>
    <row r="1281" spans="1:10" ht="13.15" customHeight="1" x14ac:dyDescent="0.25">
      <c r="A1281">
        <f t="shared" si="114"/>
        <v>1276</v>
      </c>
      <c r="B1281" t="s">
        <v>358</v>
      </c>
      <c r="C1281" s="2">
        <v>0.37708333333333338</v>
      </c>
      <c r="D1281" s="4">
        <f t="shared" si="119"/>
        <v>0.14236111111111119</v>
      </c>
      <c r="E1281" s="6">
        <v>0.23472222222222219</v>
      </c>
      <c r="F1281" s="5">
        <f t="shared" si="120"/>
        <v>0.62246777163904221</v>
      </c>
      <c r="G1281" s="5">
        <v>0.746</v>
      </c>
      <c r="H1281" s="4">
        <f>86.1/1440</f>
        <v>5.979166666666666E-2</v>
      </c>
      <c r="I1281" s="5">
        <v>0.19</v>
      </c>
      <c r="J1281" s="11" t="s">
        <v>360</v>
      </c>
    </row>
    <row r="1282" spans="1:10" ht="13.15" customHeight="1" x14ac:dyDescent="0.25">
      <c r="A1282">
        <f t="shared" si="114"/>
        <v>1277</v>
      </c>
      <c r="B1282" t="s">
        <v>1053</v>
      </c>
      <c r="C1282" s="2">
        <v>0.41388888888888886</v>
      </c>
      <c r="D1282" s="4">
        <f t="shared" si="119"/>
        <v>0.18055555555555552</v>
      </c>
      <c r="E1282" s="6">
        <v>0.23333333333333334</v>
      </c>
      <c r="F1282" s="5">
        <f t="shared" si="120"/>
        <v>0.56375838926174504</v>
      </c>
      <c r="G1282" s="5">
        <v>0.79200000000000004</v>
      </c>
      <c r="H1282" s="4">
        <f>54.1/1440</f>
        <v>3.7569444444444447E-2</v>
      </c>
      <c r="I1282" s="5">
        <v>0.127</v>
      </c>
      <c r="J1282" s="11" t="s">
        <v>1049</v>
      </c>
    </row>
    <row r="1283" spans="1:10" ht="13.15" customHeight="1" x14ac:dyDescent="0.25">
      <c r="A1283">
        <f t="shared" si="114"/>
        <v>1278</v>
      </c>
      <c r="B1283" t="s">
        <v>1644</v>
      </c>
      <c r="C1283" s="2">
        <v>0.34583333333333333</v>
      </c>
      <c r="D1283" s="4">
        <f t="shared" si="119"/>
        <v>0.11319444444444443</v>
      </c>
      <c r="E1283" s="6">
        <v>0.2326388888888889</v>
      </c>
      <c r="F1283" s="5">
        <f t="shared" si="120"/>
        <v>0.67269076305220887</v>
      </c>
      <c r="G1283" s="5">
        <v>0.93799999999999994</v>
      </c>
      <c r="H1283" s="4">
        <f>90.9/1440</f>
        <v>6.3125000000000001E-2</v>
      </c>
      <c r="I1283" s="5">
        <v>0.254</v>
      </c>
      <c r="J1283" s="11" t="s">
        <v>1648</v>
      </c>
    </row>
    <row r="1284" spans="1:10" ht="13.15" customHeight="1" x14ac:dyDescent="0.25">
      <c r="A1284">
        <f t="shared" si="114"/>
        <v>1279</v>
      </c>
      <c r="B1284" t="s">
        <v>989</v>
      </c>
      <c r="C1284" s="2">
        <v>0.32847222222222222</v>
      </c>
      <c r="D1284" s="4">
        <f t="shared" si="119"/>
        <v>9.8611111111111122E-2</v>
      </c>
      <c r="E1284" s="6">
        <v>0.2298611111111111</v>
      </c>
      <c r="F1284" s="5">
        <f t="shared" si="120"/>
        <v>0.69978858350951367</v>
      </c>
      <c r="G1284" s="5">
        <v>0.83099999999999996</v>
      </c>
      <c r="H1284" s="4">
        <f>44.9/1440</f>
        <v>3.1180555555555555E-2</v>
      </c>
      <c r="I1284" s="5">
        <v>0.113</v>
      </c>
      <c r="J1284" s="11" t="s">
        <v>985</v>
      </c>
    </row>
    <row r="1285" spans="1:10" ht="13.15" customHeight="1" x14ac:dyDescent="0.25">
      <c r="A1285">
        <f t="shared" si="114"/>
        <v>1280</v>
      </c>
      <c r="B1285" t="s">
        <v>720</v>
      </c>
      <c r="C1285" s="2">
        <v>0.3923611111111111</v>
      </c>
      <c r="D1285" s="4">
        <f t="shared" si="119"/>
        <v>0.16597222222222222</v>
      </c>
      <c r="E1285" s="6">
        <v>0.22638888888888889</v>
      </c>
      <c r="F1285" s="5">
        <f t="shared" si="120"/>
        <v>0.57699115044247784</v>
      </c>
      <c r="G1285" s="5">
        <v>0.79600000000000004</v>
      </c>
      <c r="H1285" s="4">
        <f>61.6/1440</f>
        <v>4.2777777777777776E-2</v>
      </c>
      <c r="I1285" s="5">
        <v>0.15</v>
      </c>
      <c r="J1285" s="11" t="s">
        <v>714</v>
      </c>
    </row>
    <row r="1286" spans="1:10" ht="13.15" customHeight="1" x14ac:dyDescent="0.25">
      <c r="A1286">
        <f t="shared" si="114"/>
        <v>1281</v>
      </c>
      <c r="B1286" t="s">
        <v>722</v>
      </c>
      <c r="C1286" s="2">
        <v>0.39374999999999999</v>
      </c>
      <c r="D1286" s="4">
        <f t="shared" si="119"/>
        <v>0.16944444444444443</v>
      </c>
      <c r="E1286" s="6">
        <v>0.22430555555555556</v>
      </c>
      <c r="F1286" s="5">
        <f t="shared" si="120"/>
        <v>0.56966490299823636</v>
      </c>
      <c r="G1286" s="5">
        <v>0.79400000000000004</v>
      </c>
      <c r="H1286" s="4">
        <f>63.6/1440</f>
        <v>4.4166666666666667E-2</v>
      </c>
      <c r="I1286" s="5">
        <v>0.156</v>
      </c>
      <c r="J1286" s="11" t="s">
        <v>714</v>
      </c>
    </row>
    <row r="1287" spans="1:10" ht="13.15" customHeight="1" x14ac:dyDescent="0.25">
      <c r="A1287">
        <f t="shared" si="114"/>
        <v>1282</v>
      </c>
      <c r="B1287" t="s">
        <v>745</v>
      </c>
      <c r="C1287" s="2">
        <v>0.33263888888888887</v>
      </c>
      <c r="D1287" s="4">
        <f t="shared" si="119"/>
        <v>0.10833333333333331</v>
      </c>
      <c r="E1287" s="6">
        <v>0.22430555555555556</v>
      </c>
      <c r="F1287" s="5">
        <f t="shared" si="120"/>
        <v>0.67432150313152406</v>
      </c>
      <c r="G1287" s="5">
        <v>0.83499999999999996</v>
      </c>
      <c r="H1287" s="4">
        <f>51.4/1440</f>
        <v>3.5694444444444445E-2</v>
      </c>
      <c r="I1287" s="5">
        <v>0.13300000000000001</v>
      </c>
      <c r="J1287" s="11" t="s">
        <v>749</v>
      </c>
    </row>
    <row r="1288" spans="1:10" ht="13.15" customHeight="1" x14ac:dyDescent="0.25">
      <c r="A1288">
        <f t="shared" si="114"/>
        <v>1283</v>
      </c>
      <c r="B1288" t="s">
        <v>1222</v>
      </c>
      <c r="C1288" s="2">
        <v>0.2986111111111111</v>
      </c>
      <c r="D1288" s="4">
        <f t="shared" si="119"/>
        <v>7.4999999999999983E-2</v>
      </c>
      <c r="E1288" s="6">
        <v>0.22361111111111112</v>
      </c>
      <c r="F1288" s="5">
        <f t="shared" si="120"/>
        <v>0.74883720930232567</v>
      </c>
      <c r="G1288" s="5">
        <v>0.83399999999999996</v>
      </c>
      <c r="H1288" s="4">
        <f>49.8/1440</f>
        <v>3.4583333333333334E-2</v>
      </c>
      <c r="I1288" s="5">
        <v>0.129</v>
      </c>
      <c r="J1288" s="11" t="s">
        <v>1219</v>
      </c>
    </row>
    <row r="1289" spans="1:10" ht="13.15" customHeight="1" x14ac:dyDescent="0.25">
      <c r="A1289">
        <f t="shared" si="114"/>
        <v>1284</v>
      </c>
      <c r="B1289" t="s">
        <v>1542</v>
      </c>
      <c r="C1289" s="2">
        <v>0.37777777777777777</v>
      </c>
      <c r="D1289" s="4">
        <f t="shared" si="119"/>
        <v>0.15555555555555556</v>
      </c>
      <c r="E1289" s="6">
        <v>0.22222222222222221</v>
      </c>
      <c r="F1289" s="5">
        <f t="shared" si="120"/>
        <v>0.58823529411764708</v>
      </c>
      <c r="G1289" s="5">
        <v>0.74099999999999999</v>
      </c>
      <c r="H1289" s="4">
        <f>53.4/1440</f>
        <v>3.7083333333333329E-2</v>
      </c>
      <c r="I1289" s="5">
        <v>0.123</v>
      </c>
      <c r="J1289" s="11" t="s">
        <v>1544</v>
      </c>
    </row>
    <row r="1290" spans="1:10" ht="13.15" customHeight="1" x14ac:dyDescent="0.25">
      <c r="A1290">
        <f t="shared" si="114"/>
        <v>1285</v>
      </c>
      <c r="B1290" t="s">
        <v>747</v>
      </c>
      <c r="C1290" s="2">
        <v>0.31180555555555556</v>
      </c>
      <c r="D1290" s="4">
        <f t="shared" si="119"/>
        <v>9.4444444444444442E-2</v>
      </c>
      <c r="E1290" s="6">
        <v>0.21736111111111112</v>
      </c>
      <c r="F1290" s="5">
        <f t="shared" si="120"/>
        <v>0.69710467706013368</v>
      </c>
      <c r="G1290" s="5">
        <v>0.8</v>
      </c>
      <c r="H1290" s="4">
        <f>88.2/1440</f>
        <v>6.1249999999999999E-2</v>
      </c>
      <c r="I1290" s="5">
        <v>0.22500000000000001</v>
      </c>
      <c r="J1290" s="11" t="s">
        <v>749</v>
      </c>
    </row>
    <row r="1291" spans="1:10" ht="13.15" customHeight="1" x14ac:dyDescent="0.25">
      <c r="A1291">
        <f t="shared" si="114"/>
        <v>1286</v>
      </c>
      <c r="B1291" t="s">
        <v>1238</v>
      </c>
      <c r="C1291" s="2">
        <v>0.3347222222222222</v>
      </c>
      <c r="D1291" s="4">
        <f t="shared" si="119"/>
        <v>0.12152777777777776</v>
      </c>
      <c r="E1291" s="6">
        <v>0.21319444444444444</v>
      </c>
      <c r="F1291" s="5">
        <f t="shared" si="120"/>
        <v>0.63692946058091293</v>
      </c>
      <c r="G1291" s="5">
        <v>0.85299999999999998</v>
      </c>
      <c r="H1291" s="4">
        <f>46.8/1440</f>
        <v>3.2500000000000001E-2</v>
      </c>
      <c r="I1291" s="5">
        <v>0.13</v>
      </c>
      <c r="J1291" s="11" t="s">
        <v>1237</v>
      </c>
    </row>
    <row r="1292" spans="1:10" ht="13.15" customHeight="1" x14ac:dyDescent="0.25">
      <c r="A1292">
        <f t="shared" si="114"/>
        <v>1287</v>
      </c>
      <c r="B1292" t="s">
        <v>723</v>
      </c>
      <c r="C1292" s="2">
        <v>0.38472222222222224</v>
      </c>
      <c r="D1292" s="4">
        <f t="shared" si="119"/>
        <v>0.17291666666666669</v>
      </c>
      <c r="E1292" s="6">
        <v>0.21180555555555555</v>
      </c>
      <c r="F1292" s="5">
        <f t="shared" si="120"/>
        <v>0.55054151624548731</v>
      </c>
      <c r="G1292" s="5">
        <v>0.80700000000000005</v>
      </c>
      <c r="H1292" s="4">
        <f>63.2/1440</f>
        <v>4.3888888888888894E-2</v>
      </c>
      <c r="I1292" s="5">
        <v>0.16700000000000001</v>
      </c>
      <c r="J1292" s="11" t="s">
        <v>714</v>
      </c>
    </row>
    <row r="1293" spans="1:10" ht="13.15" customHeight="1" x14ac:dyDescent="0.25">
      <c r="A1293">
        <f t="shared" si="114"/>
        <v>1288</v>
      </c>
      <c r="B1293" t="s">
        <v>592</v>
      </c>
      <c r="C1293" s="2">
        <v>0.34375</v>
      </c>
      <c r="D1293" s="4">
        <f t="shared" si="119"/>
        <v>0.13541666666666666</v>
      </c>
      <c r="E1293" s="6">
        <v>0.20833333333333334</v>
      </c>
      <c r="F1293" s="5">
        <f t="shared" si="120"/>
        <v>0.60606060606060608</v>
      </c>
      <c r="G1293" s="5">
        <v>0.73899999999999999</v>
      </c>
      <c r="H1293" s="4">
        <f>47.4/1440</f>
        <v>3.2916666666666664E-2</v>
      </c>
      <c r="I1293" s="5">
        <v>0.11700000000000001</v>
      </c>
      <c r="J1293" s="11" t="s">
        <v>595</v>
      </c>
    </row>
    <row r="1294" spans="1:10" ht="13.15" customHeight="1" x14ac:dyDescent="0.25">
      <c r="A1294">
        <f t="shared" si="114"/>
        <v>1289</v>
      </c>
      <c r="B1294" t="s">
        <v>159</v>
      </c>
      <c r="C1294" s="2">
        <v>0.27847222222222223</v>
      </c>
      <c r="D1294" s="4">
        <f t="shared" si="119"/>
        <v>7.4305555555555541E-2</v>
      </c>
      <c r="E1294" s="6">
        <v>0.20416666666666669</v>
      </c>
      <c r="F1294" s="5">
        <f t="shared" si="120"/>
        <v>0.73316708229426442</v>
      </c>
      <c r="G1294" s="5">
        <v>0.77300000000000002</v>
      </c>
      <c r="H1294" s="4">
        <f>66.6/1440</f>
        <v>4.6249999999999999E-2</v>
      </c>
      <c r="I1294" s="5">
        <v>0.17499999999999999</v>
      </c>
      <c r="J1294" s="11" t="s">
        <v>160</v>
      </c>
    </row>
    <row r="1295" spans="1:10" ht="13.15" customHeight="1" x14ac:dyDescent="0.25">
      <c r="A1295">
        <f t="shared" si="114"/>
        <v>1290</v>
      </c>
      <c r="B1295" t="s">
        <v>40</v>
      </c>
      <c r="C1295" s="2">
        <v>0.30555555555555552</v>
      </c>
      <c r="D1295" s="4">
        <f t="shared" si="119"/>
        <v>0.10347222222222222</v>
      </c>
      <c r="E1295" s="6">
        <v>0.20208333333333331</v>
      </c>
      <c r="F1295" s="5">
        <f t="shared" si="120"/>
        <v>0.66136363636363638</v>
      </c>
      <c r="G1295" s="5">
        <v>0.63900000000000001</v>
      </c>
      <c r="H1295" s="4">
        <f>58.4/1440</f>
        <v>4.0555555555555553E-2</v>
      </c>
      <c r="I1295" s="5">
        <v>0.128</v>
      </c>
      <c r="J1295" s="11" t="s">
        <v>108</v>
      </c>
    </row>
    <row r="1296" spans="1:10" ht="13.15" customHeight="1" x14ac:dyDescent="0.25">
      <c r="A1296">
        <f t="shared" si="114"/>
        <v>1291</v>
      </c>
      <c r="B1296" t="s">
        <v>1820</v>
      </c>
      <c r="C1296" s="2">
        <v>0.40277777777777779</v>
      </c>
      <c r="D1296" s="4">
        <f t="shared" si="119"/>
        <v>9.722222222222221E-2</v>
      </c>
      <c r="E1296" s="6">
        <v>0.30555555555555558</v>
      </c>
      <c r="F1296" s="5">
        <f t="shared" ref="F1296:F1314" si="121">E1296/C1296</f>
        <v>0.75862068965517249</v>
      </c>
      <c r="G1296" s="5">
        <v>1</v>
      </c>
      <c r="H1296" s="4">
        <f>62.8/1440</f>
        <v>4.3611111111111107E-2</v>
      </c>
      <c r="I1296" s="5">
        <v>0.14199999999999999</v>
      </c>
      <c r="J1296" s="11" t="s">
        <v>1829</v>
      </c>
    </row>
    <row r="1297" spans="1:10" ht="13.15" customHeight="1" x14ac:dyDescent="0.25">
      <c r="A1297">
        <f t="shared" si="114"/>
        <v>1292</v>
      </c>
      <c r="B1297" t="s">
        <v>1821</v>
      </c>
      <c r="C1297" s="2">
        <v>0.3840277777777778</v>
      </c>
      <c r="D1297" s="4">
        <f t="shared" si="119"/>
        <v>9.9305555555555591E-2</v>
      </c>
      <c r="E1297" s="6">
        <v>0.28472222222222221</v>
      </c>
      <c r="F1297" s="5">
        <f t="shared" si="121"/>
        <v>0.74141048824593125</v>
      </c>
      <c r="G1297" s="5">
        <v>1</v>
      </c>
      <c r="H1297" s="4">
        <f>80.2/1440</f>
        <v>5.5694444444444449E-2</v>
      </c>
      <c r="I1297" s="5">
        <v>0.19600000000000001</v>
      </c>
      <c r="J1297" s="11" t="s">
        <v>1829</v>
      </c>
    </row>
    <row r="1298" spans="1:10" ht="13.15" customHeight="1" x14ac:dyDescent="0.25">
      <c r="A1298">
        <f t="shared" si="114"/>
        <v>1293</v>
      </c>
      <c r="B1298" t="s">
        <v>1822</v>
      </c>
      <c r="C1298" s="2">
        <v>0.38819444444444445</v>
      </c>
      <c r="D1298" s="4">
        <f t="shared" si="119"/>
        <v>0.10000000000000003</v>
      </c>
      <c r="E1298" s="6">
        <v>0.28819444444444442</v>
      </c>
      <c r="F1298" s="5">
        <f t="shared" si="121"/>
        <v>0.74239713774597482</v>
      </c>
      <c r="G1298" s="5">
        <v>1</v>
      </c>
      <c r="H1298" s="4">
        <f>65.3/1440</f>
        <v>4.5347222222222219E-2</v>
      </c>
      <c r="I1298" s="5">
        <v>0.157</v>
      </c>
      <c r="J1298" s="11" t="s">
        <v>1829</v>
      </c>
    </row>
    <row r="1299" spans="1:10" ht="13.15" customHeight="1" x14ac:dyDescent="0.25">
      <c r="A1299">
        <f t="shared" si="114"/>
        <v>1294</v>
      </c>
      <c r="B1299" t="s">
        <v>1823</v>
      </c>
      <c r="C1299" s="2">
        <v>0.42083333333333334</v>
      </c>
      <c r="D1299" s="4">
        <f t="shared" si="119"/>
        <v>0.10208333333333336</v>
      </c>
      <c r="E1299" s="6">
        <v>0.31874999999999998</v>
      </c>
      <c r="F1299" s="5">
        <f t="shared" si="121"/>
        <v>0.75742574257425732</v>
      </c>
      <c r="G1299" s="5">
        <v>1</v>
      </c>
      <c r="H1299" s="4">
        <f>59.5/1440</f>
        <v>4.1319444444444443E-2</v>
      </c>
      <c r="I1299" s="5">
        <v>0.129</v>
      </c>
      <c r="J1299" s="11" t="s">
        <v>1829</v>
      </c>
    </row>
    <row r="1300" spans="1:10" ht="13.15" customHeight="1" x14ac:dyDescent="0.25">
      <c r="A1300">
        <f t="shared" ref="A1300:A1363" si="122">A1299+1</f>
        <v>1295</v>
      </c>
      <c r="B1300" t="s">
        <v>1824</v>
      </c>
      <c r="C1300" s="2">
        <v>0.41666666666666669</v>
      </c>
      <c r="D1300" s="4">
        <f t="shared" si="119"/>
        <v>0.10347222222222224</v>
      </c>
      <c r="E1300" s="6">
        <v>0.31319444444444444</v>
      </c>
      <c r="F1300" s="5">
        <f t="shared" si="121"/>
        <v>0.75166666666666659</v>
      </c>
      <c r="G1300" s="5">
        <v>1</v>
      </c>
      <c r="H1300" s="4">
        <f>64.4/1440</f>
        <v>4.4722222222222226E-2</v>
      </c>
      <c r="I1300" s="5">
        <v>0.14299999999999999</v>
      </c>
      <c r="J1300" s="11" t="s">
        <v>1830</v>
      </c>
    </row>
    <row r="1301" spans="1:10" ht="13.15" customHeight="1" x14ac:dyDescent="0.25">
      <c r="A1301">
        <f t="shared" si="122"/>
        <v>1296</v>
      </c>
      <c r="B1301" t="s">
        <v>1825</v>
      </c>
      <c r="C1301" s="2">
        <v>0.37569444444444444</v>
      </c>
      <c r="D1301" s="4">
        <f t="shared" si="119"/>
        <v>0.10069444444444442</v>
      </c>
      <c r="E1301" s="6">
        <v>0.27500000000000002</v>
      </c>
      <c r="F1301" s="5">
        <f t="shared" si="121"/>
        <v>0.73197781885397417</v>
      </c>
      <c r="G1301" s="5">
        <v>1</v>
      </c>
      <c r="H1301" s="4">
        <f>61.9/1440</f>
        <v>4.2986111111111107E-2</v>
      </c>
      <c r="I1301" s="5">
        <v>0.156</v>
      </c>
      <c r="J1301" s="11" t="s">
        <v>1830</v>
      </c>
    </row>
    <row r="1302" spans="1:10" ht="13.15" customHeight="1" x14ac:dyDescent="0.25">
      <c r="A1302">
        <f t="shared" si="122"/>
        <v>1297</v>
      </c>
      <c r="B1302" t="s">
        <v>1826</v>
      </c>
      <c r="C1302" s="2">
        <v>0.41458333333333336</v>
      </c>
      <c r="D1302" s="4">
        <f t="shared" si="119"/>
        <v>0.1027777777777778</v>
      </c>
      <c r="E1302" s="6">
        <v>0.31180555555555556</v>
      </c>
      <c r="F1302" s="5">
        <f t="shared" si="121"/>
        <v>0.75209380234505863</v>
      </c>
      <c r="G1302" s="5">
        <v>1</v>
      </c>
      <c r="H1302" s="4">
        <f>70/1440</f>
        <v>4.8611111111111112E-2</v>
      </c>
      <c r="I1302" s="5">
        <v>0.156</v>
      </c>
      <c r="J1302" s="11" t="s">
        <v>1830</v>
      </c>
    </row>
    <row r="1303" spans="1:10" ht="13.15" customHeight="1" x14ac:dyDescent="0.25">
      <c r="A1303">
        <f t="shared" si="122"/>
        <v>1298</v>
      </c>
      <c r="B1303" t="s">
        <v>1827</v>
      </c>
      <c r="C1303" s="2">
        <v>0.43125000000000002</v>
      </c>
      <c r="D1303" s="4">
        <f t="shared" si="119"/>
        <v>0.10694444444444445</v>
      </c>
      <c r="E1303" s="6">
        <v>0.32430555555555557</v>
      </c>
      <c r="F1303" s="5">
        <f t="shared" si="121"/>
        <v>0.75201288244766507</v>
      </c>
      <c r="G1303" s="5">
        <v>1</v>
      </c>
      <c r="H1303" s="4">
        <f>72.8/1440</f>
        <v>5.0555555555555555E-2</v>
      </c>
      <c r="I1303" s="5">
        <v>0.156</v>
      </c>
      <c r="J1303" s="11" t="s">
        <v>1830</v>
      </c>
    </row>
    <row r="1304" spans="1:10" ht="13.15" customHeight="1" x14ac:dyDescent="0.25">
      <c r="A1304">
        <f t="shared" si="122"/>
        <v>1299</v>
      </c>
      <c r="B1304" t="s">
        <v>1828</v>
      </c>
      <c r="C1304" s="2">
        <v>0.41597222222222224</v>
      </c>
      <c r="D1304" s="4">
        <f t="shared" si="119"/>
        <v>0.1027777777777778</v>
      </c>
      <c r="E1304" s="6">
        <v>0.31319444444444444</v>
      </c>
      <c r="F1304" s="5">
        <f t="shared" si="121"/>
        <v>0.75292153589315525</v>
      </c>
      <c r="G1304" s="5">
        <v>1</v>
      </c>
      <c r="H1304" s="4">
        <f>73.1/1440</f>
        <v>5.0763888888888886E-2</v>
      </c>
      <c r="I1304" s="5">
        <v>0.16200000000000001</v>
      </c>
      <c r="J1304" s="11" t="s">
        <v>1830</v>
      </c>
    </row>
    <row r="1305" spans="1:10" ht="13.15" customHeight="1" x14ac:dyDescent="0.25">
      <c r="A1305">
        <f t="shared" si="122"/>
        <v>1300</v>
      </c>
      <c r="B1305" t="s">
        <v>1833</v>
      </c>
      <c r="C1305" s="2">
        <v>0.46527777777777779</v>
      </c>
      <c r="D1305" s="4">
        <f t="shared" si="119"/>
        <v>0.10972222222222222</v>
      </c>
      <c r="E1305" s="6">
        <v>0.35555555555555557</v>
      </c>
      <c r="F1305" s="5">
        <f t="shared" si="121"/>
        <v>0.76417910447761195</v>
      </c>
      <c r="G1305" s="5">
        <v>0.81899999999999995</v>
      </c>
      <c r="H1305" s="4">
        <f>66.7/1440</f>
        <v>4.6319444444444448E-2</v>
      </c>
      <c r="I1305" s="5">
        <v>0.107</v>
      </c>
      <c r="J1305" s="11" t="s">
        <v>1831</v>
      </c>
    </row>
    <row r="1306" spans="1:10" ht="13.15" customHeight="1" x14ac:dyDescent="0.25">
      <c r="A1306">
        <f t="shared" si="122"/>
        <v>1301</v>
      </c>
      <c r="B1306" t="s">
        <v>1834</v>
      </c>
      <c r="C1306" s="2">
        <v>0.45277777777777778</v>
      </c>
      <c r="D1306" s="4">
        <f t="shared" si="119"/>
        <v>0.11666666666666664</v>
      </c>
      <c r="E1306" s="6">
        <v>0.33611111111111114</v>
      </c>
      <c r="F1306" s="5">
        <f t="shared" si="121"/>
        <v>0.74233128834355833</v>
      </c>
      <c r="G1306" s="5">
        <v>0.871</v>
      </c>
      <c r="H1306" s="4">
        <f>69.9/1440</f>
        <v>4.854166666666667E-2</v>
      </c>
      <c r="I1306" s="5">
        <v>0.126</v>
      </c>
      <c r="J1306" s="11" t="s">
        <v>1831</v>
      </c>
    </row>
    <row r="1307" spans="1:10" ht="13.15" customHeight="1" x14ac:dyDescent="0.25">
      <c r="A1307">
        <f t="shared" si="122"/>
        <v>1302</v>
      </c>
      <c r="B1307" t="s">
        <v>1835</v>
      </c>
      <c r="C1307" s="2">
        <v>0.48819444444444443</v>
      </c>
      <c r="D1307" s="4">
        <f t="shared" si="119"/>
        <v>0.11666666666666664</v>
      </c>
      <c r="E1307" s="6">
        <v>0.37152777777777779</v>
      </c>
      <c r="F1307" s="5">
        <f t="shared" si="121"/>
        <v>0.76102418207681366</v>
      </c>
      <c r="G1307" s="5">
        <v>0.81399999999999995</v>
      </c>
      <c r="H1307" s="4">
        <f>76/1440</f>
        <v>5.2777777777777778E-2</v>
      </c>
      <c r="I1307" s="5">
        <v>0.115</v>
      </c>
      <c r="J1307" s="11" t="s">
        <v>1831</v>
      </c>
    </row>
    <row r="1308" spans="1:10" ht="13.15" customHeight="1" x14ac:dyDescent="0.25">
      <c r="A1308">
        <f t="shared" si="122"/>
        <v>1303</v>
      </c>
      <c r="B1308" t="s">
        <v>1836</v>
      </c>
      <c r="C1308" s="2">
        <v>0.4861111111111111</v>
      </c>
      <c r="D1308" s="4">
        <f t="shared" si="119"/>
        <v>0.11041666666666666</v>
      </c>
      <c r="E1308" s="6">
        <v>0.37569444444444444</v>
      </c>
      <c r="F1308" s="5">
        <f t="shared" si="121"/>
        <v>0.77285714285714291</v>
      </c>
      <c r="G1308" s="5">
        <v>0.72499999999999998</v>
      </c>
      <c r="H1308" s="4">
        <f>61.7/1440</f>
        <v>4.2847222222222224E-2</v>
      </c>
      <c r="I1308" s="5">
        <v>8.3000000000000004E-2</v>
      </c>
      <c r="J1308" s="11" t="s">
        <v>1831</v>
      </c>
    </row>
    <row r="1309" spans="1:10" ht="13.15" customHeight="1" x14ac:dyDescent="0.25">
      <c r="A1309">
        <f t="shared" si="122"/>
        <v>1304</v>
      </c>
      <c r="B1309" t="s">
        <v>1837</v>
      </c>
      <c r="C1309" s="2">
        <v>0.44374999999999998</v>
      </c>
      <c r="D1309" s="4">
        <f t="shared" si="119"/>
        <v>9.722222222222221E-2</v>
      </c>
      <c r="E1309" s="6">
        <v>0.34652777777777777</v>
      </c>
      <c r="F1309" s="5">
        <f t="shared" si="121"/>
        <v>0.78090766823161195</v>
      </c>
      <c r="G1309" s="5">
        <v>0.752</v>
      </c>
      <c r="H1309" s="4">
        <f>62.3/1440</f>
        <v>4.3263888888888886E-2</v>
      </c>
      <c r="I1309" s="5">
        <v>9.4E-2</v>
      </c>
      <c r="J1309" s="11" t="s">
        <v>1831</v>
      </c>
    </row>
    <row r="1310" spans="1:10" ht="13.15" customHeight="1" x14ac:dyDescent="0.25">
      <c r="A1310">
        <f t="shared" si="122"/>
        <v>1305</v>
      </c>
      <c r="B1310" t="s">
        <v>1838</v>
      </c>
      <c r="C1310" s="2">
        <v>0.4465277777777778</v>
      </c>
      <c r="D1310" s="4">
        <f t="shared" si="119"/>
        <v>9.5833333333333381E-2</v>
      </c>
      <c r="E1310" s="6">
        <v>0.35069444444444442</v>
      </c>
      <c r="F1310" s="5">
        <f t="shared" si="121"/>
        <v>0.78538102643856911</v>
      </c>
      <c r="G1310" s="5">
        <v>0.84299999999999997</v>
      </c>
      <c r="H1310" s="4">
        <f>64/1440</f>
        <v>4.4444444444444446E-2</v>
      </c>
      <c r="I1310" s="5">
        <v>0.107</v>
      </c>
      <c r="J1310" s="11" t="s">
        <v>1832</v>
      </c>
    </row>
    <row r="1311" spans="1:10" ht="13.15" customHeight="1" x14ac:dyDescent="0.25">
      <c r="A1311">
        <f t="shared" si="122"/>
        <v>1306</v>
      </c>
      <c r="B1311" t="s">
        <v>1839</v>
      </c>
      <c r="C1311" s="2">
        <v>0.52361111111111114</v>
      </c>
      <c r="D1311" s="4">
        <f t="shared" si="119"/>
        <v>0.13819444444444445</v>
      </c>
      <c r="E1311" s="6">
        <v>0.38541666666666669</v>
      </c>
      <c r="F1311" s="5">
        <f t="shared" si="121"/>
        <v>0.73607427055702912</v>
      </c>
      <c r="G1311" s="5">
        <v>0.86099999999999999</v>
      </c>
      <c r="H1311" s="4">
        <f>56.6/1440</f>
        <v>3.9305555555555559E-2</v>
      </c>
      <c r="I1311" s="5">
        <v>8.7999999999999995E-2</v>
      </c>
      <c r="J1311" s="11" t="s">
        <v>1832</v>
      </c>
    </row>
    <row r="1312" spans="1:10" ht="13.15" customHeight="1" x14ac:dyDescent="0.25">
      <c r="A1312">
        <f t="shared" si="122"/>
        <v>1307</v>
      </c>
      <c r="B1312" t="s">
        <v>1840</v>
      </c>
      <c r="C1312" s="2">
        <v>0.51944444444444449</v>
      </c>
      <c r="D1312" s="4">
        <f t="shared" si="119"/>
        <v>0.1166666666666667</v>
      </c>
      <c r="E1312" s="6">
        <v>0.40277777777777779</v>
      </c>
      <c r="F1312" s="5">
        <f t="shared" si="121"/>
        <v>0.77540106951871657</v>
      </c>
      <c r="G1312" s="5">
        <v>0.91100000000000003</v>
      </c>
      <c r="H1312" s="4">
        <f>62.3/1440</f>
        <v>4.3263888888888886E-2</v>
      </c>
      <c r="I1312" s="5">
        <v>9.8000000000000004E-2</v>
      </c>
      <c r="J1312" s="11" t="s">
        <v>1832</v>
      </c>
    </row>
    <row r="1313" spans="1:10" ht="13.15" customHeight="1" x14ac:dyDescent="0.25">
      <c r="A1313">
        <f t="shared" si="122"/>
        <v>1308</v>
      </c>
      <c r="B1313" t="s">
        <v>1841</v>
      </c>
      <c r="C1313" s="2">
        <v>0.46180555555555558</v>
      </c>
      <c r="D1313" s="4">
        <f t="shared" si="119"/>
        <v>0.12916666666666671</v>
      </c>
      <c r="E1313" s="6">
        <v>0.33263888888888887</v>
      </c>
      <c r="F1313" s="5">
        <f t="shared" si="121"/>
        <v>0.72030075187969922</v>
      </c>
      <c r="G1313" s="5">
        <v>0.83799999999999997</v>
      </c>
      <c r="H1313" s="4">
        <f>67/1440</f>
        <v>4.6527777777777779E-2</v>
      </c>
      <c r="I1313" s="5">
        <v>0.11700000000000001</v>
      </c>
      <c r="J1313" s="11" t="s">
        <v>1832</v>
      </c>
    </row>
    <row r="1314" spans="1:10" ht="13.15" customHeight="1" x14ac:dyDescent="0.25">
      <c r="A1314">
        <f t="shared" si="122"/>
        <v>1309</v>
      </c>
      <c r="B1314" t="s">
        <v>1845</v>
      </c>
      <c r="C1314" s="2">
        <v>0.42291666666666666</v>
      </c>
      <c r="D1314" s="4">
        <f t="shared" si="119"/>
        <v>0.1076388888888889</v>
      </c>
      <c r="E1314" s="6">
        <v>0.31527777777777777</v>
      </c>
      <c r="F1314" s="5">
        <f t="shared" si="121"/>
        <v>0.74548440065681443</v>
      </c>
      <c r="G1314" s="5">
        <v>0.81599999999999995</v>
      </c>
      <c r="H1314" s="4">
        <f>66.7/1440</f>
        <v>4.6319444444444448E-2</v>
      </c>
      <c r="I1314" s="5">
        <v>0.11899999999999999</v>
      </c>
      <c r="J1314" s="11" t="s">
        <v>1843</v>
      </c>
    </row>
    <row r="1315" spans="1:10" ht="13.15" customHeight="1" x14ac:dyDescent="0.25">
      <c r="A1315">
        <f t="shared" si="122"/>
        <v>1310</v>
      </c>
      <c r="B1315" t="s">
        <v>1846</v>
      </c>
      <c r="C1315" s="2">
        <v>0.43333333333333335</v>
      </c>
      <c r="D1315" s="4">
        <f t="shared" ref="D1315:D1322" si="123">C1315-E1315</f>
        <v>0.11041666666666666</v>
      </c>
      <c r="E1315" s="6">
        <v>0.32291666666666669</v>
      </c>
      <c r="F1315" s="5">
        <f t="shared" ref="F1315:F1322" si="124">E1315/C1315</f>
        <v>0.74519230769230771</v>
      </c>
      <c r="G1315" s="5">
        <v>0.84799999999999998</v>
      </c>
      <c r="H1315" s="4">
        <f>68.8/1440</f>
        <v>4.7777777777777773E-2</v>
      </c>
      <c r="I1315" s="5">
        <v>0.125</v>
      </c>
      <c r="J1315" s="11" t="s">
        <v>1843</v>
      </c>
    </row>
    <row r="1316" spans="1:10" ht="13.15" customHeight="1" x14ac:dyDescent="0.25">
      <c r="A1316">
        <f t="shared" si="122"/>
        <v>1311</v>
      </c>
      <c r="B1316" t="s">
        <v>1847</v>
      </c>
      <c r="C1316" s="2">
        <v>0.40694444444444444</v>
      </c>
      <c r="D1316" s="4">
        <f t="shared" si="123"/>
        <v>9.9305555555555536E-2</v>
      </c>
      <c r="E1316" s="6">
        <v>0.30763888888888891</v>
      </c>
      <c r="F1316" s="5">
        <f t="shared" si="124"/>
        <v>0.75597269624573382</v>
      </c>
      <c r="G1316" s="5">
        <v>0.81100000000000005</v>
      </c>
      <c r="H1316" s="4">
        <f>63.8/1440</f>
        <v>4.4305555555555556E-2</v>
      </c>
      <c r="I1316" s="5">
        <v>0.11700000000000001</v>
      </c>
      <c r="J1316" s="11" t="s">
        <v>1843</v>
      </c>
    </row>
    <row r="1317" spans="1:10" ht="13.15" customHeight="1" x14ac:dyDescent="0.25">
      <c r="A1317">
        <f t="shared" si="122"/>
        <v>1312</v>
      </c>
      <c r="B1317" t="s">
        <v>1848</v>
      </c>
      <c r="C1317" s="2">
        <v>0.39166666666666666</v>
      </c>
      <c r="D1317" s="4">
        <f t="shared" si="123"/>
        <v>0.11249999999999999</v>
      </c>
      <c r="E1317" s="6">
        <v>0.27916666666666667</v>
      </c>
      <c r="F1317" s="5">
        <f t="shared" si="124"/>
        <v>0.71276595744680848</v>
      </c>
      <c r="G1317" s="5">
        <v>0.73399999999999999</v>
      </c>
      <c r="H1317" s="4">
        <f>56.4/1440</f>
        <v>3.9166666666666669E-2</v>
      </c>
      <c r="I1317" s="5">
        <v>0.10299999999999999</v>
      </c>
      <c r="J1317" s="11" t="s">
        <v>1843</v>
      </c>
    </row>
    <row r="1318" spans="1:10" ht="13.15" customHeight="1" x14ac:dyDescent="0.25">
      <c r="A1318">
        <f t="shared" si="122"/>
        <v>1313</v>
      </c>
      <c r="B1318" t="s">
        <v>1849</v>
      </c>
      <c r="C1318" s="2">
        <v>0.36736111111111114</v>
      </c>
      <c r="D1318" s="4">
        <f t="shared" si="123"/>
        <v>0.10208333333333336</v>
      </c>
      <c r="E1318" s="6">
        <v>0.26527777777777778</v>
      </c>
      <c r="F1318" s="5">
        <f t="shared" si="124"/>
        <v>0.7221172022684309</v>
      </c>
      <c r="G1318" s="5">
        <v>0.76600000000000001</v>
      </c>
      <c r="H1318" s="4">
        <f>65.3/1440</f>
        <v>4.5347222222222219E-2</v>
      </c>
      <c r="I1318" s="5">
        <v>0.13100000000000001</v>
      </c>
      <c r="J1318" s="11" t="s">
        <v>1843</v>
      </c>
    </row>
    <row r="1319" spans="1:10" ht="13.15" customHeight="1" x14ac:dyDescent="0.25">
      <c r="A1319">
        <f t="shared" si="122"/>
        <v>1314</v>
      </c>
      <c r="B1319" t="s">
        <v>1850</v>
      </c>
      <c r="C1319" s="2">
        <v>0.45208333333333334</v>
      </c>
      <c r="D1319" s="4">
        <f t="shared" si="123"/>
        <v>0.12847222222222221</v>
      </c>
      <c r="E1319" s="6">
        <v>0.32361111111111113</v>
      </c>
      <c r="F1319" s="5">
        <f t="shared" si="124"/>
        <v>0.71582181259600619</v>
      </c>
      <c r="G1319" s="5">
        <v>0.77100000000000002</v>
      </c>
      <c r="H1319" s="4">
        <f>61.2/1440</f>
        <v>4.2500000000000003E-2</v>
      </c>
      <c r="I1319" s="5">
        <v>0.10100000000000001</v>
      </c>
      <c r="J1319" s="11" t="s">
        <v>1844</v>
      </c>
    </row>
    <row r="1320" spans="1:10" ht="13.15" customHeight="1" x14ac:dyDescent="0.25">
      <c r="A1320">
        <f t="shared" si="122"/>
        <v>1315</v>
      </c>
      <c r="B1320" t="s">
        <v>1851</v>
      </c>
      <c r="C1320" s="2">
        <v>0.43333333333333335</v>
      </c>
      <c r="D1320" s="4">
        <f t="shared" si="123"/>
        <v>0.12430555555555556</v>
      </c>
      <c r="E1320" s="6">
        <v>0.30902777777777779</v>
      </c>
      <c r="F1320" s="5">
        <f t="shared" si="124"/>
        <v>0.71314102564102566</v>
      </c>
      <c r="G1320" s="5">
        <v>0.86599999999999999</v>
      </c>
      <c r="H1320" s="4">
        <f>60.8/1440</f>
        <v>4.2222222222222223E-2</v>
      </c>
      <c r="I1320" s="5">
        <v>0.11799999999999999</v>
      </c>
      <c r="J1320" s="11" t="s">
        <v>1844</v>
      </c>
    </row>
    <row r="1321" spans="1:10" ht="13.15" customHeight="1" x14ac:dyDescent="0.25">
      <c r="A1321">
        <f t="shared" si="122"/>
        <v>1316</v>
      </c>
      <c r="B1321" t="s">
        <v>1852</v>
      </c>
      <c r="C1321" s="2">
        <v>0.47499999999999998</v>
      </c>
      <c r="D1321" s="4">
        <f t="shared" si="123"/>
        <v>0.11874999999999997</v>
      </c>
      <c r="E1321" s="6">
        <v>0.35625000000000001</v>
      </c>
      <c r="F1321" s="5">
        <f t="shared" si="124"/>
        <v>0.75000000000000011</v>
      </c>
      <c r="G1321" s="5">
        <v>0.78600000000000003</v>
      </c>
      <c r="H1321" s="4">
        <f>66.8/1440</f>
        <v>4.6388888888888889E-2</v>
      </c>
      <c r="I1321" s="5">
        <v>0.10199999999999999</v>
      </c>
      <c r="J1321" s="11" t="s">
        <v>1844</v>
      </c>
    </row>
    <row r="1322" spans="1:10" ht="13.15" customHeight="1" x14ac:dyDescent="0.25">
      <c r="A1322">
        <f t="shared" si="122"/>
        <v>1317</v>
      </c>
      <c r="B1322" t="s">
        <v>1853</v>
      </c>
      <c r="C1322" s="2">
        <v>0.44861111111111113</v>
      </c>
      <c r="D1322" s="4">
        <f t="shared" si="123"/>
        <v>0.11041666666666666</v>
      </c>
      <c r="E1322" s="6">
        <v>0.33819444444444446</v>
      </c>
      <c r="F1322" s="5">
        <f t="shared" si="124"/>
        <v>0.75386996904024772</v>
      </c>
      <c r="G1322" s="5">
        <v>0.89700000000000002</v>
      </c>
      <c r="H1322" s="4">
        <f>82.4/1440</f>
        <v>5.7222222222222223E-2</v>
      </c>
      <c r="I1322" s="5">
        <v>0.152</v>
      </c>
      <c r="J1322" s="11" t="s">
        <v>1844</v>
      </c>
    </row>
    <row r="1323" spans="1:10" ht="13.15" customHeight="1" x14ac:dyDescent="0.25">
      <c r="A1323">
        <f t="shared" si="122"/>
        <v>1318</v>
      </c>
      <c r="B1323" t="s">
        <v>1854</v>
      </c>
      <c r="C1323" s="2">
        <v>0.41388888888888886</v>
      </c>
      <c r="D1323" s="4">
        <f t="shared" ref="D1323:D1331" si="125">C1323-E1323</f>
        <v>0.12361111111111106</v>
      </c>
      <c r="E1323" s="6">
        <v>0.2902777777777778</v>
      </c>
      <c r="F1323" s="5">
        <f t="shared" ref="F1323:F1331" si="126">E1323/C1323</f>
        <v>0.70134228187919478</v>
      </c>
      <c r="G1323" s="5">
        <v>0.81200000000000006</v>
      </c>
      <c r="H1323" s="4">
        <f>55.8/1440</f>
        <v>3.875E-2</v>
      </c>
      <c r="I1323" s="5">
        <v>0.108</v>
      </c>
      <c r="J1323" s="11" t="s">
        <v>1863</v>
      </c>
    </row>
    <row r="1324" spans="1:10" ht="13.15" customHeight="1" x14ac:dyDescent="0.25">
      <c r="A1324">
        <f t="shared" si="122"/>
        <v>1319</v>
      </c>
      <c r="B1324" t="s">
        <v>1855</v>
      </c>
      <c r="C1324" s="2">
        <v>0.41319444444444442</v>
      </c>
      <c r="D1324" s="4">
        <f t="shared" si="125"/>
        <v>0.11805555555555552</v>
      </c>
      <c r="E1324" s="6">
        <v>0.2951388888888889</v>
      </c>
      <c r="F1324" s="5">
        <f t="shared" si="126"/>
        <v>0.7142857142857143</v>
      </c>
      <c r="G1324" s="5">
        <v>0.84299999999999997</v>
      </c>
      <c r="H1324" s="4">
        <f>53.9/1440</f>
        <v>3.7430555555555557E-2</v>
      </c>
      <c r="I1324" s="5">
        <v>0.107</v>
      </c>
      <c r="J1324" s="11" t="s">
        <v>1863</v>
      </c>
    </row>
    <row r="1325" spans="1:10" ht="13.15" customHeight="1" x14ac:dyDescent="0.25">
      <c r="A1325">
        <f t="shared" si="122"/>
        <v>1320</v>
      </c>
      <c r="B1325" t="s">
        <v>1856</v>
      </c>
      <c r="C1325" s="2">
        <v>0.45624999999999999</v>
      </c>
      <c r="D1325" s="4">
        <f t="shared" si="125"/>
        <v>0.13055555555555554</v>
      </c>
      <c r="E1325" s="6">
        <v>0.32569444444444445</v>
      </c>
      <c r="F1325" s="5">
        <f t="shared" si="126"/>
        <v>0.71385083713850839</v>
      </c>
      <c r="G1325" s="5">
        <v>0.80200000000000005</v>
      </c>
      <c r="H1325" s="4">
        <f>56.8/1440</f>
        <v>3.9444444444444442E-2</v>
      </c>
      <c r="I1325" s="5">
        <v>9.7000000000000003E-2</v>
      </c>
      <c r="J1325" s="11" t="s">
        <v>1863</v>
      </c>
    </row>
    <row r="1326" spans="1:10" ht="13.15" customHeight="1" x14ac:dyDescent="0.25">
      <c r="A1326">
        <f t="shared" si="122"/>
        <v>1321</v>
      </c>
      <c r="B1326" t="s">
        <v>1857</v>
      </c>
      <c r="C1326" s="2">
        <v>0.35833333333333334</v>
      </c>
      <c r="D1326" s="4">
        <f t="shared" si="125"/>
        <v>0.10416666666666669</v>
      </c>
      <c r="E1326" s="6">
        <v>0.25416666666666665</v>
      </c>
      <c r="F1326" s="5">
        <f t="shared" si="126"/>
        <v>0.70930232558139528</v>
      </c>
      <c r="G1326" s="5">
        <v>0.69</v>
      </c>
      <c r="H1326" s="4">
        <f>45.1/1440</f>
        <v>3.1319444444444448E-2</v>
      </c>
      <c r="I1326" s="5">
        <v>8.5000000000000006E-2</v>
      </c>
      <c r="J1326" s="11" t="s">
        <v>1863</v>
      </c>
    </row>
    <row r="1327" spans="1:10" ht="13.15" customHeight="1" x14ac:dyDescent="0.25">
      <c r="A1327">
        <f t="shared" si="122"/>
        <v>1322</v>
      </c>
      <c r="B1327" t="s">
        <v>1858</v>
      </c>
      <c r="C1327" s="2">
        <v>0.43125000000000002</v>
      </c>
      <c r="D1327" s="4">
        <f t="shared" si="125"/>
        <v>0.14722222222222225</v>
      </c>
      <c r="E1327" s="6">
        <v>0.28402777777777777</v>
      </c>
      <c r="F1327" s="5">
        <f t="shared" si="126"/>
        <v>0.65861513687600637</v>
      </c>
      <c r="G1327" s="5">
        <v>0.79500000000000004</v>
      </c>
      <c r="H1327" s="4">
        <f>58.8/1440</f>
        <v>4.0833333333333333E-2</v>
      </c>
      <c r="I1327" s="5">
        <v>0.114</v>
      </c>
      <c r="J1327" s="11" t="s">
        <v>1863</v>
      </c>
    </row>
    <row r="1328" spans="1:10" ht="13.15" customHeight="1" x14ac:dyDescent="0.25">
      <c r="A1328">
        <f t="shared" si="122"/>
        <v>1323</v>
      </c>
      <c r="B1328" t="s">
        <v>1859</v>
      </c>
      <c r="C1328" s="2">
        <v>0.4284722222222222</v>
      </c>
      <c r="D1328" s="4">
        <f t="shared" si="125"/>
        <v>0.125</v>
      </c>
      <c r="E1328" s="6">
        <v>0.3034722222222222</v>
      </c>
      <c r="F1328" s="5">
        <f t="shared" si="126"/>
        <v>0.70826580226904379</v>
      </c>
      <c r="G1328" s="5">
        <v>0.85</v>
      </c>
      <c r="H1328" s="4">
        <f>55.2/1440</f>
        <v>3.8333333333333337E-2</v>
      </c>
      <c r="I1328" s="5">
        <v>0.107</v>
      </c>
      <c r="J1328" s="11" t="s">
        <v>1864</v>
      </c>
    </row>
    <row r="1329" spans="1:10" ht="13.15" customHeight="1" x14ac:dyDescent="0.25">
      <c r="A1329">
        <f t="shared" si="122"/>
        <v>1324</v>
      </c>
      <c r="B1329" t="s">
        <v>1860</v>
      </c>
      <c r="C1329" s="2">
        <v>0.46319444444444446</v>
      </c>
      <c r="D1329" s="4">
        <f t="shared" si="125"/>
        <v>0.13611111111111113</v>
      </c>
      <c r="E1329" s="6">
        <v>0.32708333333333334</v>
      </c>
      <c r="F1329" s="5">
        <f t="shared" si="126"/>
        <v>0.70614692653673161</v>
      </c>
      <c r="G1329" s="5">
        <v>0.85899999999999999</v>
      </c>
      <c r="H1329" s="4">
        <f>64.4/1440</f>
        <v>4.4722222222222226E-2</v>
      </c>
      <c r="I1329" s="5">
        <v>0.11700000000000001</v>
      </c>
      <c r="J1329" s="11" t="s">
        <v>1864</v>
      </c>
    </row>
    <row r="1330" spans="1:10" ht="13.15" customHeight="1" x14ac:dyDescent="0.25">
      <c r="A1330">
        <f t="shared" si="122"/>
        <v>1325</v>
      </c>
      <c r="B1330" t="s">
        <v>1861</v>
      </c>
      <c r="C1330" s="2">
        <v>0.46180555555555558</v>
      </c>
      <c r="D1330" s="4">
        <f t="shared" si="125"/>
        <v>0.13333333333333336</v>
      </c>
      <c r="E1330" s="6">
        <v>0.32847222222222222</v>
      </c>
      <c r="F1330" s="5">
        <f t="shared" si="126"/>
        <v>0.71127819548872173</v>
      </c>
      <c r="G1330" s="5">
        <v>0.86899999999999999</v>
      </c>
      <c r="H1330" s="4">
        <f>53.9/1440</f>
        <v>3.7430555555555557E-2</v>
      </c>
      <c r="I1330" s="5">
        <v>9.9000000000000005E-2</v>
      </c>
      <c r="J1330" s="11" t="s">
        <v>1864</v>
      </c>
    </row>
    <row r="1331" spans="1:10" ht="13.15" customHeight="1" x14ac:dyDescent="0.25">
      <c r="A1331">
        <f t="shared" si="122"/>
        <v>1326</v>
      </c>
      <c r="B1331" t="s">
        <v>1862</v>
      </c>
      <c r="C1331" s="2">
        <v>0.42916666666666664</v>
      </c>
      <c r="D1331" s="4">
        <f t="shared" si="125"/>
        <v>0.15138888888888885</v>
      </c>
      <c r="E1331" s="6">
        <v>0.27777777777777779</v>
      </c>
      <c r="F1331" s="5">
        <f t="shared" si="126"/>
        <v>0.64724919093851141</v>
      </c>
      <c r="G1331" s="5">
        <v>0.85499999999999998</v>
      </c>
      <c r="H1331" s="4">
        <f>77/1440</f>
        <v>5.347222222222222E-2</v>
      </c>
      <c r="I1331" s="5">
        <v>0.16400000000000001</v>
      </c>
      <c r="J1331" s="11" t="s">
        <v>1864</v>
      </c>
    </row>
    <row r="1332" spans="1:10" ht="13.15" customHeight="1" x14ac:dyDescent="0.25">
      <c r="A1332">
        <f t="shared" si="122"/>
        <v>1327</v>
      </c>
      <c r="B1332" t="s">
        <v>1866</v>
      </c>
      <c r="C1332" s="2">
        <v>0.40625</v>
      </c>
      <c r="D1332" s="4">
        <f t="shared" ref="D1332:D1336" si="127">C1332-E1332</f>
        <v>8.8194444444444464E-2</v>
      </c>
      <c r="E1332" s="6">
        <v>0.31805555555555554</v>
      </c>
      <c r="F1332" s="5">
        <f t="shared" ref="F1332:F1336" si="128">E1332/C1332</f>
        <v>0.7829059829059829</v>
      </c>
      <c r="G1332" s="5">
        <v>0.84599999999999997</v>
      </c>
      <c r="H1332" s="4">
        <f>64.1/1440</f>
        <v>4.4513888888888888E-2</v>
      </c>
      <c r="I1332" s="5">
        <v>0.11799999999999999</v>
      </c>
      <c r="J1332" s="11" t="s">
        <v>1870</v>
      </c>
    </row>
    <row r="1333" spans="1:10" ht="13.15" customHeight="1" x14ac:dyDescent="0.25">
      <c r="A1333">
        <f t="shared" si="122"/>
        <v>1328</v>
      </c>
      <c r="B1333" t="s">
        <v>1867</v>
      </c>
      <c r="C1333" s="2">
        <v>0.40833333333333333</v>
      </c>
      <c r="D1333" s="4">
        <f t="shared" si="127"/>
        <v>9.8611111111111094E-2</v>
      </c>
      <c r="E1333" s="6">
        <v>0.30972222222222223</v>
      </c>
      <c r="F1333" s="5">
        <f t="shared" si="128"/>
        <v>0.75850340136054428</v>
      </c>
      <c r="G1333" s="5">
        <v>0.875</v>
      </c>
      <c r="H1333" s="4">
        <f>69.2/1440</f>
        <v>4.805555555555556E-2</v>
      </c>
      <c r="I1333" s="5">
        <v>0.13600000000000001</v>
      </c>
      <c r="J1333" s="11" t="s">
        <v>1870</v>
      </c>
    </row>
    <row r="1334" spans="1:10" ht="13.15" customHeight="1" x14ac:dyDescent="0.25">
      <c r="A1334">
        <f t="shared" si="122"/>
        <v>1329</v>
      </c>
      <c r="B1334" t="s">
        <v>1865</v>
      </c>
      <c r="C1334" s="2">
        <v>0.39583333333333331</v>
      </c>
      <c r="D1334" s="4">
        <f t="shared" si="127"/>
        <v>0.10833333333333334</v>
      </c>
      <c r="E1334" s="6">
        <v>0.28749999999999998</v>
      </c>
      <c r="F1334" s="5">
        <f t="shared" si="128"/>
        <v>0.72631578947368414</v>
      </c>
      <c r="G1334" s="5">
        <v>0.79200000000000004</v>
      </c>
      <c r="H1334" s="4">
        <f>62.1/1440</f>
        <v>4.3125000000000004E-2</v>
      </c>
      <c r="I1334" s="5">
        <v>0.11899999999999999</v>
      </c>
      <c r="J1334" s="11" t="s">
        <v>1870</v>
      </c>
    </row>
    <row r="1335" spans="1:10" ht="13.15" customHeight="1" x14ac:dyDescent="0.25">
      <c r="A1335">
        <f t="shared" si="122"/>
        <v>1330</v>
      </c>
      <c r="B1335" t="s">
        <v>1868</v>
      </c>
      <c r="C1335" s="2">
        <v>0.40347222222222223</v>
      </c>
      <c r="D1335" s="4">
        <f t="shared" si="127"/>
        <v>0.10069444444444448</v>
      </c>
      <c r="E1335" s="6">
        <v>0.30277777777777776</v>
      </c>
      <c r="F1335" s="5">
        <f t="shared" si="128"/>
        <v>0.75043029259896721</v>
      </c>
      <c r="G1335" s="5">
        <v>0.82899999999999996</v>
      </c>
      <c r="H1335" s="4">
        <f>63.5/1440</f>
        <v>4.4097222222222225E-2</v>
      </c>
      <c r="I1335" s="5">
        <v>0.121</v>
      </c>
      <c r="J1335" s="11" t="s">
        <v>1870</v>
      </c>
    </row>
    <row r="1336" spans="1:10" ht="13.15" customHeight="1" x14ac:dyDescent="0.25">
      <c r="A1336">
        <f t="shared" si="122"/>
        <v>1331</v>
      </c>
      <c r="B1336" t="s">
        <v>1869</v>
      </c>
      <c r="C1336" s="2">
        <v>0.41111111111111109</v>
      </c>
      <c r="D1336" s="4">
        <f t="shared" si="127"/>
        <v>9.5138888888888884E-2</v>
      </c>
      <c r="E1336" s="6">
        <v>0.31597222222222221</v>
      </c>
      <c r="F1336" s="5">
        <f t="shared" si="128"/>
        <v>0.76858108108108103</v>
      </c>
      <c r="G1336" s="5">
        <v>0.81599999999999995</v>
      </c>
      <c r="H1336" s="4">
        <f>61.6/1440</f>
        <v>4.2777777777777776E-2</v>
      </c>
      <c r="I1336" s="5">
        <v>0.11</v>
      </c>
      <c r="J1336" s="11" t="s">
        <v>1870</v>
      </c>
    </row>
    <row r="1337" spans="1:10" ht="13.15" customHeight="1" x14ac:dyDescent="0.25">
      <c r="A1337">
        <f t="shared" si="122"/>
        <v>1332</v>
      </c>
      <c r="B1337" t="s">
        <v>1873</v>
      </c>
      <c r="C1337" s="2">
        <v>0.41111111111111109</v>
      </c>
      <c r="D1337" s="4">
        <f t="shared" ref="D1337:D1346" si="129">C1337-E1337</f>
        <v>0.12430555555555556</v>
      </c>
      <c r="E1337" s="6">
        <v>0.28680555555555554</v>
      </c>
      <c r="F1337" s="5">
        <f t="shared" ref="F1337:F1346" si="130">E1337/C1337</f>
        <v>0.69763513513513509</v>
      </c>
      <c r="G1337" s="5">
        <v>0.79600000000000004</v>
      </c>
      <c r="H1337" s="4">
        <f>56.9/1440</f>
        <v>3.951388888888889E-2</v>
      </c>
      <c r="I1337" s="5">
        <v>0.11</v>
      </c>
      <c r="J1337" s="11" t="s">
        <v>1871</v>
      </c>
    </row>
    <row r="1338" spans="1:10" ht="13.15" customHeight="1" x14ac:dyDescent="0.25">
      <c r="A1338">
        <f t="shared" si="122"/>
        <v>1333</v>
      </c>
      <c r="B1338" t="s">
        <v>1874</v>
      </c>
      <c r="C1338" s="2">
        <v>0.41041666666666665</v>
      </c>
      <c r="D1338" s="4">
        <f t="shared" si="129"/>
        <v>0.12083333333333329</v>
      </c>
      <c r="E1338" s="6">
        <v>0.28958333333333336</v>
      </c>
      <c r="F1338" s="5">
        <f t="shared" si="130"/>
        <v>0.70558375634517778</v>
      </c>
      <c r="G1338" s="5">
        <v>0.83699999999999997</v>
      </c>
      <c r="H1338" s="4">
        <f>52.3/1440</f>
        <v>3.6319444444444446E-2</v>
      </c>
      <c r="I1338" s="5">
        <v>0.105</v>
      </c>
      <c r="J1338" s="11" t="s">
        <v>1871</v>
      </c>
    </row>
    <row r="1339" spans="1:10" ht="13.15" customHeight="1" x14ac:dyDescent="0.25">
      <c r="A1339">
        <f t="shared" si="122"/>
        <v>1334</v>
      </c>
      <c r="B1339" t="s">
        <v>1875</v>
      </c>
      <c r="C1339" s="2">
        <v>0.44305555555555554</v>
      </c>
      <c r="D1339" s="4">
        <f t="shared" si="129"/>
        <v>0.12430555555555556</v>
      </c>
      <c r="E1339" s="6">
        <v>0.31874999999999998</v>
      </c>
      <c r="F1339" s="5">
        <f t="shared" si="130"/>
        <v>0.71943573667711602</v>
      </c>
      <c r="G1339" s="5">
        <v>0.78400000000000003</v>
      </c>
      <c r="H1339" s="4">
        <f t="shared" ref="H1339" si="131">61.6/1440</f>
        <v>4.2777777777777776E-2</v>
      </c>
      <c r="I1339" s="5">
        <v>0.105</v>
      </c>
      <c r="J1339" s="11" t="s">
        <v>1871</v>
      </c>
    </row>
    <row r="1340" spans="1:10" ht="13.15" customHeight="1" x14ac:dyDescent="0.25">
      <c r="A1340">
        <f t="shared" si="122"/>
        <v>1335</v>
      </c>
      <c r="B1340" t="s">
        <v>1876</v>
      </c>
      <c r="C1340" s="2">
        <v>0.36249999999999999</v>
      </c>
      <c r="D1340" s="4">
        <f t="shared" si="129"/>
        <v>0.11249999999999999</v>
      </c>
      <c r="E1340" s="6">
        <v>0.25</v>
      </c>
      <c r="F1340" s="5">
        <f t="shared" si="130"/>
        <v>0.68965517241379315</v>
      </c>
      <c r="G1340" s="5">
        <v>0.68899999999999995</v>
      </c>
      <c r="H1340" s="4">
        <f>47.2/1440</f>
        <v>3.2777777777777781E-2</v>
      </c>
      <c r="I1340" s="5">
        <v>0.09</v>
      </c>
      <c r="J1340" s="11" t="s">
        <v>1871</v>
      </c>
    </row>
    <row r="1341" spans="1:10" ht="13.15" customHeight="1" x14ac:dyDescent="0.25">
      <c r="A1341">
        <f t="shared" si="122"/>
        <v>1336</v>
      </c>
      <c r="B1341" t="s">
        <v>1877</v>
      </c>
      <c r="C1341" s="2">
        <v>0.4236111111111111</v>
      </c>
      <c r="D1341" s="4">
        <f t="shared" si="129"/>
        <v>0.13611111111111113</v>
      </c>
      <c r="E1341" s="6">
        <v>0.28749999999999998</v>
      </c>
      <c r="F1341" s="5">
        <f t="shared" si="130"/>
        <v>0.67868852459016393</v>
      </c>
      <c r="G1341" s="5">
        <v>0.77200000000000002</v>
      </c>
      <c r="H1341" s="4">
        <f>59.7/1440</f>
        <v>4.1458333333333333E-2</v>
      </c>
      <c r="I1341" s="5">
        <v>0.111</v>
      </c>
      <c r="J1341" s="11" t="s">
        <v>1871</v>
      </c>
    </row>
    <row r="1342" spans="1:10" ht="13.15" customHeight="1" x14ac:dyDescent="0.25">
      <c r="A1342">
        <f t="shared" si="122"/>
        <v>1337</v>
      </c>
      <c r="B1342" t="s">
        <v>1878</v>
      </c>
      <c r="C1342" s="2">
        <v>0.41805555555555557</v>
      </c>
      <c r="D1342" s="4">
        <f t="shared" si="129"/>
        <v>0.12083333333333335</v>
      </c>
      <c r="E1342" s="6">
        <v>0.29722222222222222</v>
      </c>
      <c r="F1342" s="5">
        <f t="shared" si="130"/>
        <v>0.71096345514950166</v>
      </c>
      <c r="G1342" s="5">
        <v>0.82099999999999995</v>
      </c>
      <c r="H1342" s="4">
        <f>55/1440</f>
        <v>3.8194444444444448E-2</v>
      </c>
      <c r="I1342" s="5">
        <v>0.105</v>
      </c>
      <c r="J1342" s="11" t="s">
        <v>1872</v>
      </c>
    </row>
    <row r="1343" spans="1:10" ht="13.15" customHeight="1" x14ac:dyDescent="0.25">
      <c r="A1343">
        <f t="shared" si="122"/>
        <v>1338</v>
      </c>
      <c r="B1343" t="s">
        <v>1879</v>
      </c>
      <c r="C1343" s="2">
        <v>0.47430555555555554</v>
      </c>
      <c r="D1343" s="4">
        <f t="shared" si="129"/>
        <v>0.14444444444444443</v>
      </c>
      <c r="E1343" s="6">
        <v>0.3298611111111111</v>
      </c>
      <c r="F1343" s="5">
        <f t="shared" si="130"/>
        <v>0.69546120058565153</v>
      </c>
      <c r="G1343" s="5">
        <v>0.82899999999999996</v>
      </c>
      <c r="H1343" s="4">
        <f>66.2/1440</f>
        <v>4.5972222222222227E-2</v>
      </c>
      <c r="I1343" s="5">
        <v>0.11600000000000001</v>
      </c>
      <c r="J1343" s="11" t="s">
        <v>1872</v>
      </c>
    </row>
    <row r="1344" spans="1:10" ht="13.15" customHeight="1" x14ac:dyDescent="0.25">
      <c r="A1344">
        <f t="shared" si="122"/>
        <v>1339</v>
      </c>
      <c r="B1344" t="s">
        <v>1880</v>
      </c>
      <c r="C1344" s="2">
        <v>0.4465277777777778</v>
      </c>
      <c r="D1344" s="4">
        <f t="shared" si="129"/>
        <v>0.13263888888888892</v>
      </c>
      <c r="E1344" s="6">
        <v>0.31388888888888888</v>
      </c>
      <c r="F1344" s="5">
        <f t="shared" si="130"/>
        <v>0.70295489891135299</v>
      </c>
      <c r="G1344" s="5">
        <v>0.83799999999999997</v>
      </c>
      <c r="H1344" s="4">
        <f>60.1/1440</f>
        <v>4.1736111111111113E-2</v>
      </c>
      <c r="I1344" s="5">
        <v>0.111</v>
      </c>
      <c r="J1344" s="11" t="s">
        <v>1872</v>
      </c>
    </row>
    <row r="1345" spans="1:10" ht="13.15" customHeight="1" x14ac:dyDescent="0.25">
      <c r="A1345">
        <f t="shared" si="122"/>
        <v>1340</v>
      </c>
      <c r="B1345" t="s">
        <v>1881</v>
      </c>
      <c r="C1345" s="2">
        <v>0.43888888888888888</v>
      </c>
      <c r="D1345" s="4">
        <f t="shared" si="129"/>
        <v>0.16944444444444445</v>
      </c>
      <c r="E1345" s="6">
        <v>0.26944444444444443</v>
      </c>
      <c r="F1345" s="5">
        <f t="shared" si="130"/>
        <v>0.61392405063291133</v>
      </c>
      <c r="G1345" s="5">
        <v>0.89</v>
      </c>
      <c r="H1345" s="4">
        <f>72.8/1440</f>
        <v>5.0555555555555555E-2</v>
      </c>
      <c r="I1345" s="5">
        <v>0.16700000000000001</v>
      </c>
      <c r="J1345" s="11" t="s">
        <v>1872</v>
      </c>
    </row>
    <row r="1346" spans="1:10" ht="13.15" customHeight="1" x14ac:dyDescent="0.25">
      <c r="A1346">
        <f t="shared" si="122"/>
        <v>1341</v>
      </c>
      <c r="B1346" t="s">
        <v>1882</v>
      </c>
      <c r="C1346" s="2">
        <v>0.38472222222222224</v>
      </c>
      <c r="D1346" s="4">
        <f t="shared" si="129"/>
        <v>0.10069444444444448</v>
      </c>
      <c r="E1346" s="6">
        <v>0.28402777777777777</v>
      </c>
      <c r="F1346" s="5">
        <f t="shared" si="130"/>
        <v>0.73826714801444038</v>
      </c>
      <c r="G1346" s="5">
        <v>0.77300000000000002</v>
      </c>
      <c r="H1346" s="4">
        <f>56.4/1440</f>
        <v>3.9166666666666669E-2</v>
      </c>
      <c r="I1346" s="5">
        <v>0.107</v>
      </c>
      <c r="J1346" s="11" t="s">
        <v>1887</v>
      </c>
    </row>
    <row r="1347" spans="1:10" ht="13.15" customHeight="1" x14ac:dyDescent="0.25">
      <c r="A1347">
        <f t="shared" si="122"/>
        <v>1342</v>
      </c>
      <c r="B1347" t="s">
        <v>1883</v>
      </c>
      <c r="C1347" s="2">
        <v>0.40069444444444446</v>
      </c>
      <c r="D1347" s="4">
        <f t="shared" ref="D1347:D1410" si="132">C1347-E1347</f>
        <v>0.13680555555555557</v>
      </c>
      <c r="E1347" s="6">
        <v>0.2638888888888889</v>
      </c>
      <c r="F1347" s="5">
        <f t="shared" ref="F1347:F1360" si="133">E1347/C1347</f>
        <v>0.65857885615251299</v>
      </c>
      <c r="G1347" s="5">
        <v>0.751</v>
      </c>
      <c r="H1347" s="4">
        <f>54.2/1440</f>
        <v>3.7638888888888888E-2</v>
      </c>
      <c r="I1347" s="5">
        <v>0.107</v>
      </c>
      <c r="J1347" s="11" t="s">
        <v>1887</v>
      </c>
    </row>
    <row r="1348" spans="1:10" ht="13.15" customHeight="1" x14ac:dyDescent="0.25">
      <c r="A1348">
        <f t="shared" si="122"/>
        <v>1343</v>
      </c>
      <c r="B1348" t="s">
        <v>1884</v>
      </c>
      <c r="C1348" s="2">
        <v>0.38680555555555557</v>
      </c>
      <c r="D1348" s="4">
        <f t="shared" si="132"/>
        <v>0.13055555555555559</v>
      </c>
      <c r="E1348" s="6">
        <v>0.25624999999999998</v>
      </c>
      <c r="F1348" s="5">
        <f t="shared" si="133"/>
        <v>0.66247755834829436</v>
      </c>
      <c r="G1348" s="5">
        <v>0.75600000000000001</v>
      </c>
      <c r="H1348" s="4">
        <f>53.1/1440</f>
        <v>3.6874999999999998E-2</v>
      </c>
      <c r="I1348" s="5">
        <v>0.109</v>
      </c>
      <c r="J1348" s="11" t="s">
        <v>1887</v>
      </c>
    </row>
    <row r="1349" spans="1:10" ht="13.15" customHeight="1" x14ac:dyDescent="0.25">
      <c r="A1349">
        <f t="shared" si="122"/>
        <v>1344</v>
      </c>
      <c r="B1349" t="s">
        <v>1885</v>
      </c>
      <c r="C1349" s="2">
        <v>0.39930555555555558</v>
      </c>
      <c r="D1349" s="4">
        <f t="shared" si="132"/>
        <v>0.12986111111111115</v>
      </c>
      <c r="E1349" s="6">
        <v>0.26944444444444443</v>
      </c>
      <c r="F1349" s="5">
        <f t="shared" si="133"/>
        <v>0.6747826086956521</v>
      </c>
      <c r="G1349" s="5">
        <v>0.747</v>
      </c>
      <c r="H1349" s="4">
        <f>55.3/1440</f>
        <v>3.8402777777777779E-2</v>
      </c>
      <c r="I1349" s="5">
        <v>0.106</v>
      </c>
      <c r="J1349" s="11" t="s">
        <v>1887</v>
      </c>
    </row>
    <row r="1350" spans="1:10" ht="13.15" customHeight="1" x14ac:dyDescent="0.25">
      <c r="A1350">
        <f t="shared" si="122"/>
        <v>1345</v>
      </c>
      <c r="B1350" t="s">
        <v>1886</v>
      </c>
      <c r="C1350" s="2">
        <v>0.43333333333333335</v>
      </c>
      <c r="D1350" s="4">
        <f t="shared" si="132"/>
        <v>7.7777777777777779E-2</v>
      </c>
      <c r="E1350" s="6">
        <v>0.35555555555555557</v>
      </c>
      <c r="F1350" s="5">
        <f t="shared" si="133"/>
        <v>0.82051282051282048</v>
      </c>
      <c r="G1350" s="5">
        <v>0.81499999999999995</v>
      </c>
      <c r="H1350" s="4">
        <f>63.3/1440</f>
        <v>4.3958333333333328E-2</v>
      </c>
      <c r="I1350" s="5">
        <v>0.10100000000000001</v>
      </c>
      <c r="J1350" s="11" t="s">
        <v>1887</v>
      </c>
    </row>
    <row r="1351" spans="1:10" ht="13.15" customHeight="1" x14ac:dyDescent="0.25">
      <c r="A1351">
        <f t="shared" si="122"/>
        <v>1346</v>
      </c>
      <c r="B1351" t="s">
        <v>1888</v>
      </c>
      <c r="C1351" s="2">
        <v>0.38750000000000001</v>
      </c>
      <c r="D1351" s="4">
        <f t="shared" si="132"/>
        <v>9.5833333333333326E-2</v>
      </c>
      <c r="E1351" s="6">
        <v>0.29166666666666669</v>
      </c>
      <c r="F1351" s="5">
        <f t="shared" si="133"/>
        <v>0.75268817204301075</v>
      </c>
      <c r="G1351" s="5">
        <v>1</v>
      </c>
      <c r="H1351" s="4">
        <f>59.6/1440</f>
        <v>4.1388888888888892E-2</v>
      </c>
      <c r="I1351" s="5">
        <v>0.14199999999999999</v>
      </c>
      <c r="J1351" s="11" t="s">
        <v>1898</v>
      </c>
    </row>
    <row r="1352" spans="1:10" ht="13.15" customHeight="1" x14ac:dyDescent="0.25">
      <c r="A1352">
        <f t="shared" si="122"/>
        <v>1347</v>
      </c>
      <c r="B1352" t="s">
        <v>1889</v>
      </c>
      <c r="C1352" s="2">
        <v>0.41041666666666665</v>
      </c>
      <c r="D1352" s="4">
        <f t="shared" si="132"/>
        <v>0.10138888888888886</v>
      </c>
      <c r="E1352" s="6">
        <v>0.30902777777777779</v>
      </c>
      <c r="F1352" s="5">
        <f t="shared" si="133"/>
        <v>0.7529610829103216</v>
      </c>
      <c r="G1352" s="5">
        <v>1</v>
      </c>
      <c r="H1352" s="4">
        <f>63.7/1440</f>
        <v>4.4236111111111115E-2</v>
      </c>
      <c r="I1352" s="5">
        <v>0.14299999999999999</v>
      </c>
      <c r="J1352" s="11" t="s">
        <v>1898</v>
      </c>
    </row>
    <row r="1353" spans="1:10" ht="13.15" customHeight="1" x14ac:dyDescent="0.25">
      <c r="A1353">
        <f t="shared" si="122"/>
        <v>1348</v>
      </c>
      <c r="B1353" t="s">
        <v>1890</v>
      </c>
      <c r="C1353" s="2">
        <v>0.38680555555555557</v>
      </c>
      <c r="D1353" s="4">
        <f t="shared" si="132"/>
        <v>9.375E-2</v>
      </c>
      <c r="E1353" s="6">
        <v>0.29305555555555557</v>
      </c>
      <c r="F1353" s="5">
        <f t="shared" si="133"/>
        <v>0.75763016157989227</v>
      </c>
      <c r="G1353" s="5">
        <v>1</v>
      </c>
      <c r="H1353" s="4">
        <f>68.8/1440</f>
        <v>4.7777777777777773E-2</v>
      </c>
      <c r="I1353" s="5">
        <v>0.16300000000000001</v>
      </c>
      <c r="J1353" s="11" t="s">
        <v>1898</v>
      </c>
    </row>
    <row r="1354" spans="1:10" ht="13.15" customHeight="1" x14ac:dyDescent="0.25">
      <c r="A1354">
        <f t="shared" si="122"/>
        <v>1349</v>
      </c>
      <c r="B1354" t="s">
        <v>1891</v>
      </c>
      <c r="C1354" s="2">
        <v>0.40208333333333335</v>
      </c>
      <c r="D1354" s="4">
        <f t="shared" si="132"/>
        <v>0.11458333333333337</v>
      </c>
      <c r="E1354" s="6">
        <v>0.28749999999999998</v>
      </c>
      <c r="F1354" s="5">
        <f t="shared" si="133"/>
        <v>0.71502590673575117</v>
      </c>
      <c r="G1354" s="5">
        <v>1</v>
      </c>
      <c r="H1354" s="4">
        <f>59.6/1440</f>
        <v>4.1388888888888892E-2</v>
      </c>
      <c r="I1354" s="5">
        <v>0.14399999999999999</v>
      </c>
      <c r="J1354" s="11" t="s">
        <v>1898</v>
      </c>
    </row>
    <row r="1355" spans="1:10" ht="13.15" customHeight="1" x14ac:dyDescent="0.25">
      <c r="A1355">
        <f t="shared" si="122"/>
        <v>1350</v>
      </c>
      <c r="B1355" t="s">
        <v>1892</v>
      </c>
      <c r="C1355" s="2">
        <v>0.35486111111111113</v>
      </c>
      <c r="D1355" s="4">
        <f t="shared" si="132"/>
        <v>8.7500000000000022E-2</v>
      </c>
      <c r="E1355" s="6">
        <v>0.2673611111111111</v>
      </c>
      <c r="F1355" s="5">
        <f t="shared" si="133"/>
        <v>0.75342465753424648</v>
      </c>
      <c r="G1355" s="5">
        <v>1</v>
      </c>
      <c r="H1355" s="4">
        <f>61.7/1440</f>
        <v>4.2847222222222224E-2</v>
      </c>
      <c r="I1355" s="5">
        <v>0.16</v>
      </c>
      <c r="J1355" s="11" t="s">
        <v>1898</v>
      </c>
    </row>
    <row r="1356" spans="1:10" ht="13.15" customHeight="1" x14ac:dyDescent="0.25">
      <c r="A1356">
        <f t="shared" si="122"/>
        <v>1351</v>
      </c>
      <c r="B1356" t="s">
        <v>1894</v>
      </c>
      <c r="C1356" s="2">
        <v>0.43125000000000002</v>
      </c>
      <c r="D1356" s="4">
        <f t="shared" si="132"/>
        <v>0.11388888888888893</v>
      </c>
      <c r="E1356" s="6">
        <v>0.31736111111111109</v>
      </c>
      <c r="F1356" s="5">
        <f t="shared" si="133"/>
        <v>0.73590982286634454</v>
      </c>
      <c r="G1356" s="5">
        <v>1</v>
      </c>
      <c r="H1356" s="4">
        <f>62.9/1440</f>
        <v>4.3680555555555556E-2</v>
      </c>
      <c r="I1356" s="5">
        <v>0.13800000000000001</v>
      </c>
      <c r="J1356" s="11" t="s">
        <v>1899</v>
      </c>
    </row>
    <row r="1357" spans="1:10" ht="13.15" customHeight="1" x14ac:dyDescent="0.25">
      <c r="A1357">
        <f t="shared" si="122"/>
        <v>1352</v>
      </c>
      <c r="B1357" t="s">
        <v>1893</v>
      </c>
      <c r="C1357" s="2">
        <v>0.45347222222222222</v>
      </c>
      <c r="D1357" s="4">
        <f t="shared" si="132"/>
        <v>0.12361111111111112</v>
      </c>
      <c r="E1357" s="6">
        <v>0.3298611111111111</v>
      </c>
      <c r="F1357" s="5">
        <f t="shared" si="133"/>
        <v>0.72741194486983152</v>
      </c>
      <c r="G1357" s="5">
        <v>1</v>
      </c>
      <c r="H1357" s="4">
        <f>69.1/1440</f>
        <v>4.7986111111111104E-2</v>
      </c>
      <c r="I1357" s="5">
        <v>0.14499999999999999</v>
      </c>
      <c r="J1357" s="11" t="s">
        <v>1899</v>
      </c>
    </row>
    <row r="1358" spans="1:10" ht="13.15" customHeight="1" x14ac:dyDescent="0.25">
      <c r="A1358">
        <f t="shared" si="122"/>
        <v>1353</v>
      </c>
      <c r="B1358" t="s">
        <v>1895</v>
      </c>
      <c r="C1358" s="2">
        <v>0.40555555555555556</v>
      </c>
      <c r="D1358" s="4">
        <f t="shared" si="132"/>
        <v>0.10625000000000001</v>
      </c>
      <c r="E1358" s="6">
        <v>0.29930555555555555</v>
      </c>
      <c r="F1358" s="5">
        <f t="shared" si="133"/>
        <v>0.73801369863013699</v>
      </c>
      <c r="G1358" s="5">
        <v>1</v>
      </c>
      <c r="H1358" s="4">
        <f>67.8/1440</f>
        <v>4.7083333333333331E-2</v>
      </c>
      <c r="I1358" s="5">
        <v>0.157</v>
      </c>
      <c r="J1358" s="11" t="s">
        <v>1899</v>
      </c>
    </row>
    <row r="1359" spans="1:10" ht="13.15" customHeight="1" x14ac:dyDescent="0.25">
      <c r="A1359">
        <f t="shared" si="122"/>
        <v>1354</v>
      </c>
      <c r="B1359" t="s">
        <v>1896</v>
      </c>
      <c r="C1359" s="2">
        <v>0.48125000000000001</v>
      </c>
      <c r="D1359" s="4">
        <f t="shared" si="132"/>
        <v>0.15347222222222223</v>
      </c>
      <c r="E1359" s="6">
        <v>0.32777777777777778</v>
      </c>
      <c r="F1359" s="5">
        <f t="shared" si="133"/>
        <v>0.68109668109668109</v>
      </c>
      <c r="G1359" s="5">
        <v>1</v>
      </c>
      <c r="H1359" s="4">
        <f>41/1440</f>
        <v>2.8472222222222222E-2</v>
      </c>
      <c r="I1359" s="5">
        <v>8.6999999999999994E-2</v>
      </c>
      <c r="J1359" s="11" t="s">
        <v>1899</v>
      </c>
    </row>
    <row r="1360" spans="1:10" ht="13.15" customHeight="1" x14ac:dyDescent="0.25">
      <c r="A1360">
        <f t="shared" si="122"/>
        <v>1355</v>
      </c>
      <c r="B1360" t="s">
        <v>1897</v>
      </c>
      <c r="C1360" s="2">
        <v>0.47013888888888888</v>
      </c>
      <c r="D1360" s="4">
        <f t="shared" si="132"/>
        <v>0.12152777777777779</v>
      </c>
      <c r="E1360" s="6">
        <v>0.34861111111111109</v>
      </c>
      <c r="F1360" s="5">
        <f t="shared" si="133"/>
        <v>0.74150664697193502</v>
      </c>
      <c r="G1360" s="5">
        <v>1</v>
      </c>
      <c r="H1360" s="4">
        <f>65.6/1440</f>
        <v>4.5555555555555551E-2</v>
      </c>
      <c r="I1360" s="5">
        <v>0.13100000000000001</v>
      </c>
      <c r="J1360" s="11" t="s">
        <v>1899</v>
      </c>
    </row>
    <row r="1361" spans="1:10" ht="13.15" customHeight="1" x14ac:dyDescent="0.25">
      <c r="A1361">
        <f t="shared" si="122"/>
        <v>1356</v>
      </c>
      <c r="B1361" t="s">
        <v>1901</v>
      </c>
      <c r="C1361" s="2">
        <v>0.44722222222222224</v>
      </c>
      <c r="D1361" s="4">
        <f t="shared" si="132"/>
        <v>0.12083333333333335</v>
      </c>
      <c r="E1361" s="6">
        <v>0.3263888888888889</v>
      </c>
      <c r="F1361" s="5">
        <f t="shared" ref="F1361" si="134">E1361/C1361</f>
        <v>0.72981366459627328</v>
      </c>
      <c r="G1361" s="5">
        <v>0.75600000000000001</v>
      </c>
      <c r="H1361" s="4">
        <f>52.3/1440</f>
        <v>3.6319444444444446E-2</v>
      </c>
      <c r="I1361" s="5">
        <v>8.4000000000000005E-2</v>
      </c>
      <c r="J1361" s="11" t="s">
        <v>1900</v>
      </c>
    </row>
    <row r="1362" spans="1:10" ht="13.15" customHeight="1" x14ac:dyDescent="0.25">
      <c r="A1362">
        <f t="shared" si="122"/>
        <v>1357</v>
      </c>
      <c r="B1362" t="s">
        <v>1902</v>
      </c>
      <c r="C1362" s="2">
        <v>0.41458333333333336</v>
      </c>
      <c r="D1362" s="4">
        <f t="shared" si="132"/>
        <v>0.13680555555555557</v>
      </c>
      <c r="E1362" s="6">
        <v>0.27777777777777779</v>
      </c>
      <c r="F1362" s="5">
        <f t="shared" ref="F1362:F1374" si="135">E1362/C1362</f>
        <v>0.67001675041876041</v>
      </c>
      <c r="G1362" s="5">
        <v>0.76400000000000001</v>
      </c>
      <c r="H1362" s="4">
        <f>51.6/1440</f>
        <v>3.5833333333333335E-2</v>
      </c>
      <c r="I1362" s="5">
        <v>9.8000000000000004E-2</v>
      </c>
      <c r="J1362" s="11" t="s">
        <v>1900</v>
      </c>
    </row>
    <row r="1363" spans="1:10" ht="13.15" customHeight="1" x14ac:dyDescent="0.25">
      <c r="A1363">
        <f t="shared" si="122"/>
        <v>1358</v>
      </c>
      <c r="B1363" t="s">
        <v>1903</v>
      </c>
      <c r="C1363" s="2">
        <v>0.62013888888888891</v>
      </c>
      <c r="D1363" s="4">
        <f t="shared" si="132"/>
        <v>0.15763888888888888</v>
      </c>
      <c r="E1363" s="6">
        <v>0.46250000000000002</v>
      </c>
      <c r="F1363" s="5">
        <f t="shared" si="135"/>
        <v>0.74580067189249721</v>
      </c>
      <c r="G1363" s="5">
        <v>0.78100000000000003</v>
      </c>
      <c r="H1363" s="4">
        <f>61.4/1440</f>
        <v>4.2638888888888886E-2</v>
      </c>
      <c r="I1363" s="5">
        <v>7.1999999999999995E-2</v>
      </c>
      <c r="J1363" s="11" t="s">
        <v>1900</v>
      </c>
    </row>
    <row r="1364" spans="1:10" ht="13.15" customHeight="1" x14ac:dyDescent="0.25">
      <c r="A1364">
        <f t="shared" ref="A1364:A1427" si="136">A1363+1</f>
        <v>1359</v>
      </c>
      <c r="B1364" t="s">
        <v>1904</v>
      </c>
      <c r="C1364" s="2">
        <v>0.4548611111111111</v>
      </c>
      <c r="D1364" s="4">
        <f t="shared" si="132"/>
        <v>0.11736111111111108</v>
      </c>
      <c r="E1364" s="6">
        <v>0.33750000000000002</v>
      </c>
      <c r="F1364" s="5">
        <f t="shared" si="135"/>
        <v>0.74198473282442756</v>
      </c>
      <c r="G1364" s="5">
        <v>0.79100000000000004</v>
      </c>
      <c r="H1364" s="4">
        <f>62.8/1440</f>
        <v>4.3611111111111107E-2</v>
      </c>
      <c r="I1364" s="5">
        <v>0.10199999999999999</v>
      </c>
      <c r="J1364" s="11" t="s">
        <v>1900</v>
      </c>
    </row>
    <row r="1365" spans="1:10" ht="13.15" customHeight="1" x14ac:dyDescent="0.25">
      <c r="A1365">
        <f t="shared" si="136"/>
        <v>1360</v>
      </c>
      <c r="B1365" t="s">
        <v>1905</v>
      </c>
      <c r="C1365" s="2">
        <v>0.38750000000000001</v>
      </c>
      <c r="D1365" s="4">
        <f t="shared" si="132"/>
        <v>0.11944444444444446</v>
      </c>
      <c r="E1365" s="6">
        <v>0.26805555555555555</v>
      </c>
      <c r="F1365" s="5">
        <f t="shared" si="135"/>
        <v>0.69175627240143367</v>
      </c>
      <c r="G1365" s="5">
        <v>0.65200000000000002</v>
      </c>
      <c r="H1365" s="4">
        <f>45.7/1440</f>
        <v>3.1736111111111111E-2</v>
      </c>
      <c r="I1365" s="5">
        <v>7.6999999999999999E-2</v>
      </c>
      <c r="J1365" s="11" t="s">
        <v>1900</v>
      </c>
    </row>
    <row r="1366" spans="1:10" ht="13.15" customHeight="1" x14ac:dyDescent="0.25">
      <c r="A1366">
        <f t="shared" si="136"/>
        <v>1361</v>
      </c>
      <c r="B1366" t="s">
        <v>1906</v>
      </c>
      <c r="C1366" s="2">
        <v>0.4236111111111111</v>
      </c>
      <c r="D1366" s="4">
        <f t="shared" si="132"/>
        <v>0.10277777777777775</v>
      </c>
      <c r="E1366" s="6">
        <v>0.32083333333333336</v>
      </c>
      <c r="F1366" s="5">
        <f t="shared" si="135"/>
        <v>0.75737704918032789</v>
      </c>
      <c r="G1366" s="5">
        <v>0.81299999999999994</v>
      </c>
      <c r="H1366" s="4">
        <f>60/1440</f>
        <v>4.1666666666666664E-2</v>
      </c>
      <c r="I1366" s="5">
        <v>0.105</v>
      </c>
      <c r="J1366" s="11" t="s">
        <v>1915</v>
      </c>
    </row>
    <row r="1367" spans="1:10" ht="13.15" customHeight="1" x14ac:dyDescent="0.25">
      <c r="A1367">
        <f t="shared" si="136"/>
        <v>1362</v>
      </c>
      <c r="B1367" t="s">
        <v>1907</v>
      </c>
      <c r="C1367" s="2">
        <v>0.44305555555555554</v>
      </c>
      <c r="D1367" s="4">
        <f t="shared" si="132"/>
        <v>0.1020833333333333</v>
      </c>
      <c r="E1367" s="6">
        <v>0.34097222222222223</v>
      </c>
      <c r="F1367" s="5">
        <f t="shared" si="135"/>
        <v>0.76959247648902829</v>
      </c>
      <c r="G1367" s="5">
        <v>0.85199999999999998</v>
      </c>
      <c r="H1367" s="4">
        <f>64.4/1440</f>
        <v>4.4722222222222226E-2</v>
      </c>
      <c r="I1367" s="5">
        <v>0.112</v>
      </c>
      <c r="J1367" s="11" t="s">
        <v>1915</v>
      </c>
    </row>
    <row r="1368" spans="1:10" ht="13.15" customHeight="1" x14ac:dyDescent="0.25">
      <c r="A1368">
        <f t="shared" si="136"/>
        <v>1363</v>
      </c>
      <c r="B1368" t="s">
        <v>1908</v>
      </c>
      <c r="C1368" s="2">
        <v>0.37847222222222221</v>
      </c>
      <c r="D1368" s="4">
        <f t="shared" si="132"/>
        <v>0.10486111111111107</v>
      </c>
      <c r="E1368" s="6">
        <v>0.27361111111111114</v>
      </c>
      <c r="F1368" s="5">
        <f t="shared" si="135"/>
        <v>0.7229357798165138</v>
      </c>
      <c r="G1368" s="5">
        <v>0.78100000000000003</v>
      </c>
      <c r="H1368" s="4">
        <f>50.8/1440</f>
        <v>3.5277777777777776E-2</v>
      </c>
      <c r="I1368" s="5">
        <v>0.1</v>
      </c>
      <c r="J1368" s="11" t="s">
        <v>1915</v>
      </c>
    </row>
    <row r="1369" spans="1:10" ht="13.15" customHeight="1" x14ac:dyDescent="0.25">
      <c r="A1369">
        <f t="shared" si="136"/>
        <v>1364</v>
      </c>
      <c r="B1369" t="s">
        <v>1909</v>
      </c>
      <c r="C1369" s="2">
        <v>0.39305555555555555</v>
      </c>
      <c r="D1369" s="4">
        <f t="shared" si="132"/>
        <v>0.10694444444444445</v>
      </c>
      <c r="E1369" s="6">
        <v>0.28611111111111109</v>
      </c>
      <c r="F1369" s="5">
        <f t="shared" si="135"/>
        <v>0.72791519434628971</v>
      </c>
      <c r="G1369" s="5">
        <v>0.70199999999999996</v>
      </c>
      <c r="H1369" s="4">
        <f>49.2/1440</f>
        <v>3.4166666666666672E-2</v>
      </c>
      <c r="I1369" s="5">
        <v>8.4000000000000005E-2</v>
      </c>
      <c r="J1369" s="11" t="s">
        <v>1915</v>
      </c>
    </row>
    <row r="1370" spans="1:10" ht="13.15" customHeight="1" x14ac:dyDescent="0.25">
      <c r="A1370">
        <f t="shared" si="136"/>
        <v>1365</v>
      </c>
      <c r="B1370" t="s">
        <v>1910</v>
      </c>
      <c r="C1370" s="2">
        <v>0.40277777777777779</v>
      </c>
      <c r="D1370" s="4">
        <f t="shared" si="132"/>
        <v>9.2361111111111116E-2</v>
      </c>
      <c r="E1370" s="6">
        <v>0.31041666666666667</v>
      </c>
      <c r="F1370" s="5">
        <f t="shared" si="135"/>
        <v>0.77068965517241383</v>
      </c>
      <c r="G1370" s="5">
        <v>0.80600000000000005</v>
      </c>
      <c r="H1370" s="4">
        <f>63.1/1440</f>
        <v>4.3819444444444446E-2</v>
      </c>
      <c r="I1370" s="5">
        <v>0.114</v>
      </c>
      <c r="J1370" s="11" t="s">
        <v>1915</v>
      </c>
    </row>
    <row r="1371" spans="1:10" ht="13.15" customHeight="1" x14ac:dyDescent="0.25">
      <c r="A1371">
        <f t="shared" si="136"/>
        <v>1366</v>
      </c>
      <c r="B1371" t="s">
        <v>1911</v>
      </c>
      <c r="C1371" s="2">
        <v>0.44305555555555554</v>
      </c>
      <c r="D1371" s="4">
        <f t="shared" si="132"/>
        <v>0.11388888888888887</v>
      </c>
      <c r="E1371" s="6">
        <v>0.32916666666666666</v>
      </c>
      <c r="F1371" s="5">
        <f t="shared" si="135"/>
        <v>0.74294670846394983</v>
      </c>
      <c r="G1371" s="5">
        <v>0.82899999999999996</v>
      </c>
      <c r="H1371" s="4">
        <f>60.3/1440</f>
        <v>4.1874999999999996E-2</v>
      </c>
      <c r="I1371" s="5">
        <v>0.105</v>
      </c>
      <c r="J1371" s="11" t="s">
        <v>1916</v>
      </c>
    </row>
    <row r="1372" spans="1:10" ht="13.15" customHeight="1" x14ac:dyDescent="0.25">
      <c r="A1372">
        <f t="shared" si="136"/>
        <v>1367</v>
      </c>
      <c r="B1372" t="s">
        <v>1912</v>
      </c>
      <c r="C1372" s="2">
        <v>0.47291666666666665</v>
      </c>
      <c r="D1372" s="4">
        <f t="shared" si="132"/>
        <v>0.11180555555555555</v>
      </c>
      <c r="E1372" s="6">
        <v>0.3611111111111111</v>
      </c>
      <c r="F1372" s="5">
        <f t="shared" si="135"/>
        <v>0.76358296622613808</v>
      </c>
      <c r="G1372" s="5">
        <v>0.82799999999999996</v>
      </c>
      <c r="H1372" s="4">
        <f>61.4/1440</f>
        <v>4.2638888888888886E-2</v>
      </c>
      <c r="I1372" s="5">
        <v>9.8000000000000004E-2</v>
      </c>
      <c r="J1372" s="11" t="s">
        <v>1916</v>
      </c>
    </row>
    <row r="1373" spans="1:10" ht="13.15" customHeight="1" x14ac:dyDescent="0.25">
      <c r="A1373">
        <f t="shared" si="136"/>
        <v>1368</v>
      </c>
      <c r="B1373" t="s">
        <v>1913</v>
      </c>
      <c r="C1373" s="2">
        <v>0.46805555555555556</v>
      </c>
      <c r="D1373" s="4">
        <f t="shared" si="132"/>
        <v>0.12013888888888891</v>
      </c>
      <c r="E1373" s="6">
        <v>0.34791666666666665</v>
      </c>
      <c r="F1373" s="5">
        <f t="shared" si="135"/>
        <v>0.74332344213649848</v>
      </c>
      <c r="G1373" s="5">
        <v>0.82799999999999996</v>
      </c>
      <c r="H1373" s="4">
        <f>61.5/1440</f>
        <v>4.2708333333333334E-2</v>
      </c>
      <c r="I1373" s="5">
        <v>0.10199999999999999</v>
      </c>
      <c r="J1373" s="11" t="s">
        <v>1916</v>
      </c>
    </row>
    <row r="1374" spans="1:10" ht="13.15" customHeight="1" x14ac:dyDescent="0.25">
      <c r="A1374">
        <f t="shared" si="136"/>
        <v>1369</v>
      </c>
      <c r="B1374" t="s">
        <v>1914</v>
      </c>
      <c r="C1374" s="2">
        <v>0.50416666666666665</v>
      </c>
      <c r="D1374" s="4">
        <f t="shared" si="132"/>
        <v>0.1020833333333333</v>
      </c>
      <c r="E1374" s="6">
        <v>0.40208333333333335</v>
      </c>
      <c r="F1374" s="5">
        <f t="shared" si="135"/>
        <v>0.7975206611570248</v>
      </c>
      <c r="G1374" s="5">
        <v>0.84699999999999998</v>
      </c>
      <c r="H1374" s="4">
        <f>69.1/1440</f>
        <v>4.7986111111111104E-2</v>
      </c>
      <c r="I1374" s="5">
        <v>0.10100000000000001</v>
      </c>
      <c r="J1374" s="11" t="s">
        <v>1916</v>
      </c>
    </row>
    <row r="1375" spans="1:10" ht="13.15" customHeight="1" x14ac:dyDescent="0.25">
      <c r="A1375">
        <f t="shared" si="136"/>
        <v>1370</v>
      </c>
      <c r="B1375" t="s">
        <v>1919</v>
      </c>
      <c r="C1375" s="2">
        <v>0.42986111111111114</v>
      </c>
      <c r="D1375" s="4">
        <f t="shared" si="132"/>
        <v>0.1118055555555556</v>
      </c>
      <c r="E1375" s="6">
        <v>0.31805555555555554</v>
      </c>
      <c r="F1375" s="5">
        <f t="shared" ref="F1375:F1383" si="137">E1375/C1375</f>
        <v>0.739903069466882</v>
      </c>
      <c r="G1375" s="5">
        <v>0.79500000000000004</v>
      </c>
      <c r="H1375" s="4">
        <f>56.4/1440</f>
        <v>3.9166666666666669E-2</v>
      </c>
      <c r="I1375" s="5">
        <v>9.8000000000000004E-2</v>
      </c>
      <c r="J1375" s="11" t="s">
        <v>1917</v>
      </c>
    </row>
    <row r="1376" spans="1:10" ht="13.15" customHeight="1" x14ac:dyDescent="0.25">
      <c r="A1376">
        <f t="shared" si="136"/>
        <v>1371</v>
      </c>
      <c r="B1376" t="s">
        <v>1920</v>
      </c>
      <c r="C1376" s="2">
        <v>0.43402777777777779</v>
      </c>
      <c r="D1376" s="4">
        <f t="shared" si="132"/>
        <v>0.1166666666666667</v>
      </c>
      <c r="E1376" s="6">
        <v>0.31736111111111109</v>
      </c>
      <c r="F1376" s="5">
        <f t="shared" si="137"/>
        <v>0.73119999999999996</v>
      </c>
      <c r="G1376" s="5">
        <v>0.82</v>
      </c>
      <c r="H1376" s="4">
        <f>61.2/1440</f>
        <v>4.2500000000000003E-2</v>
      </c>
      <c r="I1376" s="5">
        <v>0.11</v>
      </c>
      <c r="J1376" s="11" t="s">
        <v>1917</v>
      </c>
    </row>
    <row r="1377" spans="1:10" ht="13.15" customHeight="1" x14ac:dyDescent="0.25">
      <c r="A1377">
        <f t="shared" si="136"/>
        <v>1372</v>
      </c>
      <c r="B1377" t="s">
        <v>1921</v>
      </c>
      <c r="C1377" s="2">
        <v>0.40208333333333335</v>
      </c>
      <c r="D1377" s="4">
        <f t="shared" si="132"/>
        <v>0.1111111111111111</v>
      </c>
      <c r="E1377" s="6">
        <v>0.29097222222222224</v>
      </c>
      <c r="F1377" s="5">
        <f t="shared" si="137"/>
        <v>0.72366148531951646</v>
      </c>
      <c r="G1377" s="5">
        <v>0.77500000000000002</v>
      </c>
      <c r="H1377" s="4">
        <f>54.5/1440</f>
        <v>3.784722222222222E-2</v>
      </c>
      <c r="I1377" s="5">
        <v>0.10100000000000001</v>
      </c>
      <c r="J1377" s="11" t="s">
        <v>1917</v>
      </c>
    </row>
    <row r="1378" spans="1:10" ht="13.15" customHeight="1" x14ac:dyDescent="0.25">
      <c r="A1378">
        <f t="shared" si="136"/>
        <v>1373</v>
      </c>
      <c r="B1378" t="s">
        <v>1922</v>
      </c>
      <c r="C1378" s="2">
        <v>0.43611111111111112</v>
      </c>
      <c r="D1378" s="4">
        <f t="shared" si="132"/>
        <v>0.11249999999999999</v>
      </c>
      <c r="E1378" s="6">
        <v>0.32361111111111113</v>
      </c>
      <c r="F1378" s="5">
        <f t="shared" si="137"/>
        <v>0.74203821656050961</v>
      </c>
      <c r="G1378" s="5">
        <v>0.72199999999999998</v>
      </c>
      <c r="H1378" s="4">
        <f>52.3/1440</f>
        <v>3.6319444444444446E-2</v>
      </c>
      <c r="I1378" s="5">
        <v>8.1000000000000003E-2</v>
      </c>
      <c r="J1378" s="11" t="s">
        <v>1917</v>
      </c>
    </row>
    <row r="1379" spans="1:10" ht="13.15" customHeight="1" x14ac:dyDescent="0.25">
      <c r="A1379">
        <f t="shared" si="136"/>
        <v>1374</v>
      </c>
      <c r="B1379" t="s">
        <v>1923</v>
      </c>
      <c r="C1379" s="2">
        <v>0.41805555555555557</v>
      </c>
      <c r="D1379" s="4">
        <f t="shared" si="132"/>
        <v>9.9305555555555591E-2</v>
      </c>
      <c r="E1379" s="6">
        <v>0.31874999999999998</v>
      </c>
      <c r="F1379" s="5">
        <f t="shared" si="137"/>
        <v>0.76245847176079729</v>
      </c>
      <c r="G1379" s="5">
        <v>0.80900000000000005</v>
      </c>
      <c r="H1379" s="4">
        <f>52/1440</f>
        <v>3.6111111111111108E-2</v>
      </c>
      <c r="I1379" s="5">
        <v>9.1999999999999998E-2</v>
      </c>
      <c r="J1379" s="11" t="s">
        <v>1917</v>
      </c>
    </row>
    <row r="1380" spans="1:10" ht="13.15" customHeight="1" x14ac:dyDescent="0.25">
      <c r="A1380">
        <f t="shared" si="136"/>
        <v>1375</v>
      </c>
      <c r="B1380" t="s">
        <v>1924</v>
      </c>
      <c r="C1380" s="2">
        <v>0.44444444444444442</v>
      </c>
      <c r="D1380" s="4">
        <f t="shared" si="132"/>
        <v>0.12013888888888885</v>
      </c>
      <c r="E1380" s="6">
        <v>0.32430555555555557</v>
      </c>
      <c r="F1380" s="5">
        <f t="shared" si="137"/>
        <v>0.72968750000000004</v>
      </c>
      <c r="G1380" s="5">
        <v>0.85199999999999998</v>
      </c>
      <c r="H1380" s="4">
        <f>56.9/1440</f>
        <v>3.951388888888889E-2</v>
      </c>
      <c r="I1380" s="5">
        <v>0.104</v>
      </c>
      <c r="J1380" s="11" t="s">
        <v>1918</v>
      </c>
    </row>
    <row r="1381" spans="1:10" ht="13.15" customHeight="1" x14ac:dyDescent="0.25">
      <c r="A1381">
        <f t="shared" si="136"/>
        <v>1376</v>
      </c>
      <c r="B1381" t="s">
        <v>1925</v>
      </c>
      <c r="C1381" s="2">
        <v>0.4909722222222222</v>
      </c>
      <c r="D1381" s="4">
        <f t="shared" si="132"/>
        <v>0.12430555555555556</v>
      </c>
      <c r="E1381" s="6">
        <v>0.36666666666666664</v>
      </c>
      <c r="F1381" s="5">
        <f t="shared" si="137"/>
        <v>0.74681753889674685</v>
      </c>
      <c r="G1381" s="5">
        <v>0.82499999999999996</v>
      </c>
      <c r="H1381" s="4">
        <f>64.3/1440</f>
        <v>4.4652777777777777E-2</v>
      </c>
      <c r="I1381" s="5">
        <v>0.1</v>
      </c>
      <c r="J1381" s="11" t="s">
        <v>1918</v>
      </c>
    </row>
    <row r="1382" spans="1:10" ht="13.15" customHeight="1" x14ac:dyDescent="0.25">
      <c r="A1382">
        <f t="shared" si="136"/>
        <v>1377</v>
      </c>
      <c r="B1382" t="s">
        <v>1926</v>
      </c>
      <c r="C1382" s="2">
        <v>0.48333333333333334</v>
      </c>
      <c r="D1382" s="4">
        <f t="shared" si="132"/>
        <v>0.12708333333333333</v>
      </c>
      <c r="E1382" s="6">
        <v>0.35625000000000001</v>
      </c>
      <c r="F1382" s="5">
        <f t="shared" si="137"/>
        <v>0.73706896551724144</v>
      </c>
      <c r="G1382" s="5">
        <v>0.85599999999999998</v>
      </c>
      <c r="H1382" s="4">
        <f>57/1440</f>
        <v>3.9583333333333331E-2</v>
      </c>
      <c r="I1382" s="5">
        <v>9.5000000000000001E-2</v>
      </c>
      <c r="J1382" s="11" t="s">
        <v>1918</v>
      </c>
    </row>
    <row r="1383" spans="1:10" ht="13.15" customHeight="1" x14ac:dyDescent="0.25">
      <c r="A1383">
        <f t="shared" si="136"/>
        <v>1378</v>
      </c>
      <c r="B1383" t="s">
        <v>1927</v>
      </c>
      <c r="C1383" s="2">
        <v>0.47083333333333333</v>
      </c>
      <c r="D1383" s="4">
        <f t="shared" si="132"/>
        <v>0.13958333333333334</v>
      </c>
      <c r="E1383" s="6">
        <v>0.33124999999999999</v>
      </c>
      <c r="F1383" s="5">
        <f t="shared" si="137"/>
        <v>0.70353982300884954</v>
      </c>
      <c r="G1383" s="5">
        <v>0.78</v>
      </c>
      <c r="H1383" s="4">
        <f>57.3/1440</f>
        <v>3.9791666666666663E-2</v>
      </c>
      <c r="I1383" s="5">
        <v>9.4E-2</v>
      </c>
      <c r="J1383" s="11" t="s">
        <v>1918</v>
      </c>
    </row>
    <row r="1384" spans="1:10" ht="13.15" customHeight="1" x14ac:dyDescent="0.25">
      <c r="A1384">
        <f t="shared" si="136"/>
        <v>1379</v>
      </c>
      <c r="B1384" t="s">
        <v>1928</v>
      </c>
      <c r="C1384" s="2">
        <v>0.41666666666666669</v>
      </c>
      <c r="D1384" s="4">
        <f t="shared" si="132"/>
        <v>0.1027777777777778</v>
      </c>
      <c r="E1384" s="6">
        <v>0.31388888888888888</v>
      </c>
      <c r="F1384" s="5">
        <f t="shared" ref="F1384:F1392" si="138">E1384/C1384</f>
        <v>0.7533333333333333</v>
      </c>
      <c r="G1384" s="5">
        <v>0.78900000000000003</v>
      </c>
      <c r="H1384" s="4">
        <f>58.7/1440</f>
        <v>4.0763888888888891E-2</v>
      </c>
      <c r="I1384" s="5">
        <v>0.10199999999999999</v>
      </c>
      <c r="J1384" s="11" t="s">
        <v>1929</v>
      </c>
    </row>
    <row r="1385" spans="1:10" ht="13.15" customHeight="1" x14ac:dyDescent="0.25">
      <c r="A1385">
        <f t="shared" si="136"/>
        <v>1380</v>
      </c>
      <c r="B1385" t="s">
        <v>1930</v>
      </c>
      <c r="C1385" s="2">
        <v>0.43402777777777779</v>
      </c>
      <c r="D1385" s="4">
        <f t="shared" si="132"/>
        <v>0.10486111111111113</v>
      </c>
      <c r="E1385" s="6">
        <v>0.32916666666666666</v>
      </c>
      <c r="F1385" s="5">
        <f t="shared" si="138"/>
        <v>0.75839999999999996</v>
      </c>
      <c r="G1385" s="5">
        <v>0.84099999999999997</v>
      </c>
      <c r="H1385" s="4">
        <f>63.9/1440</f>
        <v>4.4374999999999998E-2</v>
      </c>
      <c r="I1385" s="5">
        <v>0.113</v>
      </c>
      <c r="J1385" s="11" t="s">
        <v>1929</v>
      </c>
    </row>
    <row r="1386" spans="1:10" ht="13.15" customHeight="1" x14ac:dyDescent="0.25">
      <c r="A1386">
        <f t="shared" si="136"/>
        <v>1381</v>
      </c>
      <c r="B1386" t="s">
        <v>1931</v>
      </c>
      <c r="C1386" s="2">
        <v>0.39305555555555555</v>
      </c>
      <c r="D1386" s="4">
        <f t="shared" si="132"/>
        <v>0.1020833333333333</v>
      </c>
      <c r="E1386" s="6">
        <v>0.29097222222222224</v>
      </c>
      <c r="F1386" s="5">
        <f t="shared" si="138"/>
        <v>0.74028268551236753</v>
      </c>
      <c r="G1386" s="5">
        <v>0.76100000000000001</v>
      </c>
      <c r="H1386" s="4">
        <f>55/1440</f>
        <v>3.8194444444444448E-2</v>
      </c>
      <c r="I1386" s="5">
        <v>0.1</v>
      </c>
      <c r="J1386" s="11" t="s">
        <v>1929</v>
      </c>
    </row>
    <row r="1387" spans="1:10" ht="13.15" customHeight="1" x14ac:dyDescent="0.25">
      <c r="A1387">
        <f t="shared" si="136"/>
        <v>1382</v>
      </c>
      <c r="B1387" t="s">
        <v>1932</v>
      </c>
      <c r="C1387" s="2">
        <v>0.39374999999999999</v>
      </c>
      <c r="D1387" s="4">
        <f t="shared" si="132"/>
        <v>0.10625000000000001</v>
      </c>
      <c r="E1387" s="6">
        <v>0.28749999999999998</v>
      </c>
      <c r="F1387" s="5">
        <f t="shared" si="138"/>
        <v>0.73015873015873012</v>
      </c>
      <c r="G1387" s="5">
        <v>0.69699999999999995</v>
      </c>
      <c r="H1387" s="4">
        <f>49.4/1440</f>
        <v>3.4305555555555554E-2</v>
      </c>
      <c r="I1387" s="5">
        <v>8.3000000000000004E-2</v>
      </c>
      <c r="J1387" s="11" t="s">
        <v>1929</v>
      </c>
    </row>
    <row r="1388" spans="1:10" ht="13.15" customHeight="1" x14ac:dyDescent="0.25">
      <c r="A1388">
        <f t="shared" si="136"/>
        <v>1383</v>
      </c>
      <c r="B1388" t="s">
        <v>1933</v>
      </c>
      <c r="C1388" s="2">
        <v>0.40486111111111112</v>
      </c>
      <c r="D1388" s="4">
        <f t="shared" si="132"/>
        <v>9.3055555555555558E-2</v>
      </c>
      <c r="E1388" s="6">
        <v>0.31180555555555556</v>
      </c>
      <c r="F1388" s="5">
        <f t="shared" si="138"/>
        <v>0.77015437392795882</v>
      </c>
      <c r="G1388" s="5">
        <v>0.79400000000000004</v>
      </c>
      <c r="H1388" s="4">
        <f>56.9/1440</f>
        <v>3.951388888888889E-2</v>
      </c>
      <c r="I1388" s="5">
        <v>0.1</v>
      </c>
      <c r="J1388" s="11" t="s">
        <v>1929</v>
      </c>
    </row>
    <row r="1389" spans="1:10" ht="13.15" customHeight="1" x14ac:dyDescent="0.25">
      <c r="A1389">
        <f t="shared" si="136"/>
        <v>1384</v>
      </c>
      <c r="B1389" t="s">
        <v>1934</v>
      </c>
      <c r="C1389" s="2">
        <v>0.40555555555555556</v>
      </c>
      <c r="D1389" s="4">
        <f t="shared" si="132"/>
        <v>0.10069444444444442</v>
      </c>
      <c r="E1389" s="6">
        <v>0.30486111111111114</v>
      </c>
      <c r="F1389" s="5">
        <f t="shared" si="138"/>
        <v>0.75171232876712335</v>
      </c>
      <c r="G1389" s="5">
        <v>0.77900000000000003</v>
      </c>
      <c r="H1389" s="4">
        <f>5.4/1440</f>
        <v>3.7500000000000003E-3</v>
      </c>
      <c r="I1389" s="5">
        <v>9.8000000000000004E-2</v>
      </c>
      <c r="J1389" s="11" t="s">
        <v>1935</v>
      </c>
    </row>
    <row r="1390" spans="1:10" ht="13.15" customHeight="1" x14ac:dyDescent="0.25">
      <c r="A1390">
        <f t="shared" si="136"/>
        <v>1385</v>
      </c>
      <c r="B1390" t="s">
        <v>1936</v>
      </c>
      <c r="C1390" s="2">
        <v>0.46666666666666667</v>
      </c>
      <c r="D1390" s="4">
        <f t="shared" si="132"/>
        <v>0.1111111111111111</v>
      </c>
      <c r="E1390" s="6">
        <v>0.35555555555555557</v>
      </c>
      <c r="F1390" s="5">
        <f t="shared" si="138"/>
        <v>0.76190476190476197</v>
      </c>
      <c r="G1390" s="5">
        <v>0.82699999999999996</v>
      </c>
      <c r="H1390" s="4">
        <f>62.3/1440</f>
        <v>4.3263888888888886E-2</v>
      </c>
      <c r="I1390" s="5">
        <v>0.1</v>
      </c>
      <c r="J1390" s="11" t="s">
        <v>1935</v>
      </c>
    </row>
    <row r="1391" spans="1:10" ht="13.15" customHeight="1" x14ac:dyDescent="0.25">
      <c r="A1391">
        <f t="shared" si="136"/>
        <v>1386</v>
      </c>
      <c r="B1391" t="s">
        <v>1937</v>
      </c>
      <c r="C1391" s="2">
        <v>0.47361111111111109</v>
      </c>
      <c r="D1391" s="4">
        <f t="shared" si="132"/>
        <v>0.11319444444444443</v>
      </c>
      <c r="E1391" s="6">
        <v>0.36041666666666666</v>
      </c>
      <c r="F1391" s="5">
        <f t="shared" si="138"/>
        <v>0.76099706744868034</v>
      </c>
      <c r="G1391" s="5">
        <v>0.80200000000000005</v>
      </c>
      <c r="H1391" s="4">
        <f>62.3/1440</f>
        <v>4.3263888888888886E-2</v>
      </c>
      <c r="I1391" s="5">
        <v>9.6000000000000002E-2</v>
      </c>
      <c r="J1391" s="11" t="s">
        <v>1935</v>
      </c>
    </row>
    <row r="1392" spans="1:10" ht="13.15" customHeight="1" x14ac:dyDescent="0.25">
      <c r="A1392">
        <f t="shared" si="136"/>
        <v>1387</v>
      </c>
      <c r="B1392" t="s">
        <v>1938</v>
      </c>
      <c r="C1392" s="2">
        <v>0.42499999999999999</v>
      </c>
      <c r="D1392" s="4">
        <f t="shared" si="132"/>
        <v>0.10069444444444442</v>
      </c>
      <c r="E1392" s="6">
        <v>0.32430555555555557</v>
      </c>
      <c r="F1392" s="5">
        <f t="shared" si="138"/>
        <v>0.76307189542483667</v>
      </c>
      <c r="G1392" s="5">
        <v>0.84299999999999997</v>
      </c>
      <c r="H1392" s="4">
        <f>70.6/1440</f>
        <v>4.9027777777777774E-2</v>
      </c>
      <c r="I1392" s="5">
        <v>0.127</v>
      </c>
      <c r="J1392" s="11" t="s">
        <v>1935</v>
      </c>
    </row>
    <row r="1393" spans="1:10" ht="13.15" customHeight="1" x14ac:dyDescent="0.25">
      <c r="A1393">
        <f t="shared" si="136"/>
        <v>1388</v>
      </c>
      <c r="B1393" t="s">
        <v>1941</v>
      </c>
      <c r="C1393" s="2">
        <v>0.43055555555555558</v>
      </c>
      <c r="D1393" s="4">
        <f t="shared" si="132"/>
        <v>0.10902777777777778</v>
      </c>
      <c r="E1393" s="6">
        <v>0.3215277777777778</v>
      </c>
      <c r="F1393" s="5">
        <f t="shared" ref="F1393:F1402" si="139">E1393/C1393</f>
        <v>0.74677419354838714</v>
      </c>
      <c r="G1393" s="5">
        <v>0.82199999999999995</v>
      </c>
      <c r="H1393" s="4">
        <f>63.6/1440</f>
        <v>4.4166666666666667E-2</v>
      </c>
      <c r="I1393" s="5">
        <v>0.113</v>
      </c>
      <c r="J1393" s="11" t="s">
        <v>1939</v>
      </c>
    </row>
    <row r="1394" spans="1:10" ht="13.15" customHeight="1" x14ac:dyDescent="0.25">
      <c r="A1394">
        <f t="shared" si="136"/>
        <v>1389</v>
      </c>
      <c r="B1394" t="s">
        <v>1942</v>
      </c>
      <c r="C1394" s="2">
        <v>0.43680555555555556</v>
      </c>
      <c r="D1394" s="4">
        <f t="shared" si="132"/>
        <v>0.1076388888888889</v>
      </c>
      <c r="E1394" s="6">
        <v>0.32916666666666666</v>
      </c>
      <c r="F1394" s="5">
        <f t="shared" si="139"/>
        <v>0.75357710651828302</v>
      </c>
      <c r="G1394" s="5">
        <v>0.84899999999999998</v>
      </c>
      <c r="H1394" s="4">
        <f>69.7/1440</f>
        <v>4.8402777777777781E-2</v>
      </c>
      <c r="I1394" s="5">
        <v>0.125</v>
      </c>
      <c r="J1394" s="11" t="s">
        <v>1939</v>
      </c>
    </row>
    <row r="1395" spans="1:10" ht="13.15" customHeight="1" x14ac:dyDescent="0.25">
      <c r="A1395">
        <f t="shared" si="136"/>
        <v>1390</v>
      </c>
      <c r="B1395" t="s">
        <v>1943</v>
      </c>
      <c r="C1395" s="2">
        <v>0.42916666666666664</v>
      </c>
      <c r="D1395" s="4">
        <f t="shared" si="132"/>
        <v>0.11319444444444443</v>
      </c>
      <c r="E1395" s="6">
        <v>0.31597222222222221</v>
      </c>
      <c r="F1395" s="5">
        <f t="shared" si="139"/>
        <v>0.7362459546925566</v>
      </c>
      <c r="G1395" s="5">
        <v>0.82099999999999995</v>
      </c>
      <c r="H1395" s="4">
        <f>60.6/1440</f>
        <v>4.2083333333333334E-2</v>
      </c>
      <c r="I1395" s="5">
        <v>0.109</v>
      </c>
      <c r="J1395" s="11" t="s">
        <v>1939</v>
      </c>
    </row>
    <row r="1396" spans="1:10" ht="13.15" customHeight="1" x14ac:dyDescent="0.25">
      <c r="A1396">
        <f t="shared" si="136"/>
        <v>1391</v>
      </c>
      <c r="B1396" t="s">
        <v>1944</v>
      </c>
      <c r="C1396" s="2">
        <v>0.46875</v>
      </c>
      <c r="D1396" s="4">
        <f t="shared" si="132"/>
        <v>0.11388888888888887</v>
      </c>
      <c r="E1396" s="6">
        <v>0.35486111111111113</v>
      </c>
      <c r="F1396" s="5">
        <f t="shared" si="139"/>
        <v>0.75703703703703706</v>
      </c>
      <c r="G1396" s="5">
        <v>0.84899999999999998</v>
      </c>
      <c r="H1396" s="4">
        <f>60.7/1440</f>
        <v>4.2152777777777782E-2</v>
      </c>
      <c r="I1396" s="5">
        <v>0.10100000000000001</v>
      </c>
      <c r="J1396" s="11" t="s">
        <v>1939</v>
      </c>
    </row>
    <row r="1397" spans="1:10" ht="13.15" customHeight="1" x14ac:dyDescent="0.25">
      <c r="A1397">
        <f t="shared" si="136"/>
        <v>1392</v>
      </c>
      <c r="B1397" t="s">
        <v>1945</v>
      </c>
      <c r="C1397" s="2">
        <v>0.4</v>
      </c>
      <c r="D1397" s="4">
        <f t="shared" si="132"/>
        <v>0.10833333333333334</v>
      </c>
      <c r="E1397" s="6">
        <v>0.29166666666666669</v>
      </c>
      <c r="F1397" s="5">
        <f t="shared" si="139"/>
        <v>0.72916666666666663</v>
      </c>
      <c r="G1397" s="5">
        <v>0.77600000000000002</v>
      </c>
      <c r="H1397" s="4">
        <f>56.2/1440</f>
        <v>3.9027777777777779E-2</v>
      </c>
      <c r="I1397" s="5">
        <v>0.104</v>
      </c>
      <c r="J1397" s="11" t="s">
        <v>1939</v>
      </c>
    </row>
    <row r="1398" spans="1:10" ht="13.15" customHeight="1" x14ac:dyDescent="0.25">
      <c r="A1398">
        <f t="shared" si="136"/>
        <v>1393</v>
      </c>
      <c r="B1398" t="s">
        <v>1946</v>
      </c>
      <c r="C1398" s="2">
        <v>0.41597222222222224</v>
      </c>
      <c r="D1398" s="4">
        <f t="shared" si="132"/>
        <v>0.10694444444444445</v>
      </c>
      <c r="E1398" s="6">
        <v>0.30902777777777779</v>
      </c>
      <c r="F1398" s="5">
        <f t="shared" si="139"/>
        <v>0.74290484140233726</v>
      </c>
      <c r="G1398" s="5">
        <v>0.76400000000000001</v>
      </c>
      <c r="H1398" s="4">
        <f>55.8/1440</f>
        <v>3.875E-2</v>
      </c>
      <c r="I1398" s="5">
        <v>9.6000000000000002E-2</v>
      </c>
      <c r="J1398" s="11" t="s">
        <v>1940</v>
      </c>
    </row>
    <row r="1399" spans="1:10" ht="13.15" customHeight="1" x14ac:dyDescent="0.25">
      <c r="A1399">
        <f t="shared" si="136"/>
        <v>1394</v>
      </c>
      <c r="B1399" t="s">
        <v>1947</v>
      </c>
      <c r="C1399" s="2">
        <v>0.43888888888888888</v>
      </c>
      <c r="D1399" s="4">
        <f t="shared" si="132"/>
        <v>0.10555555555555557</v>
      </c>
      <c r="E1399" s="6">
        <v>0.33333333333333331</v>
      </c>
      <c r="F1399" s="5">
        <f t="shared" si="139"/>
        <v>0.75949367088607589</v>
      </c>
      <c r="G1399" s="5">
        <v>0.82</v>
      </c>
      <c r="H1399" s="4">
        <f>57.3/1440</f>
        <v>3.9791666666666663E-2</v>
      </c>
      <c r="I1399" s="5">
        <v>9.8000000000000004E-2</v>
      </c>
      <c r="J1399" s="11" t="s">
        <v>1940</v>
      </c>
    </row>
    <row r="1400" spans="1:10" ht="13.15" customHeight="1" x14ac:dyDescent="0.25">
      <c r="A1400">
        <f t="shared" si="136"/>
        <v>1395</v>
      </c>
      <c r="B1400" t="s">
        <v>1948</v>
      </c>
      <c r="C1400" s="2">
        <v>0.45833333333333331</v>
      </c>
      <c r="D1400" s="4">
        <f t="shared" si="132"/>
        <v>0.12986111111111109</v>
      </c>
      <c r="E1400" s="6">
        <v>0.32847222222222222</v>
      </c>
      <c r="F1400" s="5">
        <f t="shared" si="139"/>
        <v>0.71666666666666667</v>
      </c>
      <c r="G1400" s="5">
        <v>0.76500000000000001</v>
      </c>
      <c r="H1400" s="4">
        <f>54.5/1440</f>
        <v>3.784722222222222E-2</v>
      </c>
      <c r="I1400" s="5">
        <v>8.7999999999999995E-2</v>
      </c>
      <c r="J1400" s="11" t="s">
        <v>1940</v>
      </c>
    </row>
    <row r="1401" spans="1:10" ht="13.15" customHeight="1" x14ac:dyDescent="0.25">
      <c r="A1401">
        <f t="shared" si="136"/>
        <v>1396</v>
      </c>
      <c r="B1401" t="s">
        <v>1949</v>
      </c>
      <c r="C1401" s="2">
        <v>0.52013888888888893</v>
      </c>
      <c r="D1401" s="4">
        <f t="shared" si="132"/>
        <v>0.12083333333333335</v>
      </c>
      <c r="E1401" s="6">
        <v>0.39930555555555558</v>
      </c>
      <c r="F1401" s="5">
        <f t="shared" si="139"/>
        <v>0.76769025367156207</v>
      </c>
      <c r="G1401" s="5">
        <v>0.76700000000000002</v>
      </c>
      <c r="H1401" s="4">
        <f>58.4/1440</f>
        <v>4.0555555555555553E-2</v>
      </c>
      <c r="I1401" s="5">
        <v>7.8E-2</v>
      </c>
      <c r="J1401" s="11" t="s">
        <v>1940</v>
      </c>
    </row>
    <row r="1402" spans="1:10" ht="13.15" customHeight="1" x14ac:dyDescent="0.25">
      <c r="A1402">
        <f t="shared" si="136"/>
        <v>1397</v>
      </c>
      <c r="B1402" t="s">
        <v>1950</v>
      </c>
      <c r="C1402" s="2">
        <v>0.39305555555555555</v>
      </c>
      <c r="D1402" s="4">
        <f t="shared" si="132"/>
        <v>0.11388888888888887</v>
      </c>
      <c r="E1402" s="6">
        <v>0.27916666666666667</v>
      </c>
      <c r="F1402" s="5">
        <f t="shared" si="139"/>
        <v>0.71024734982332161</v>
      </c>
      <c r="G1402" s="5">
        <v>0.71899999999999997</v>
      </c>
      <c r="H1402" s="4">
        <f>47.3/1440</f>
        <v>3.2847222222222222E-2</v>
      </c>
      <c r="I1402" s="5">
        <v>8.4000000000000005E-2</v>
      </c>
      <c r="J1402" s="11" t="s">
        <v>1940</v>
      </c>
    </row>
    <row r="1403" spans="1:10" ht="13.15" customHeight="1" x14ac:dyDescent="0.25">
      <c r="A1403">
        <f t="shared" si="136"/>
        <v>1398</v>
      </c>
      <c r="B1403" t="s">
        <v>1953</v>
      </c>
      <c r="C1403" s="2">
        <v>0.43194444444444446</v>
      </c>
      <c r="D1403" s="4">
        <f t="shared" si="132"/>
        <v>9.9305555555555591E-2</v>
      </c>
      <c r="E1403" s="6">
        <v>0.33263888888888887</v>
      </c>
      <c r="F1403" s="5">
        <f t="shared" ref="F1403:F1411" si="140">E1403/C1403</f>
        <v>0.770096463022508</v>
      </c>
      <c r="G1403" s="5">
        <v>0.80200000000000005</v>
      </c>
      <c r="H1403" s="4">
        <f>63.7/1440</f>
        <v>4.4236111111111115E-2</v>
      </c>
      <c r="I1403" s="5">
        <v>0.106</v>
      </c>
      <c r="J1403" s="11" t="s">
        <v>1951</v>
      </c>
    </row>
    <row r="1404" spans="1:10" ht="13.15" customHeight="1" x14ac:dyDescent="0.25">
      <c r="A1404">
        <f t="shared" si="136"/>
        <v>1399</v>
      </c>
      <c r="B1404" t="s">
        <v>1954</v>
      </c>
      <c r="C1404" s="2">
        <v>0.40833333333333333</v>
      </c>
      <c r="D1404" s="4">
        <f t="shared" si="132"/>
        <v>9.375E-2</v>
      </c>
      <c r="E1404" s="6">
        <v>0.31458333333333333</v>
      </c>
      <c r="F1404" s="5">
        <f t="shared" si="140"/>
        <v>0.77040816326530615</v>
      </c>
      <c r="G1404" s="5">
        <v>0.82199999999999995</v>
      </c>
      <c r="H1404" s="4">
        <f>65.2/1440</f>
        <v>4.5277777777777778E-2</v>
      </c>
      <c r="I1404" s="5">
        <v>0.11799999999999999</v>
      </c>
      <c r="J1404" s="11" t="s">
        <v>1951</v>
      </c>
    </row>
    <row r="1405" spans="1:10" ht="13.15" customHeight="1" x14ac:dyDescent="0.25">
      <c r="A1405">
        <f t="shared" si="136"/>
        <v>1400</v>
      </c>
      <c r="B1405" t="s">
        <v>1955</v>
      </c>
      <c r="C1405" s="2">
        <v>0.41041666666666665</v>
      </c>
      <c r="D1405" s="4">
        <f t="shared" si="132"/>
        <v>0.10277777777777775</v>
      </c>
      <c r="E1405" s="6">
        <v>0.30763888888888891</v>
      </c>
      <c r="F1405" s="5">
        <f t="shared" si="140"/>
        <v>0.74957698815566842</v>
      </c>
      <c r="G1405" s="5">
        <v>0.77800000000000002</v>
      </c>
      <c r="H1405" s="4">
        <f>64.9/1440</f>
        <v>4.5069444444444447E-2</v>
      </c>
      <c r="I1405" s="5">
        <v>0.114</v>
      </c>
      <c r="J1405" s="11" t="s">
        <v>1951</v>
      </c>
    </row>
    <row r="1406" spans="1:10" ht="13.15" customHeight="1" x14ac:dyDescent="0.25">
      <c r="A1406">
        <f t="shared" si="136"/>
        <v>1401</v>
      </c>
      <c r="B1406" t="s">
        <v>1956</v>
      </c>
      <c r="C1406" s="2">
        <v>0.42430555555555555</v>
      </c>
      <c r="D1406" s="4">
        <f t="shared" si="132"/>
        <v>0.11249999999999999</v>
      </c>
      <c r="E1406" s="6">
        <v>0.31180555555555556</v>
      </c>
      <c r="F1406" s="5">
        <f t="shared" si="140"/>
        <v>0.73486088379705405</v>
      </c>
      <c r="G1406" s="5">
        <v>0.68200000000000005</v>
      </c>
      <c r="H1406" s="4">
        <f>60.4/1440</f>
        <v>4.1944444444444444E-2</v>
      </c>
      <c r="I1406" s="5">
        <v>9.1999999999999998E-2</v>
      </c>
      <c r="J1406" s="11" t="s">
        <v>1951</v>
      </c>
    </row>
    <row r="1407" spans="1:10" ht="13.15" customHeight="1" x14ac:dyDescent="0.25">
      <c r="A1407">
        <f t="shared" si="136"/>
        <v>1402</v>
      </c>
      <c r="B1407" t="s">
        <v>1957</v>
      </c>
      <c r="C1407" s="2">
        <v>0.41944444444444445</v>
      </c>
      <c r="D1407" s="4">
        <f t="shared" si="132"/>
        <v>8.4722222222222254E-2</v>
      </c>
      <c r="E1407" s="6">
        <v>0.3347222222222222</v>
      </c>
      <c r="F1407" s="5">
        <f t="shared" si="140"/>
        <v>0.79801324503311255</v>
      </c>
      <c r="G1407" s="5">
        <v>0.8</v>
      </c>
      <c r="H1407" s="4">
        <f>64.9/1440</f>
        <v>4.5069444444444447E-2</v>
      </c>
      <c r="I1407" s="5">
        <v>0.108</v>
      </c>
      <c r="J1407" s="11" t="s">
        <v>1951</v>
      </c>
    </row>
    <row r="1408" spans="1:10" ht="13.15" customHeight="1" x14ac:dyDescent="0.25">
      <c r="A1408">
        <f t="shared" si="136"/>
        <v>1403</v>
      </c>
      <c r="B1408" t="s">
        <v>1958</v>
      </c>
      <c r="C1408" s="2">
        <v>0.41249999999999998</v>
      </c>
      <c r="D1408" s="4">
        <f t="shared" si="132"/>
        <v>9.9305555555555536E-2</v>
      </c>
      <c r="E1408" s="6">
        <v>0.31319444444444444</v>
      </c>
      <c r="F1408" s="5">
        <f t="shared" si="140"/>
        <v>0.7592592592592593</v>
      </c>
      <c r="G1408" s="5">
        <v>0.80800000000000005</v>
      </c>
      <c r="H1408" s="4">
        <f>63.2/1440</f>
        <v>4.3888888888888894E-2</v>
      </c>
      <c r="I1408" s="5">
        <v>0.113</v>
      </c>
      <c r="J1408" s="11" t="s">
        <v>1952</v>
      </c>
    </row>
    <row r="1409" spans="1:10" ht="13.15" customHeight="1" x14ac:dyDescent="0.25">
      <c r="A1409">
        <f t="shared" si="136"/>
        <v>1404</v>
      </c>
      <c r="B1409" t="s">
        <v>1959</v>
      </c>
      <c r="C1409" s="2">
        <v>0.49930555555555556</v>
      </c>
      <c r="D1409" s="4">
        <f t="shared" si="132"/>
        <v>0.1159722222222222</v>
      </c>
      <c r="E1409" s="6">
        <v>0.38333333333333336</v>
      </c>
      <c r="F1409" s="5">
        <f t="shared" si="140"/>
        <v>0.76773296244784428</v>
      </c>
      <c r="G1409" s="5">
        <v>0.83399999999999996</v>
      </c>
      <c r="H1409" s="4">
        <f>59.6/1440</f>
        <v>4.1388888888888892E-2</v>
      </c>
      <c r="I1409" s="5">
        <v>0.09</v>
      </c>
      <c r="J1409" s="11" t="s">
        <v>1952</v>
      </c>
    </row>
    <row r="1410" spans="1:10" ht="13.15" customHeight="1" x14ac:dyDescent="0.25">
      <c r="A1410">
        <f t="shared" si="136"/>
        <v>1405</v>
      </c>
      <c r="B1410" t="s">
        <v>1960</v>
      </c>
      <c r="C1410" s="2">
        <v>0.51527777777777772</v>
      </c>
      <c r="D1410" s="4">
        <f t="shared" si="132"/>
        <v>0.11666666666666659</v>
      </c>
      <c r="E1410" s="6">
        <v>0.39861111111111114</v>
      </c>
      <c r="F1410" s="5">
        <f t="shared" si="140"/>
        <v>0.77358490566037752</v>
      </c>
      <c r="G1410" s="5">
        <v>0.85399999999999998</v>
      </c>
      <c r="H1410" s="4">
        <f>57.3/1440</f>
        <v>3.9791666666666663E-2</v>
      </c>
      <c r="I1410" s="5">
        <v>8.5000000000000006E-2</v>
      </c>
      <c r="J1410" s="11" t="s">
        <v>1952</v>
      </c>
    </row>
    <row r="1411" spans="1:10" ht="13.15" customHeight="1" x14ac:dyDescent="0.25">
      <c r="A1411">
        <f t="shared" si="136"/>
        <v>1406</v>
      </c>
      <c r="B1411" t="s">
        <v>1961</v>
      </c>
      <c r="C1411" s="2">
        <v>0.46666666666666667</v>
      </c>
      <c r="D1411" s="4">
        <f t="shared" ref="D1411:D1454" si="141">C1411-E1411</f>
        <v>0.10347222222222224</v>
      </c>
      <c r="E1411" s="6">
        <v>0.36319444444444443</v>
      </c>
      <c r="F1411" s="5">
        <f t="shared" si="140"/>
        <v>0.77827380952380953</v>
      </c>
      <c r="G1411" s="5">
        <v>0.86299999999999999</v>
      </c>
      <c r="H1411" s="4">
        <f>68.6/1440</f>
        <v>4.7638888888888883E-2</v>
      </c>
      <c r="I1411" s="5">
        <v>0.113</v>
      </c>
      <c r="J1411" s="11" t="s">
        <v>1952</v>
      </c>
    </row>
    <row r="1412" spans="1:10" ht="13.15" customHeight="1" x14ac:dyDescent="0.25">
      <c r="A1412">
        <f t="shared" si="136"/>
        <v>1407</v>
      </c>
      <c r="B1412" t="s">
        <v>1962</v>
      </c>
      <c r="C1412" s="2">
        <v>0.55972222222222223</v>
      </c>
      <c r="D1412" s="4">
        <f t="shared" si="141"/>
        <v>0.14305555555555555</v>
      </c>
      <c r="E1412" s="6">
        <v>0.41666666666666669</v>
      </c>
      <c r="F1412" s="5">
        <f t="shared" ref="F1412" si="142">E1412/C1412</f>
        <v>0.74441687344913154</v>
      </c>
      <c r="G1412" s="5">
        <v>0.91500000000000004</v>
      </c>
      <c r="H1412" s="4">
        <f>59.5/1440</f>
        <v>4.1319444444444443E-2</v>
      </c>
      <c r="I1412" s="5">
        <v>9.0999999999999998E-2</v>
      </c>
      <c r="J1412" s="11" t="s">
        <v>1972</v>
      </c>
    </row>
    <row r="1413" spans="1:10" ht="13.15" customHeight="1" x14ac:dyDescent="0.25">
      <c r="A1413">
        <f t="shared" si="136"/>
        <v>1408</v>
      </c>
      <c r="B1413" t="s">
        <v>1963</v>
      </c>
      <c r="C1413" s="2">
        <v>0.43611111111111112</v>
      </c>
      <c r="D1413" s="4">
        <f t="shared" si="141"/>
        <v>0.10902777777777778</v>
      </c>
      <c r="E1413" s="6">
        <v>0.32708333333333334</v>
      </c>
      <c r="F1413" s="5">
        <f t="shared" ref="F1413:F1421" si="143">E1413/C1413</f>
        <v>0.75</v>
      </c>
      <c r="G1413" s="5">
        <v>0.80400000000000005</v>
      </c>
      <c r="H1413" s="4">
        <f>60.2/1440</f>
        <v>4.1805555555555554E-2</v>
      </c>
      <c r="I1413" s="5">
        <v>0.10299999999999999</v>
      </c>
      <c r="J1413" s="11" t="s">
        <v>1973</v>
      </c>
    </row>
    <row r="1414" spans="1:10" ht="13.15" customHeight="1" x14ac:dyDescent="0.25">
      <c r="A1414">
        <f t="shared" si="136"/>
        <v>1409</v>
      </c>
      <c r="B1414" t="s">
        <v>1964</v>
      </c>
      <c r="C1414" s="2">
        <v>0.43472222222222223</v>
      </c>
      <c r="D1414" s="4">
        <f t="shared" si="141"/>
        <v>0.10972222222222222</v>
      </c>
      <c r="E1414" s="6">
        <v>0.32500000000000001</v>
      </c>
      <c r="F1414" s="5">
        <f t="shared" si="143"/>
        <v>0.74760383386581475</v>
      </c>
      <c r="G1414" s="5">
        <v>0.81899999999999995</v>
      </c>
      <c r="H1414" s="4">
        <f>66.3/1440</f>
        <v>4.6041666666666661E-2</v>
      </c>
      <c r="I1414" s="5">
        <v>0.11600000000000001</v>
      </c>
      <c r="J1414" s="11" t="s">
        <v>1973</v>
      </c>
    </row>
    <row r="1415" spans="1:10" ht="13.15" customHeight="1" x14ac:dyDescent="0.25">
      <c r="A1415">
        <f t="shared" si="136"/>
        <v>1410</v>
      </c>
      <c r="B1415" t="s">
        <v>1965</v>
      </c>
      <c r="C1415" s="2">
        <v>0.42638888888888887</v>
      </c>
      <c r="D1415" s="4">
        <f t="shared" si="141"/>
        <v>0.11458333333333331</v>
      </c>
      <c r="E1415" s="6">
        <v>0.31180555555555556</v>
      </c>
      <c r="F1415" s="5">
        <f t="shared" si="143"/>
        <v>0.73127035830618892</v>
      </c>
      <c r="G1415" s="5">
        <v>0.77800000000000002</v>
      </c>
      <c r="H1415" s="4">
        <f>54.7/1440</f>
        <v>3.7986111111111116E-2</v>
      </c>
      <c r="I1415" s="5">
        <v>9.5000000000000001E-2</v>
      </c>
      <c r="J1415" s="11" t="s">
        <v>1973</v>
      </c>
    </row>
    <row r="1416" spans="1:10" ht="13.15" customHeight="1" x14ac:dyDescent="0.25">
      <c r="A1416">
        <f t="shared" si="136"/>
        <v>1411</v>
      </c>
      <c r="B1416" t="s">
        <v>1966</v>
      </c>
      <c r="C1416" s="2">
        <v>0.42708333333333331</v>
      </c>
      <c r="D1416" s="4">
        <f t="shared" si="141"/>
        <v>0.11041666666666666</v>
      </c>
      <c r="E1416" s="6">
        <v>0.31666666666666665</v>
      </c>
      <c r="F1416" s="5">
        <f t="shared" si="143"/>
        <v>0.74146341463414633</v>
      </c>
      <c r="G1416" s="5">
        <v>0.72</v>
      </c>
      <c r="H1416" s="4">
        <f>51.9/1440</f>
        <v>3.6041666666666666E-2</v>
      </c>
      <c r="I1416" s="5">
        <v>8.2000000000000003E-2</v>
      </c>
      <c r="J1416" s="11" t="s">
        <v>1973</v>
      </c>
    </row>
    <row r="1417" spans="1:10" ht="13.15" customHeight="1" x14ac:dyDescent="0.25">
      <c r="A1417">
        <f t="shared" si="136"/>
        <v>1412</v>
      </c>
      <c r="B1417" t="s">
        <v>1967</v>
      </c>
      <c r="C1417" s="2">
        <v>0.41388888888888886</v>
      </c>
      <c r="D1417" s="4">
        <f t="shared" si="141"/>
        <v>9.5138888888888884E-2</v>
      </c>
      <c r="E1417" s="6">
        <v>0.31874999999999998</v>
      </c>
      <c r="F1417" s="5">
        <f t="shared" si="143"/>
        <v>0.77013422818791943</v>
      </c>
      <c r="G1417" s="5">
        <v>0.86099999999999999</v>
      </c>
      <c r="H1417" s="4">
        <f>62.4/1440</f>
        <v>4.3333333333333335E-2</v>
      </c>
      <c r="I1417" s="5">
        <v>0.11700000000000001</v>
      </c>
      <c r="J1417" s="11" t="s">
        <v>1973</v>
      </c>
    </row>
    <row r="1418" spans="1:10" ht="13.15" customHeight="1" x14ac:dyDescent="0.25">
      <c r="A1418">
        <f t="shared" si="136"/>
        <v>1413</v>
      </c>
      <c r="B1418" t="s">
        <v>1968</v>
      </c>
      <c r="C1418" s="2">
        <v>0.43680555555555556</v>
      </c>
      <c r="D1418" s="4">
        <f t="shared" si="141"/>
        <v>0.11249999999999999</v>
      </c>
      <c r="E1418" s="6">
        <v>0.32430555555555557</v>
      </c>
      <c r="F1418" s="5">
        <f t="shared" si="143"/>
        <v>0.74244833068362481</v>
      </c>
      <c r="G1418" s="5">
        <v>0.81799999999999995</v>
      </c>
      <c r="H1418" s="4">
        <f>60.3/1440</f>
        <v>4.1874999999999996E-2</v>
      </c>
      <c r="I1418" s="5">
        <v>0.106</v>
      </c>
      <c r="J1418" s="11" t="s">
        <v>1974</v>
      </c>
    </row>
    <row r="1419" spans="1:10" ht="13.15" customHeight="1" x14ac:dyDescent="0.25">
      <c r="A1419">
        <f t="shared" si="136"/>
        <v>1414</v>
      </c>
      <c r="B1419" t="s">
        <v>1969</v>
      </c>
      <c r="C1419" s="2">
        <v>0.49583333333333335</v>
      </c>
      <c r="D1419" s="4">
        <f t="shared" si="141"/>
        <v>0.12083333333333335</v>
      </c>
      <c r="E1419" s="6">
        <v>0.375</v>
      </c>
      <c r="F1419" s="5">
        <f t="shared" si="143"/>
        <v>0.75630252100840334</v>
      </c>
      <c r="G1419" s="5">
        <v>0.84899999999999998</v>
      </c>
      <c r="H1419" s="4">
        <f>60.9/1440</f>
        <v>4.2291666666666665E-2</v>
      </c>
      <c r="I1419" s="5">
        <v>9.6000000000000002E-2</v>
      </c>
      <c r="J1419" s="11" t="s">
        <v>1974</v>
      </c>
    </row>
    <row r="1420" spans="1:10" ht="13.15" customHeight="1" x14ac:dyDescent="0.25">
      <c r="A1420">
        <f t="shared" si="136"/>
        <v>1415</v>
      </c>
      <c r="B1420" t="s">
        <v>1970</v>
      </c>
      <c r="C1420" s="2">
        <v>0.4909722222222222</v>
      </c>
      <c r="D1420" s="4">
        <f t="shared" si="141"/>
        <v>0.11874999999999997</v>
      </c>
      <c r="E1420" s="6">
        <v>0.37222222222222223</v>
      </c>
      <c r="F1420" s="5">
        <f t="shared" si="143"/>
        <v>0.75813295615275822</v>
      </c>
      <c r="G1420" s="5">
        <v>0.84399999999999997</v>
      </c>
      <c r="H1420" s="4">
        <f>62.4/1440</f>
        <v>4.3333333333333335E-2</v>
      </c>
      <c r="I1420" s="5">
        <v>9.8000000000000004E-2</v>
      </c>
      <c r="J1420" s="11" t="s">
        <v>1974</v>
      </c>
    </row>
    <row r="1421" spans="1:10" ht="13.15" customHeight="1" x14ac:dyDescent="0.25">
      <c r="A1421">
        <f t="shared" si="136"/>
        <v>1416</v>
      </c>
      <c r="B1421" t="s">
        <v>1971</v>
      </c>
      <c r="C1421" s="2">
        <v>0.47430555555555554</v>
      </c>
      <c r="D1421" s="4">
        <f t="shared" si="141"/>
        <v>0.12152777777777773</v>
      </c>
      <c r="E1421" s="6">
        <v>0.3527777777777778</v>
      </c>
      <c r="F1421" s="5">
        <f t="shared" si="143"/>
        <v>0.74377745241581272</v>
      </c>
      <c r="G1421" s="5">
        <v>0.81399999999999995</v>
      </c>
      <c r="H1421" s="4">
        <f>70.3/1440</f>
        <v>4.8819444444444443E-2</v>
      </c>
      <c r="I1421" s="5">
        <v>0.112</v>
      </c>
      <c r="J1421" s="11" t="s">
        <v>1974</v>
      </c>
    </row>
    <row r="1422" spans="1:10" ht="13.15" customHeight="1" x14ac:dyDescent="0.25">
      <c r="A1422">
        <f t="shared" si="136"/>
        <v>1417</v>
      </c>
      <c r="B1422" t="s">
        <v>1977</v>
      </c>
      <c r="C1422" s="2">
        <v>0.43333333333333335</v>
      </c>
      <c r="D1422" s="4">
        <f t="shared" si="141"/>
        <v>0.10555555555555557</v>
      </c>
      <c r="E1422" s="6">
        <v>0.32777777777777778</v>
      </c>
      <c r="F1422" s="5">
        <f t="shared" ref="F1422:F1430" si="144">E1422/C1422</f>
        <v>0.75641025641025639</v>
      </c>
      <c r="G1422" s="5">
        <v>0.81100000000000005</v>
      </c>
      <c r="H1422" s="4">
        <f>59.6/1440</f>
        <v>4.1388888888888892E-2</v>
      </c>
      <c r="I1422" s="5">
        <v>0.10199999999999999</v>
      </c>
      <c r="J1422" s="11" t="s">
        <v>1975</v>
      </c>
    </row>
    <row r="1423" spans="1:10" ht="13.15" customHeight="1" x14ac:dyDescent="0.25">
      <c r="A1423">
        <f t="shared" si="136"/>
        <v>1418</v>
      </c>
      <c r="B1423" t="s">
        <v>1978</v>
      </c>
      <c r="C1423" s="2">
        <v>0.42777777777777776</v>
      </c>
      <c r="D1423" s="4">
        <f t="shared" si="141"/>
        <v>0.10277777777777775</v>
      </c>
      <c r="E1423" s="6">
        <v>0.32500000000000001</v>
      </c>
      <c r="F1423" s="5">
        <f t="shared" si="144"/>
        <v>0.75974025974025983</v>
      </c>
      <c r="G1423" s="5">
        <v>0.86</v>
      </c>
      <c r="H1423" s="4">
        <f>64.8/1440</f>
        <v>4.4999999999999998E-2</v>
      </c>
      <c r="I1423" s="5">
        <v>0.11899999999999999</v>
      </c>
      <c r="J1423" s="11" t="s">
        <v>1975</v>
      </c>
    </row>
    <row r="1424" spans="1:10" ht="13.15" customHeight="1" x14ac:dyDescent="0.25">
      <c r="A1424">
        <f t="shared" si="136"/>
        <v>1419</v>
      </c>
      <c r="B1424" t="s">
        <v>1979</v>
      </c>
      <c r="C1424" s="2">
        <v>0.40694444444444444</v>
      </c>
      <c r="D1424" s="4">
        <f t="shared" si="141"/>
        <v>0.10069444444444442</v>
      </c>
      <c r="E1424" s="6">
        <v>0.30625000000000002</v>
      </c>
      <c r="F1424" s="5">
        <f t="shared" si="144"/>
        <v>0.75255972696245743</v>
      </c>
      <c r="G1424" s="5">
        <v>0.80400000000000005</v>
      </c>
      <c r="H1424" s="4">
        <f>53.9/1440</f>
        <v>3.7430555555555557E-2</v>
      </c>
      <c r="I1424" s="5">
        <v>9.8000000000000004E-2</v>
      </c>
      <c r="J1424" s="11" t="s">
        <v>1975</v>
      </c>
    </row>
    <row r="1425" spans="1:10" ht="13.15" customHeight="1" x14ac:dyDescent="0.25">
      <c r="A1425">
        <f t="shared" si="136"/>
        <v>1420</v>
      </c>
      <c r="B1425" t="s">
        <v>1980</v>
      </c>
      <c r="C1425" s="2">
        <v>0.42916666666666664</v>
      </c>
      <c r="D1425" s="4">
        <f t="shared" si="141"/>
        <v>0.10763888888888884</v>
      </c>
      <c r="E1425" s="6">
        <v>0.3215277777777778</v>
      </c>
      <c r="F1425" s="5">
        <f t="shared" si="144"/>
        <v>0.74919093851132701</v>
      </c>
      <c r="G1425" s="5">
        <v>0.73499999999999999</v>
      </c>
      <c r="H1425" s="4">
        <f>52.8/1440</f>
        <v>3.6666666666666667E-2</v>
      </c>
      <c r="I1425" s="5">
        <v>8.4000000000000005E-2</v>
      </c>
      <c r="J1425" s="11" t="s">
        <v>1975</v>
      </c>
    </row>
    <row r="1426" spans="1:10" ht="13.15" customHeight="1" x14ac:dyDescent="0.25">
      <c r="A1426">
        <f t="shared" si="136"/>
        <v>1421</v>
      </c>
      <c r="B1426" t="s">
        <v>1981</v>
      </c>
      <c r="C1426" s="2">
        <v>0.43333333333333335</v>
      </c>
      <c r="D1426" s="4">
        <f t="shared" si="141"/>
        <v>0.10138888888888892</v>
      </c>
      <c r="E1426" s="6">
        <v>0.33194444444444443</v>
      </c>
      <c r="F1426" s="5">
        <f t="shared" si="144"/>
        <v>0.76602564102564097</v>
      </c>
      <c r="G1426" s="5">
        <v>0.82299999999999995</v>
      </c>
      <c r="H1426" s="4">
        <f>62/1440</f>
        <v>4.3055555555555555E-2</v>
      </c>
      <c r="I1426" s="5">
        <v>0.107</v>
      </c>
      <c r="J1426" s="11" t="s">
        <v>1975</v>
      </c>
    </row>
    <row r="1427" spans="1:10" ht="13.15" customHeight="1" x14ac:dyDescent="0.25">
      <c r="A1427">
        <f t="shared" si="136"/>
        <v>1422</v>
      </c>
      <c r="B1427" t="s">
        <v>1982</v>
      </c>
      <c r="C1427" s="2">
        <v>0.43888888888888888</v>
      </c>
      <c r="D1427" s="4">
        <f t="shared" si="141"/>
        <v>0.11666666666666664</v>
      </c>
      <c r="E1427" s="6">
        <v>0.32222222222222224</v>
      </c>
      <c r="F1427" s="5">
        <f t="shared" si="144"/>
        <v>0.73417721518987344</v>
      </c>
      <c r="G1427" s="5">
        <v>0.81799999999999995</v>
      </c>
      <c r="H1427" s="4">
        <f>64.3/1440</f>
        <v>4.4652777777777777E-2</v>
      </c>
      <c r="I1427" s="5">
        <v>0.113</v>
      </c>
      <c r="J1427" s="11" t="s">
        <v>1976</v>
      </c>
    </row>
    <row r="1428" spans="1:10" ht="13.15" customHeight="1" x14ac:dyDescent="0.25">
      <c r="A1428">
        <f t="shared" ref="A1428:A1491" si="145">A1427+1</f>
        <v>1423</v>
      </c>
      <c r="B1428" t="s">
        <v>1983</v>
      </c>
      <c r="C1428" s="2">
        <v>0.51180555555555551</v>
      </c>
      <c r="D1428" s="4">
        <f t="shared" si="141"/>
        <v>0.12152777777777773</v>
      </c>
      <c r="E1428" s="6">
        <v>0.39027777777777778</v>
      </c>
      <c r="F1428" s="5">
        <f t="shared" si="144"/>
        <v>0.76255088195386711</v>
      </c>
      <c r="G1428" s="5">
        <v>0.86399999999999999</v>
      </c>
      <c r="H1428" s="4">
        <f>59.3/1440</f>
        <v>4.1180555555555554E-2</v>
      </c>
      <c r="I1428" s="5">
        <v>9.0999999999999998E-2</v>
      </c>
      <c r="J1428" s="11" t="s">
        <v>1976</v>
      </c>
    </row>
    <row r="1429" spans="1:10" ht="13.15" customHeight="1" x14ac:dyDescent="0.25">
      <c r="A1429">
        <f t="shared" si="145"/>
        <v>1424</v>
      </c>
      <c r="B1429" t="s">
        <v>1984</v>
      </c>
      <c r="C1429" s="2">
        <v>0.52916666666666667</v>
      </c>
      <c r="D1429" s="4">
        <f t="shared" si="141"/>
        <v>0.12291666666666667</v>
      </c>
      <c r="E1429" s="6">
        <v>0.40625</v>
      </c>
      <c r="F1429" s="5">
        <f t="shared" si="144"/>
        <v>0.76771653543307083</v>
      </c>
      <c r="G1429" s="5">
        <v>0.86399999999999999</v>
      </c>
      <c r="H1429" s="4">
        <f>64.6/1440</f>
        <v>4.4861111111111109E-2</v>
      </c>
      <c r="I1429" s="5">
        <v>9.5000000000000001E-2</v>
      </c>
      <c r="J1429" s="11" t="s">
        <v>1976</v>
      </c>
    </row>
    <row r="1430" spans="1:10" ht="13.15" customHeight="1" x14ac:dyDescent="0.25">
      <c r="A1430">
        <f t="shared" si="145"/>
        <v>1425</v>
      </c>
      <c r="B1430" t="s">
        <v>1985</v>
      </c>
      <c r="C1430" s="2">
        <v>0.47083333333333333</v>
      </c>
      <c r="D1430" s="4">
        <f t="shared" si="141"/>
        <v>0.11319444444444443</v>
      </c>
      <c r="E1430" s="6">
        <v>0.3576388888888889</v>
      </c>
      <c r="F1430" s="5">
        <f t="shared" si="144"/>
        <v>0.75958702064896755</v>
      </c>
      <c r="G1430" s="5">
        <v>0.83499999999999996</v>
      </c>
      <c r="H1430" s="4">
        <f>62.3/1440</f>
        <v>4.3263888888888886E-2</v>
      </c>
      <c r="I1430" s="5">
        <v>0.10100000000000001</v>
      </c>
      <c r="J1430" s="11" t="s">
        <v>1976</v>
      </c>
    </row>
    <row r="1431" spans="1:10" ht="13.15" customHeight="1" x14ac:dyDescent="0.25">
      <c r="A1431">
        <f t="shared" si="145"/>
        <v>1426</v>
      </c>
      <c r="B1431" t="s">
        <v>1988</v>
      </c>
      <c r="C1431" s="2">
        <v>0.42430555555555555</v>
      </c>
      <c r="D1431" s="4">
        <f t="shared" si="141"/>
        <v>0.11805555555555552</v>
      </c>
      <c r="E1431" s="6">
        <v>0.30625000000000002</v>
      </c>
      <c r="F1431" s="5">
        <f t="shared" ref="F1431:F1436" si="146">E1431/C1431</f>
        <v>0.72176759410801972</v>
      </c>
      <c r="G1431" s="5">
        <v>0.73399999999999999</v>
      </c>
      <c r="H1431" s="4">
        <f>53.4/1440</f>
        <v>3.7083333333333329E-2</v>
      </c>
      <c r="I1431" s="5">
        <v>8.8999999999999996E-2</v>
      </c>
      <c r="J1431" s="11" t="s">
        <v>1986</v>
      </c>
    </row>
    <row r="1432" spans="1:10" ht="13.15" customHeight="1" x14ac:dyDescent="0.25">
      <c r="A1432">
        <f t="shared" si="145"/>
        <v>1427</v>
      </c>
      <c r="B1432" t="s">
        <v>1989</v>
      </c>
      <c r="C1432" s="2">
        <v>0.4513888888888889</v>
      </c>
      <c r="D1432" s="4">
        <f t="shared" si="141"/>
        <v>0.11597222222222225</v>
      </c>
      <c r="E1432" s="6">
        <v>0.33541666666666664</v>
      </c>
      <c r="F1432" s="5">
        <f t="shared" si="146"/>
        <v>0.74307692307692297</v>
      </c>
      <c r="G1432" s="5">
        <v>0.85499999999999998</v>
      </c>
      <c r="H1432" s="4">
        <f>66.3/1440</f>
        <v>4.6041666666666661E-2</v>
      </c>
      <c r="I1432" s="5">
        <v>0.11700000000000001</v>
      </c>
      <c r="J1432" s="11" t="s">
        <v>1986</v>
      </c>
    </row>
    <row r="1433" spans="1:10" ht="13.15" customHeight="1" x14ac:dyDescent="0.25">
      <c r="A1433">
        <f t="shared" si="145"/>
        <v>1428</v>
      </c>
      <c r="B1433" t="s">
        <v>1990</v>
      </c>
      <c r="C1433" s="2">
        <v>0.41736111111111113</v>
      </c>
      <c r="D1433" s="4">
        <f t="shared" si="141"/>
        <v>0.11805555555555558</v>
      </c>
      <c r="E1433" s="6">
        <v>0.29930555555555555</v>
      </c>
      <c r="F1433" s="5">
        <f t="shared" si="146"/>
        <v>0.71713810316139759</v>
      </c>
      <c r="G1433" s="5">
        <v>0.76800000000000002</v>
      </c>
      <c r="H1433" s="4">
        <f>51.5/1440</f>
        <v>3.5763888888888887E-2</v>
      </c>
      <c r="I1433" s="5">
        <v>9.1999999999999998E-2</v>
      </c>
      <c r="J1433" s="11" t="s">
        <v>1986</v>
      </c>
    </row>
    <row r="1434" spans="1:10" ht="13.15" customHeight="1" x14ac:dyDescent="0.25">
      <c r="A1434">
        <f t="shared" si="145"/>
        <v>1429</v>
      </c>
      <c r="B1434" t="s">
        <v>1991</v>
      </c>
      <c r="C1434" s="2">
        <v>0.44722222222222224</v>
      </c>
      <c r="D1434" s="4">
        <f t="shared" si="141"/>
        <v>0.11805555555555558</v>
      </c>
      <c r="E1434" s="6">
        <v>0.32916666666666666</v>
      </c>
      <c r="F1434" s="5">
        <f t="shared" si="146"/>
        <v>0.7360248447204969</v>
      </c>
      <c r="G1434" s="5">
        <v>0.8</v>
      </c>
      <c r="H1434" s="4">
        <f>66.8/1440</f>
        <v>4.6388888888888889E-2</v>
      </c>
      <c r="I1434" s="5">
        <v>0.113</v>
      </c>
      <c r="J1434" s="11" t="s">
        <v>1987</v>
      </c>
    </row>
    <row r="1435" spans="1:10" ht="13.15" customHeight="1" x14ac:dyDescent="0.25">
      <c r="A1435">
        <f t="shared" si="145"/>
        <v>1430</v>
      </c>
      <c r="B1435" t="s">
        <v>1992</v>
      </c>
      <c r="C1435" s="2">
        <v>0.50138888888888888</v>
      </c>
      <c r="D1435" s="4">
        <f t="shared" si="141"/>
        <v>0.13611111111111113</v>
      </c>
      <c r="E1435" s="6">
        <v>0.36527777777777776</v>
      </c>
      <c r="F1435" s="5">
        <f t="shared" si="146"/>
        <v>0.7285318559556786</v>
      </c>
      <c r="G1435" s="5">
        <v>0.879</v>
      </c>
      <c r="H1435" s="4">
        <f>63.6/1440</f>
        <v>4.4166666666666667E-2</v>
      </c>
      <c r="I1435" s="5">
        <v>0.106</v>
      </c>
      <c r="J1435" s="11" t="s">
        <v>1987</v>
      </c>
    </row>
    <row r="1436" spans="1:10" ht="13.15" customHeight="1" x14ac:dyDescent="0.25">
      <c r="A1436">
        <f t="shared" si="145"/>
        <v>1431</v>
      </c>
      <c r="B1436" t="s">
        <v>1993</v>
      </c>
      <c r="C1436" s="2">
        <v>0.44236111111111109</v>
      </c>
      <c r="D1436" s="4">
        <f t="shared" si="141"/>
        <v>9.9305555555555536E-2</v>
      </c>
      <c r="E1436" s="6">
        <v>0.34305555555555556</v>
      </c>
      <c r="F1436" s="5">
        <f t="shared" si="146"/>
        <v>0.77551020408163274</v>
      </c>
      <c r="G1436" s="5">
        <v>0.83199999999999996</v>
      </c>
      <c r="H1436" s="4">
        <f>67.9/1440</f>
        <v>4.715277777777778E-2</v>
      </c>
      <c r="I1436" s="5">
        <v>0.114</v>
      </c>
      <c r="J1436" s="11" t="s">
        <v>1987</v>
      </c>
    </row>
    <row r="1437" spans="1:10" ht="13.15" customHeight="1" x14ac:dyDescent="0.25">
      <c r="A1437">
        <f t="shared" si="145"/>
        <v>1432</v>
      </c>
      <c r="B1437" t="s">
        <v>1994</v>
      </c>
      <c r="C1437" s="2">
        <v>0.36666666666666664</v>
      </c>
      <c r="D1437" s="4">
        <f t="shared" si="141"/>
        <v>9.8611111111111094E-2</v>
      </c>
      <c r="E1437" s="6">
        <v>0.26805555555555555</v>
      </c>
      <c r="F1437" s="5">
        <f t="shared" ref="F1437:F1445" si="147">E1437/C1437</f>
        <v>0.73106060606060608</v>
      </c>
      <c r="G1437" s="5">
        <v>0.78600000000000003</v>
      </c>
      <c r="H1437" s="4">
        <f>61.3/1440</f>
        <v>4.2569444444444444E-2</v>
      </c>
      <c r="I1437" s="5">
        <v>0.125</v>
      </c>
      <c r="J1437" s="11" t="s">
        <v>2003</v>
      </c>
    </row>
    <row r="1438" spans="1:10" ht="13.15" customHeight="1" x14ac:dyDescent="0.25">
      <c r="A1438">
        <f t="shared" si="145"/>
        <v>1433</v>
      </c>
      <c r="B1438" t="s">
        <v>1995</v>
      </c>
      <c r="C1438" s="2">
        <v>0.37291666666666667</v>
      </c>
      <c r="D1438" s="4">
        <f t="shared" si="141"/>
        <v>7.9861111111111105E-2</v>
      </c>
      <c r="E1438" s="6">
        <v>0.29305555555555557</v>
      </c>
      <c r="F1438" s="5">
        <f t="shared" si="147"/>
        <v>0.78584729981378032</v>
      </c>
      <c r="G1438" s="5">
        <v>0.91900000000000004</v>
      </c>
      <c r="H1438" s="4">
        <f>77.7/1440</f>
        <v>5.3958333333333337E-2</v>
      </c>
      <c r="I1438" s="5">
        <v>0.16900000000000001</v>
      </c>
      <c r="J1438" s="11" t="s">
        <v>2003</v>
      </c>
    </row>
    <row r="1439" spans="1:10" ht="13.15" customHeight="1" x14ac:dyDescent="0.25">
      <c r="A1439">
        <f t="shared" si="145"/>
        <v>1434</v>
      </c>
      <c r="B1439" t="s">
        <v>1996</v>
      </c>
      <c r="C1439" s="2">
        <v>0.37222222222222223</v>
      </c>
      <c r="D1439" s="4">
        <f t="shared" si="141"/>
        <v>0.125</v>
      </c>
      <c r="E1439" s="6">
        <v>0.24722222222222223</v>
      </c>
      <c r="F1439" s="5">
        <f t="shared" si="147"/>
        <v>0.66417910447761197</v>
      </c>
      <c r="G1439" s="5">
        <v>0.624</v>
      </c>
      <c r="H1439" s="4">
        <f>47.2/1440</f>
        <v>3.2777777777777781E-2</v>
      </c>
      <c r="I1439" s="5">
        <v>8.3000000000000004E-2</v>
      </c>
      <c r="J1439" s="11" t="s">
        <v>2003</v>
      </c>
    </row>
    <row r="1440" spans="1:10" ht="13.15" customHeight="1" x14ac:dyDescent="0.25">
      <c r="A1440">
        <f t="shared" si="145"/>
        <v>1435</v>
      </c>
      <c r="B1440" t="s">
        <v>1997</v>
      </c>
      <c r="C1440" s="2">
        <v>0.24930555555555556</v>
      </c>
      <c r="D1440" s="4">
        <f t="shared" si="141"/>
        <v>8.3333333333333343E-2</v>
      </c>
      <c r="E1440" s="6">
        <v>0.16597222222222222</v>
      </c>
      <c r="F1440" s="5">
        <f t="shared" ref="F1440:F1441" si="148">E1440/C1440</f>
        <v>0.66573816155988852</v>
      </c>
      <c r="G1440" s="5">
        <v>0.69599999999999995</v>
      </c>
      <c r="H1440" s="4">
        <f>42.9/1440</f>
        <v>2.9791666666666664E-2</v>
      </c>
      <c r="I1440" s="5">
        <v>0.124</v>
      </c>
      <c r="J1440" s="11" t="s">
        <v>2003</v>
      </c>
    </row>
    <row r="1441" spans="1:10" ht="13.15" customHeight="1" x14ac:dyDescent="0.25">
      <c r="A1441">
        <f t="shared" si="145"/>
        <v>1436</v>
      </c>
      <c r="B1441" t="s">
        <v>1998</v>
      </c>
      <c r="C1441" s="2">
        <v>0.44097222222222221</v>
      </c>
      <c r="D1441" s="4">
        <f t="shared" si="141"/>
        <v>9.5138888888888884E-2</v>
      </c>
      <c r="E1441" s="6">
        <v>0.34583333333333333</v>
      </c>
      <c r="F1441" s="5">
        <f t="shared" si="148"/>
        <v>0.78425196850393697</v>
      </c>
      <c r="G1441" s="5">
        <v>0.77100000000000002</v>
      </c>
      <c r="H1441" s="4">
        <f>52.8/1440</f>
        <v>3.6666666666666667E-2</v>
      </c>
      <c r="I1441" s="5">
        <v>8.2000000000000003E-2</v>
      </c>
      <c r="J1441" s="11" t="s">
        <v>2003</v>
      </c>
    </row>
    <row r="1442" spans="1:10" ht="13.15" customHeight="1" x14ac:dyDescent="0.25">
      <c r="A1442">
        <f t="shared" si="145"/>
        <v>1437</v>
      </c>
      <c r="B1442" t="s">
        <v>1999</v>
      </c>
      <c r="C1442" s="2">
        <v>0.4</v>
      </c>
      <c r="D1442" s="4">
        <f t="shared" si="141"/>
        <v>0.12013888888888891</v>
      </c>
      <c r="E1442" s="6">
        <v>0.27986111111111112</v>
      </c>
      <c r="F1442" s="5">
        <f t="shared" si="147"/>
        <v>0.69965277777777779</v>
      </c>
      <c r="G1442" s="5">
        <v>0.84399999999999997</v>
      </c>
      <c r="H1442" s="4">
        <f>63.9/1440</f>
        <v>4.4374999999999998E-2</v>
      </c>
      <c r="I1442" s="5">
        <v>0.13400000000000001</v>
      </c>
      <c r="J1442" s="11" t="s">
        <v>2004</v>
      </c>
    </row>
    <row r="1443" spans="1:10" ht="13.15" customHeight="1" x14ac:dyDescent="0.25">
      <c r="A1443">
        <f t="shared" si="145"/>
        <v>1438</v>
      </c>
      <c r="B1443" t="s">
        <v>2000</v>
      </c>
      <c r="C1443" s="2">
        <v>0.38958333333333334</v>
      </c>
      <c r="D1443" s="4">
        <f t="shared" si="141"/>
        <v>0.10694444444444445</v>
      </c>
      <c r="E1443" s="6">
        <v>0.28263888888888888</v>
      </c>
      <c r="F1443" s="5">
        <f t="shared" si="147"/>
        <v>0.72549019607843135</v>
      </c>
      <c r="G1443" s="5">
        <v>0.79500000000000004</v>
      </c>
      <c r="H1443" s="4">
        <f>70.1/1440</f>
        <v>4.8680555555555553E-2</v>
      </c>
      <c r="I1443" s="5">
        <v>0.13700000000000001</v>
      </c>
      <c r="J1443" s="11" t="s">
        <v>2004</v>
      </c>
    </row>
    <row r="1444" spans="1:10" ht="13.15" customHeight="1" x14ac:dyDescent="0.25">
      <c r="A1444">
        <f t="shared" si="145"/>
        <v>1439</v>
      </c>
      <c r="B1444" t="s">
        <v>2001</v>
      </c>
      <c r="C1444" s="2">
        <v>0.38611111111111113</v>
      </c>
      <c r="D1444" s="4">
        <f t="shared" si="141"/>
        <v>0.10138888888888892</v>
      </c>
      <c r="E1444" s="6">
        <v>0.28472222222222221</v>
      </c>
      <c r="F1444" s="5">
        <f t="shared" si="147"/>
        <v>0.73741007194244601</v>
      </c>
      <c r="G1444" s="5">
        <v>0.91300000000000003</v>
      </c>
      <c r="H1444" s="4">
        <f>53.1/1440</f>
        <v>3.6874999999999998E-2</v>
      </c>
      <c r="I1444" s="5">
        <v>0.11799999999999999</v>
      </c>
      <c r="J1444" s="11" t="s">
        <v>2004</v>
      </c>
    </row>
    <row r="1445" spans="1:10" ht="13.15" customHeight="1" x14ac:dyDescent="0.25">
      <c r="A1445">
        <f t="shared" si="145"/>
        <v>1440</v>
      </c>
      <c r="B1445" t="s">
        <v>2002</v>
      </c>
      <c r="C1445" s="2">
        <v>0.30486111111111114</v>
      </c>
      <c r="D1445" s="4">
        <f t="shared" si="141"/>
        <v>8.8888888888888906E-2</v>
      </c>
      <c r="E1445" s="6">
        <v>0.21597222222222223</v>
      </c>
      <c r="F1445" s="5">
        <f t="shared" si="147"/>
        <v>0.70842824601366738</v>
      </c>
      <c r="G1445" s="5">
        <v>0.74299999999999999</v>
      </c>
      <c r="H1445" s="4">
        <f t="shared" ref="H1445" si="149">67.9/1440</f>
        <v>4.715277777777778E-2</v>
      </c>
      <c r="I1445" s="5">
        <v>0.16200000000000001</v>
      </c>
      <c r="J1445" s="11" t="s">
        <v>2004</v>
      </c>
    </row>
    <row r="1446" spans="1:10" ht="13.15" customHeight="1" x14ac:dyDescent="0.25">
      <c r="A1446">
        <f t="shared" si="145"/>
        <v>1441</v>
      </c>
      <c r="B1446" t="s">
        <v>2007</v>
      </c>
      <c r="C1446" s="2">
        <v>0.41944444444444445</v>
      </c>
      <c r="D1446" s="4">
        <f t="shared" si="141"/>
        <v>0.12083333333333335</v>
      </c>
      <c r="E1446" s="6">
        <v>0.2986111111111111</v>
      </c>
      <c r="F1446" s="5">
        <f t="shared" ref="F1446:F1454" si="150">E1446/C1446</f>
        <v>0.71192052980132448</v>
      </c>
      <c r="G1446" s="5">
        <v>0.82899999999999996</v>
      </c>
      <c r="H1446" s="4">
        <f>60.4/1440</f>
        <v>4.1944444444444444E-2</v>
      </c>
      <c r="I1446" s="5">
        <v>0.11600000000000001</v>
      </c>
      <c r="J1446" s="11" t="s">
        <v>2005</v>
      </c>
    </row>
    <row r="1447" spans="1:10" ht="13.15" customHeight="1" x14ac:dyDescent="0.25">
      <c r="A1447">
        <f t="shared" si="145"/>
        <v>1442</v>
      </c>
      <c r="B1447" t="s">
        <v>2008</v>
      </c>
      <c r="C1447" s="2">
        <v>0.46666666666666667</v>
      </c>
      <c r="D1447" s="4">
        <f t="shared" si="141"/>
        <v>0.15277777777777779</v>
      </c>
      <c r="E1447" s="6">
        <v>0.31388888888888888</v>
      </c>
      <c r="F1447" s="5">
        <f t="shared" si="150"/>
        <v>0.67261904761904756</v>
      </c>
      <c r="G1447" s="5">
        <v>0.91200000000000003</v>
      </c>
      <c r="H1447" s="4">
        <f>61.1/1440</f>
        <v>4.2430555555555555E-2</v>
      </c>
      <c r="I1447" s="5">
        <v>0.123</v>
      </c>
      <c r="J1447" s="11" t="s">
        <v>2005</v>
      </c>
    </row>
    <row r="1448" spans="1:10" ht="13.15" customHeight="1" x14ac:dyDescent="0.25">
      <c r="A1448">
        <f t="shared" si="145"/>
        <v>1443</v>
      </c>
      <c r="B1448" t="s">
        <v>2009</v>
      </c>
      <c r="C1448" s="2">
        <v>0.3972222222222222</v>
      </c>
      <c r="D1448" s="4">
        <f t="shared" si="141"/>
        <v>0.1020833333333333</v>
      </c>
      <c r="E1448" s="6">
        <v>0.2951388888888889</v>
      </c>
      <c r="F1448" s="5">
        <f t="shared" si="150"/>
        <v>0.74300699300699302</v>
      </c>
      <c r="G1448" s="5">
        <v>0.75600000000000001</v>
      </c>
      <c r="H1448" s="4">
        <f>59.8/1440</f>
        <v>4.1527777777777775E-2</v>
      </c>
      <c r="I1448" s="5">
        <v>0.106</v>
      </c>
      <c r="J1448" s="11" t="s">
        <v>2005</v>
      </c>
    </row>
    <row r="1449" spans="1:10" ht="13.15" customHeight="1" x14ac:dyDescent="0.25">
      <c r="A1449">
        <f t="shared" si="145"/>
        <v>1444</v>
      </c>
      <c r="B1449" t="s">
        <v>2010</v>
      </c>
      <c r="C1449" s="2">
        <v>0.39374999999999999</v>
      </c>
      <c r="D1449" s="4">
        <f t="shared" si="141"/>
        <v>9.7916666666666652E-2</v>
      </c>
      <c r="E1449" s="6">
        <v>0.29583333333333334</v>
      </c>
      <c r="F1449" s="5">
        <f t="shared" si="150"/>
        <v>0.75132275132275139</v>
      </c>
      <c r="G1449" s="5">
        <v>0.80600000000000005</v>
      </c>
      <c r="H1449" s="4">
        <f>46.7/1440</f>
        <v>3.243055555555556E-2</v>
      </c>
      <c r="I1449" s="5">
        <v>8.7999999999999995E-2</v>
      </c>
      <c r="J1449" s="11" t="s">
        <v>2005</v>
      </c>
    </row>
    <row r="1450" spans="1:10" ht="13.15" customHeight="1" x14ac:dyDescent="0.25">
      <c r="A1450">
        <f t="shared" si="145"/>
        <v>1445</v>
      </c>
      <c r="B1450" t="s">
        <v>2011</v>
      </c>
      <c r="C1450" s="2">
        <v>0.46180555555555558</v>
      </c>
      <c r="D1450" s="4">
        <f t="shared" si="141"/>
        <v>0.13958333333333334</v>
      </c>
      <c r="E1450" s="6">
        <v>0.32222222222222224</v>
      </c>
      <c r="F1450" s="5">
        <f t="shared" si="150"/>
        <v>0.69774436090225567</v>
      </c>
      <c r="G1450" s="5">
        <v>0.873</v>
      </c>
      <c r="H1450" s="4">
        <f>56.7/1440</f>
        <v>3.9375E-2</v>
      </c>
      <c r="I1450" s="5">
        <v>0.107</v>
      </c>
      <c r="J1450" s="11" t="s">
        <v>2005</v>
      </c>
    </row>
    <row r="1451" spans="1:10" ht="13.15" customHeight="1" x14ac:dyDescent="0.25">
      <c r="A1451">
        <f t="shared" si="145"/>
        <v>1446</v>
      </c>
      <c r="B1451" t="s">
        <v>2012</v>
      </c>
      <c r="C1451" s="2">
        <v>0.44722222222222224</v>
      </c>
      <c r="D1451" s="4">
        <f t="shared" si="141"/>
        <v>0.13263888888888892</v>
      </c>
      <c r="E1451" s="6">
        <v>0.31458333333333333</v>
      </c>
      <c r="F1451" s="5">
        <f t="shared" si="150"/>
        <v>0.70341614906832295</v>
      </c>
      <c r="G1451" s="5">
        <v>0.84299999999999997</v>
      </c>
      <c r="H1451" s="4">
        <f>75.2/1440</f>
        <v>5.2222222222222225E-2</v>
      </c>
      <c r="I1451" s="5">
        <v>0.14000000000000001</v>
      </c>
      <c r="J1451" s="11" t="s">
        <v>2006</v>
      </c>
    </row>
    <row r="1452" spans="1:10" ht="13.15" customHeight="1" x14ac:dyDescent="0.25">
      <c r="A1452">
        <f t="shared" si="145"/>
        <v>1447</v>
      </c>
      <c r="B1452" t="s">
        <v>2013</v>
      </c>
      <c r="C1452" s="2">
        <v>0.45902777777777776</v>
      </c>
      <c r="D1452" s="4">
        <f t="shared" si="141"/>
        <v>0.1333333333333333</v>
      </c>
      <c r="E1452" s="6">
        <v>0.32569444444444445</v>
      </c>
      <c r="F1452" s="5">
        <f t="shared" si="150"/>
        <v>0.70953101361573379</v>
      </c>
      <c r="G1452" s="5">
        <v>0.92900000000000005</v>
      </c>
      <c r="H1452" s="4">
        <f>69.7/1440</f>
        <v>4.8402777777777781E-2</v>
      </c>
      <c r="I1452" s="5">
        <v>0.13800000000000001</v>
      </c>
      <c r="J1452" s="11" t="s">
        <v>2006</v>
      </c>
    </row>
    <row r="1453" spans="1:10" ht="13.15" customHeight="1" x14ac:dyDescent="0.25">
      <c r="A1453">
        <f t="shared" si="145"/>
        <v>1448</v>
      </c>
      <c r="B1453" t="s">
        <v>2014</v>
      </c>
      <c r="C1453" s="2">
        <v>0.42916666666666664</v>
      </c>
      <c r="D1453" s="4">
        <f t="shared" si="141"/>
        <v>0.12569444444444444</v>
      </c>
      <c r="E1453" s="6">
        <v>0.3034722222222222</v>
      </c>
      <c r="F1453" s="5">
        <f t="shared" si="150"/>
        <v>0.70711974110032361</v>
      </c>
      <c r="G1453" s="5">
        <v>0.94599999999999995</v>
      </c>
      <c r="H1453" s="4">
        <f>60.9/1440</f>
        <v>4.2291666666666665E-2</v>
      </c>
      <c r="I1453" s="5">
        <v>0.13200000000000001</v>
      </c>
      <c r="J1453" s="11" t="s">
        <v>2006</v>
      </c>
    </row>
    <row r="1454" spans="1:10" ht="13.15" customHeight="1" x14ac:dyDescent="0.25">
      <c r="A1454">
        <f t="shared" si="145"/>
        <v>1449</v>
      </c>
      <c r="B1454" t="s">
        <v>2015</v>
      </c>
      <c r="C1454" s="2">
        <v>0.4597222222222222</v>
      </c>
      <c r="D1454" s="4">
        <f t="shared" si="141"/>
        <v>0.10972222222222222</v>
      </c>
      <c r="E1454" s="6">
        <v>0.35</v>
      </c>
      <c r="F1454" s="5">
        <f t="shared" si="150"/>
        <v>0.76132930513595165</v>
      </c>
      <c r="G1454" s="5">
        <v>0.871</v>
      </c>
      <c r="H1454" s="4">
        <f>85.5/1440</f>
        <v>5.9374999999999997E-2</v>
      </c>
      <c r="I1454" s="5">
        <v>0.14799999999999999</v>
      </c>
      <c r="J1454" s="11" t="s">
        <v>2006</v>
      </c>
    </row>
    <row r="1455" spans="1:10" ht="13.15" customHeight="1" x14ac:dyDescent="0.25">
      <c r="A1455">
        <f t="shared" si="145"/>
        <v>1450</v>
      </c>
      <c r="B1455" t="s">
        <v>2018</v>
      </c>
      <c r="C1455" s="2">
        <v>0.43402777777777779</v>
      </c>
      <c r="D1455" s="4">
        <f t="shared" ref="D1455:D1463" si="151">C1455-E1455</f>
        <v>0.10138888888888892</v>
      </c>
      <c r="E1455" s="6">
        <v>0.33263888888888887</v>
      </c>
      <c r="F1455" s="5">
        <f t="shared" ref="F1455:F1463" si="152">E1455/C1455</f>
        <v>0.76639999999999997</v>
      </c>
      <c r="G1455" s="5">
        <v>0.78800000000000003</v>
      </c>
      <c r="H1455" s="4">
        <f>65/1440</f>
        <v>4.5138888888888888E-2</v>
      </c>
      <c r="I1455" s="5">
        <v>0.107</v>
      </c>
      <c r="J1455" s="11" t="s">
        <v>2016</v>
      </c>
    </row>
    <row r="1456" spans="1:10" ht="13.15" customHeight="1" x14ac:dyDescent="0.25">
      <c r="A1456">
        <f t="shared" si="145"/>
        <v>1451</v>
      </c>
      <c r="B1456" t="s">
        <v>2019</v>
      </c>
      <c r="C1456" s="2">
        <v>0.41388888888888886</v>
      </c>
      <c r="D1456" s="4">
        <f t="shared" si="151"/>
        <v>8.1249999999999989E-2</v>
      </c>
      <c r="E1456" s="6">
        <v>0.33263888888888887</v>
      </c>
      <c r="F1456" s="5">
        <f t="shared" si="152"/>
        <v>0.80369127516778527</v>
      </c>
      <c r="G1456" s="5">
        <v>0.8</v>
      </c>
      <c r="H1456" s="4">
        <f>66.8/1440</f>
        <v>4.6388888888888889E-2</v>
      </c>
      <c r="I1456" s="5">
        <v>0.111</v>
      </c>
      <c r="J1456" s="11" t="s">
        <v>2016</v>
      </c>
    </row>
    <row r="1457" spans="1:10" ht="13.15" customHeight="1" x14ac:dyDescent="0.25">
      <c r="A1457">
        <f t="shared" si="145"/>
        <v>1452</v>
      </c>
      <c r="B1457" t="s">
        <v>2020</v>
      </c>
      <c r="C1457" s="2">
        <v>0.38333333333333336</v>
      </c>
      <c r="D1457" s="4">
        <f t="shared" si="151"/>
        <v>0.10208333333333336</v>
      </c>
      <c r="E1457" s="6">
        <v>0.28125</v>
      </c>
      <c r="F1457" s="5">
        <f t="shared" si="152"/>
        <v>0.73369565217391297</v>
      </c>
      <c r="G1457" s="5">
        <v>0.70899999999999996</v>
      </c>
      <c r="H1457" s="4">
        <f>63.4/1440</f>
        <v>4.4027777777777777E-2</v>
      </c>
      <c r="I1457" s="5">
        <v>0.111</v>
      </c>
      <c r="J1457" s="11" t="s">
        <v>2016</v>
      </c>
    </row>
    <row r="1458" spans="1:10" ht="13.15" customHeight="1" x14ac:dyDescent="0.25">
      <c r="A1458">
        <f t="shared" si="145"/>
        <v>1453</v>
      </c>
      <c r="B1458" t="s">
        <v>2021</v>
      </c>
      <c r="C1458" s="2">
        <v>0.4465277777777778</v>
      </c>
      <c r="D1458" s="4">
        <f t="shared" si="151"/>
        <v>0.10972222222222222</v>
      </c>
      <c r="E1458" s="6">
        <v>0.33680555555555558</v>
      </c>
      <c r="F1458" s="5">
        <f t="shared" si="152"/>
        <v>0.75427682737169521</v>
      </c>
      <c r="G1458" s="5">
        <v>0.749</v>
      </c>
      <c r="H1458" s="4">
        <f>55.7/1440</f>
        <v>3.8680555555555558E-2</v>
      </c>
      <c r="I1458" s="5">
        <v>8.5999999999999993E-2</v>
      </c>
      <c r="J1458" s="11" t="s">
        <v>2016</v>
      </c>
    </row>
    <row r="1459" spans="1:10" ht="13.15" customHeight="1" x14ac:dyDescent="0.25">
      <c r="A1459">
        <f t="shared" si="145"/>
        <v>1454</v>
      </c>
      <c r="B1459" t="s">
        <v>2022</v>
      </c>
      <c r="C1459" s="2">
        <v>0.44722222222222224</v>
      </c>
      <c r="D1459" s="4">
        <f t="shared" si="151"/>
        <v>9.5833333333333381E-2</v>
      </c>
      <c r="E1459" s="6">
        <v>0.35138888888888886</v>
      </c>
      <c r="F1459" s="5">
        <f t="shared" si="152"/>
        <v>0.78571428571428559</v>
      </c>
      <c r="G1459" s="5">
        <v>0.86399999999999999</v>
      </c>
      <c r="H1459" s="4">
        <f>66.8/1440</f>
        <v>4.6388888888888889E-2</v>
      </c>
      <c r="I1459" s="5">
        <v>0.114</v>
      </c>
      <c r="J1459" s="11" t="s">
        <v>2016</v>
      </c>
    </row>
    <row r="1460" spans="1:10" ht="13.15" customHeight="1" x14ac:dyDescent="0.25">
      <c r="A1460">
        <f t="shared" si="145"/>
        <v>1455</v>
      </c>
      <c r="B1460" t="s">
        <v>2023</v>
      </c>
      <c r="C1460" s="2">
        <v>0.44930555555555557</v>
      </c>
      <c r="D1460" s="4">
        <f t="shared" si="151"/>
        <v>0.11736111111111114</v>
      </c>
      <c r="E1460" s="6">
        <v>0.33194444444444443</v>
      </c>
      <c r="F1460" s="5">
        <f t="shared" si="152"/>
        <v>0.73879443585780524</v>
      </c>
      <c r="G1460" s="5">
        <v>0.746</v>
      </c>
      <c r="H1460" s="4">
        <f>71/1440</f>
        <v>4.9305555555555554E-2</v>
      </c>
      <c r="I1460" s="5">
        <v>0.111</v>
      </c>
      <c r="J1460" s="11" t="s">
        <v>2017</v>
      </c>
    </row>
    <row r="1461" spans="1:10" ht="13.15" customHeight="1" x14ac:dyDescent="0.25">
      <c r="A1461">
        <f t="shared" si="145"/>
        <v>1456</v>
      </c>
      <c r="B1461" t="s">
        <v>2024</v>
      </c>
      <c r="C1461" s="2">
        <v>0.48402777777777778</v>
      </c>
      <c r="D1461" s="4">
        <f t="shared" si="151"/>
        <v>0.12638888888888888</v>
      </c>
      <c r="E1461" s="6">
        <v>0.3576388888888889</v>
      </c>
      <c r="F1461" s="5">
        <f t="shared" si="152"/>
        <v>0.73888091822094693</v>
      </c>
      <c r="G1461" s="5">
        <v>0.86699999999999999</v>
      </c>
      <c r="H1461" s="4">
        <f>71.7/1440</f>
        <v>4.9791666666666672E-2</v>
      </c>
      <c r="I1461" s="5">
        <v>0.121</v>
      </c>
      <c r="J1461" s="11" t="s">
        <v>2017</v>
      </c>
    </row>
    <row r="1462" spans="1:10" ht="13.15" customHeight="1" x14ac:dyDescent="0.25">
      <c r="A1462">
        <f t="shared" si="145"/>
        <v>1457</v>
      </c>
      <c r="B1462" t="s">
        <v>2025</v>
      </c>
      <c r="C1462" s="2">
        <v>0.49236111111111114</v>
      </c>
      <c r="D1462" s="4">
        <f t="shared" si="151"/>
        <v>0.10138888888888892</v>
      </c>
      <c r="E1462" s="6">
        <v>0.39097222222222222</v>
      </c>
      <c r="F1462" s="5">
        <f t="shared" si="152"/>
        <v>0.79407616361071931</v>
      </c>
      <c r="G1462" s="5">
        <v>0.82299999999999995</v>
      </c>
      <c r="H1462" s="4">
        <f>52.1/1440</f>
        <v>3.6180555555555556E-2</v>
      </c>
      <c r="I1462" s="5">
        <v>7.5999999999999998E-2</v>
      </c>
      <c r="J1462" s="11" t="s">
        <v>2017</v>
      </c>
    </row>
    <row r="1463" spans="1:10" ht="13.15" customHeight="1" x14ac:dyDescent="0.25">
      <c r="A1463">
        <f t="shared" si="145"/>
        <v>1458</v>
      </c>
      <c r="B1463" t="s">
        <v>2026</v>
      </c>
      <c r="C1463" s="2">
        <v>0.4861111111111111</v>
      </c>
      <c r="D1463" s="4">
        <f t="shared" si="151"/>
        <v>0.10902777777777778</v>
      </c>
      <c r="E1463" s="6">
        <v>0.37708333333333333</v>
      </c>
      <c r="F1463" s="5">
        <f t="shared" si="152"/>
        <v>0.77571428571428569</v>
      </c>
      <c r="G1463" s="5">
        <v>0.79700000000000004</v>
      </c>
      <c r="H1463" s="4">
        <f>62.6/1440</f>
        <v>4.3472222222222225E-2</v>
      </c>
      <c r="I1463" s="5">
        <v>9.1999999999999998E-2</v>
      </c>
      <c r="J1463" s="11" t="s">
        <v>2017</v>
      </c>
    </row>
    <row r="1464" spans="1:10" ht="13.15" customHeight="1" x14ac:dyDescent="0.25">
      <c r="A1464">
        <f t="shared" si="145"/>
        <v>1459</v>
      </c>
      <c r="B1464" t="s">
        <v>2027</v>
      </c>
      <c r="C1464" s="2">
        <v>0.43541666666666667</v>
      </c>
      <c r="D1464" s="4">
        <f t="shared" ref="D1464:D1472" si="153">C1464-E1464</f>
        <v>0.10347222222222224</v>
      </c>
      <c r="E1464" s="6">
        <v>0.33194444444444443</v>
      </c>
      <c r="F1464" s="5">
        <f t="shared" ref="F1464:F1472" si="154">E1464/C1464</f>
        <v>0.76236044657097279</v>
      </c>
      <c r="G1464" s="5">
        <v>0.80100000000000005</v>
      </c>
      <c r="H1464" s="4">
        <f>63/1440</f>
        <v>4.3749999999999997E-2</v>
      </c>
      <c r="I1464" s="5">
        <v>0.106</v>
      </c>
      <c r="J1464" s="11" t="s">
        <v>2036</v>
      </c>
    </row>
    <row r="1465" spans="1:10" ht="13.15" customHeight="1" x14ac:dyDescent="0.25">
      <c r="A1465">
        <f t="shared" si="145"/>
        <v>1460</v>
      </c>
      <c r="B1465" t="s">
        <v>2028</v>
      </c>
      <c r="C1465" s="2">
        <v>0.42708333333333331</v>
      </c>
      <c r="D1465" s="4">
        <f t="shared" si="153"/>
        <v>0.10069444444444442</v>
      </c>
      <c r="E1465" s="6">
        <v>0.3263888888888889</v>
      </c>
      <c r="F1465" s="5">
        <f t="shared" si="154"/>
        <v>0.76422764227642281</v>
      </c>
      <c r="G1465" s="5">
        <v>0.82199999999999995</v>
      </c>
      <c r="H1465" s="4">
        <f>67.5/1440</f>
        <v>4.6875E-2</v>
      </c>
      <c r="I1465" s="5">
        <v>0.11799999999999999</v>
      </c>
      <c r="J1465" s="11" t="s">
        <v>2036</v>
      </c>
    </row>
    <row r="1466" spans="1:10" ht="13.15" customHeight="1" x14ac:dyDescent="0.25">
      <c r="A1466">
        <f t="shared" si="145"/>
        <v>1461</v>
      </c>
      <c r="B1466" t="s">
        <v>2029</v>
      </c>
      <c r="C1466" s="2">
        <v>0.38680555555555557</v>
      </c>
      <c r="D1466" s="4">
        <f t="shared" si="153"/>
        <v>9.7916666666666707E-2</v>
      </c>
      <c r="E1466" s="6">
        <v>0.28888888888888886</v>
      </c>
      <c r="F1466" s="5">
        <f t="shared" si="154"/>
        <v>0.74685816876122069</v>
      </c>
      <c r="G1466" s="5">
        <v>0.78400000000000003</v>
      </c>
      <c r="H1466" s="4">
        <f>56.9/1440</f>
        <v>3.951388888888889E-2</v>
      </c>
      <c r="I1466" s="5">
        <v>0.107</v>
      </c>
      <c r="J1466" s="11" t="s">
        <v>2036</v>
      </c>
    </row>
    <row r="1467" spans="1:10" ht="13.15" customHeight="1" x14ac:dyDescent="0.25">
      <c r="A1467">
        <f t="shared" si="145"/>
        <v>1462</v>
      </c>
      <c r="B1467" t="s">
        <v>2030</v>
      </c>
      <c r="C1467" s="2">
        <v>0.46458333333333335</v>
      </c>
      <c r="D1467" s="4">
        <f t="shared" si="153"/>
        <v>0.11249999999999999</v>
      </c>
      <c r="E1467" s="6">
        <v>0.35208333333333336</v>
      </c>
      <c r="F1467" s="5">
        <f t="shared" si="154"/>
        <v>0.75784753363228707</v>
      </c>
      <c r="G1467" s="5">
        <v>0.69799999999999995</v>
      </c>
      <c r="H1467" s="4">
        <f>53.1/1440</f>
        <v>3.6874999999999998E-2</v>
      </c>
      <c r="I1467" s="5">
        <v>7.2999999999999995E-2</v>
      </c>
      <c r="J1467" s="11" t="s">
        <v>2036</v>
      </c>
    </row>
    <row r="1468" spans="1:10" ht="13.15" customHeight="1" x14ac:dyDescent="0.25">
      <c r="A1468">
        <f t="shared" si="145"/>
        <v>1463</v>
      </c>
      <c r="B1468" t="s">
        <v>2031</v>
      </c>
      <c r="C1468" s="2">
        <v>0.42152777777777778</v>
      </c>
      <c r="D1468" s="4">
        <f t="shared" si="153"/>
        <v>9.5833333333333326E-2</v>
      </c>
      <c r="E1468" s="6">
        <v>0.32569444444444445</v>
      </c>
      <c r="F1468" s="5">
        <f t="shared" si="154"/>
        <v>0.77265238879736409</v>
      </c>
      <c r="G1468" s="5">
        <v>0.79400000000000004</v>
      </c>
      <c r="H1468" s="4">
        <f>62.4/1440</f>
        <v>4.3333333333333335E-2</v>
      </c>
      <c r="I1468" s="5">
        <v>0.105</v>
      </c>
      <c r="J1468" s="11" t="s">
        <v>2036</v>
      </c>
    </row>
    <row r="1469" spans="1:10" ht="13.15" customHeight="1" x14ac:dyDescent="0.25">
      <c r="A1469">
        <f t="shared" si="145"/>
        <v>1464</v>
      </c>
      <c r="B1469" t="s">
        <v>2032</v>
      </c>
      <c r="C1469" s="2">
        <v>0.44861111111111113</v>
      </c>
      <c r="D1469" s="4">
        <f t="shared" si="153"/>
        <v>0.11180555555555555</v>
      </c>
      <c r="E1469" s="6">
        <v>0.33680555555555558</v>
      </c>
      <c r="F1469" s="5">
        <f t="shared" si="154"/>
        <v>0.75077399380804954</v>
      </c>
      <c r="G1469" s="5">
        <v>0.81499999999999995</v>
      </c>
      <c r="H1469" s="4">
        <f>62.2/1440</f>
        <v>4.3194444444444445E-2</v>
      </c>
      <c r="I1469" s="5">
        <v>0.104</v>
      </c>
      <c r="J1469" s="11" t="s">
        <v>2037</v>
      </c>
    </row>
    <row r="1470" spans="1:10" ht="13.15" customHeight="1" x14ac:dyDescent="0.25">
      <c r="A1470">
        <f t="shared" si="145"/>
        <v>1465</v>
      </c>
      <c r="B1470" t="s">
        <v>2033</v>
      </c>
      <c r="C1470" s="2">
        <v>0.5229166666666667</v>
      </c>
      <c r="D1470" s="4">
        <f t="shared" si="153"/>
        <v>0.1256944444444445</v>
      </c>
      <c r="E1470" s="6">
        <v>0.3972222222222222</v>
      </c>
      <c r="F1470" s="5">
        <f t="shared" si="154"/>
        <v>0.75962815405046469</v>
      </c>
      <c r="G1470" s="5">
        <v>0.83499999999999996</v>
      </c>
      <c r="H1470" s="4">
        <f>69.1/1440</f>
        <v>4.7986111111111104E-2</v>
      </c>
      <c r="I1470" s="5">
        <v>0.10100000000000001</v>
      </c>
      <c r="J1470" s="11" t="s">
        <v>2037</v>
      </c>
    </row>
    <row r="1471" spans="1:10" ht="13.15" customHeight="1" x14ac:dyDescent="0.25">
      <c r="A1471">
        <f t="shared" si="145"/>
        <v>1466</v>
      </c>
      <c r="B1471" t="s">
        <v>2034</v>
      </c>
      <c r="C1471" s="2">
        <v>0.49027777777777776</v>
      </c>
      <c r="D1471" s="4">
        <f t="shared" si="153"/>
        <v>0.10902777777777778</v>
      </c>
      <c r="E1471" s="6">
        <v>0.38124999999999998</v>
      </c>
      <c r="F1471" s="5">
        <f t="shared" si="154"/>
        <v>0.77762039660056659</v>
      </c>
      <c r="G1471" s="5">
        <v>0.84699999999999998</v>
      </c>
      <c r="H1471" s="4">
        <f>63.5/1440</f>
        <v>4.4097222222222225E-2</v>
      </c>
      <c r="I1471" s="5">
        <v>9.8000000000000004E-2</v>
      </c>
      <c r="J1471" s="11" t="s">
        <v>2037</v>
      </c>
    </row>
    <row r="1472" spans="1:10" ht="13.15" customHeight="1" x14ac:dyDescent="0.25">
      <c r="A1472">
        <f t="shared" si="145"/>
        <v>1467</v>
      </c>
      <c r="B1472" t="s">
        <v>2035</v>
      </c>
      <c r="C1472" s="2">
        <v>0.47222222222222221</v>
      </c>
      <c r="D1472" s="4">
        <f t="shared" si="153"/>
        <v>0.11666666666666664</v>
      </c>
      <c r="E1472" s="6">
        <v>0.35555555555555557</v>
      </c>
      <c r="F1472" s="5">
        <f t="shared" si="154"/>
        <v>0.75294117647058834</v>
      </c>
      <c r="G1472" s="5">
        <v>0.84899999999999998</v>
      </c>
      <c r="H1472" s="4">
        <f>69.2/1440</f>
        <v>4.805555555555556E-2</v>
      </c>
      <c r="I1472" s="5">
        <v>0.115</v>
      </c>
      <c r="J1472" s="11" t="s">
        <v>2037</v>
      </c>
    </row>
    <row r="1473" spans="1:10" ht="13.15" customHeight="1" x14ac:dyDescent="0.25">
      <c r="A1473">
        <f t="shared" si="145"/>
        <v>1468</v>
      </c>
      <c r="B1473" t="s">
        <v>2044</v>
      </c>
      <c r="C1473" s="2">
        <v>0.4375</v>
      </c>
      <c r="D1473" s="4">
        <f t="shared" ref="D1473:D1481" si="155">C1473-E1473</f>
        <v>0.1111111111111111</v>
      </c>
      <c r="E1473" s="6">
        <v>0.3263888888888889</v>
      </c>
      <c r="F1473" s="5">
        <f t="shared" ref="F1473:F1481" si="156">E1473/C1473</f>
        <v>0.74603174603174605</v>
      </c>
      <c r="G1473" s="5">
        <v>0.80700000000000005</v>
      </c>
      <c r="H1473" s="4">
        <f>58.5/1440</f>
        <v>4.0625000000000001E-2</v>
      </c>
      <c r="I1473" s="5">
        <v>0.1</v>
      </c>
      <c r="J1473" s="11" t="s">
        <v>2038</v>
      </c>
    </row>
    <row r="1474" spans="1:10" ht="13.15" customHeight="1" x14ac:dyDescent="0.25">
      <c r="A1474">
        <f t="shared" si="145"/>
        <v>1469</v>
      </c>
      <c r="B1474" t="s">
        <v>2045</v>
      </c>
      <c r="C1474" s="2">
        <v>0.41041666666666665</v>
      </c>
      <c r="D1474" s="4">
        <f t="shared" si="155"/>
        <v>0.11805555555555552</v>
      </c>
      <c r="E1474" s="6">
        <v>0.29236111111111113</v>
      </c>
      <c r="F1474" s="5">
        <f t="shared" si="156"/>
        <v>0.71235194585448403</v>
      </c>
      <c r="G1474" s="5">
        <v>0.86099999999999999</v>
      </c>
      <c r="H1474" s="4">
        <f>61.6/1440</f>
        <v>4.2777777777777776E-2</v>
      </c>
      <c r="I1474" s="5">
        <v>0.126</v>
      </c>
      <c r="J1474" s="11" t="s">
        <v>2038</v>
      </c>
    </row>
    <row r="1475" spans="1:10" ht="13.15" customHeight="1" x14ac:dyDescent="0.25">
      <c r="A1475">
        <f t="shared" si="145"/>
        <v>1470</v>
      </c>
      <c r="B1475" t="s">
        <v>2046</v>
      </c>
      <c r="C1475" s="2">
        <v>0.41111111111111109</v>
      </c>
      <c r="D1475" s="4">
        <f t="shared" si="155"/>
        <v>0.10138888888888886</v>
      </c>
      <c r="E1475" s="6">
        <v>0.30972222222222223</v>
      </c>
      <c r="F1475" s="5">
        <f t="shared" si="156"/>
        <v>0.7533783783783784</v>
      </c>
      <c r="G1475" s="5">
        <v>0.77400000000000002</v>
      </c>
      <c r="H1475" s="4">
        <f>54.4/1440</f>
        <v>3.7777777777777778E-2</v>
      </c>
      <c r="I1475" s="5">
        <v>9.4E-2</v>
      </c>
      <c r="J1475" s="11" t="s">
        <v>2038</v>
      </c>
    </row>
    <row r="1476" spans="1:10" ht="13.15" customHeight="1" x14ac:dyDescent="0.25">
      <c r="A1476">
        <f t="shared" si="145"/>
        <v>1471</v>
      </c>
      <c r="B1476" t="s">
        <v>2047</v>
      </c>
      <c r="C1476" s="2">
        <v>0.40902777777777777</v>
      </c>
      <c r="D1476" s="4">
        <f t="shared" si="155"/>
        <v>0.1111111111111111</v>
      </c>
      <c r="E1476" s="6">
        <v>0.29791666666666666</v>
      </c>
      <c r="F1476" s="5">
        <f t="shared" si="156"/>
        <v>0.72835314091680814</v>
      </c>
      <c r="G1476" s="5">
        <v>0.77</v>
      </c>
      <c r="H1476" s="4">
        <f>48.8/1440</f>
        <v>3.3888888888888885E-2</v>
      </c>
      <c r="I1476" s="5">
        <v>8.6999999999999994E-2</v>
      </c>
      <c r="J1476" s="11" t="s">
        <v>2038</v>
      </c>
    </row>
    <row r="1477" spans="1:10" ht="13.15" customHeight="1" x14ac:dyDescent="0.25">
      <c r="A1477">
        <f t="shared" si="145"/>
        <v>1472</v>
      </c>
      <c r="B1477" t="s">
        <v>2048</v>
      </c>
      <c r="C1477" s="2">
        <v>0.46597222222222223</v>
      </c>
      <c r="D1477" s="4">
        <f t="shared" si="155"/>
        <v>9.8611111111111094E-2</v>
      </c>
      <c r="E1477" s="6">
        <v>0.36736111111111114</v>
      </c>
      <c r="F1477" s="5">
        <f t="shared" si="156"/>
        <v>0.78837555886736221</v>
      </c>
      <c r="G1477" s="5">
        <v>0.84299999999999997</v>
      </c>
      <c r="H1477" s="4">
        <f>63.4/1440</f>
        <v>4.4027777777777777E-2</v>
      </c>
      <c r="I1477" s="5">
        <v>0.10100000000000001</v>
      </c>
      <c r="J1477" s="11" t="s">
        <v>2038</v>
      </c>
    </row>
    <row r="1478" spans="1:10" ht="13.15" customHeight="1" x14ac:dyDescent="0.25">
      <c r="A1478">
        <f t="shared" si="145"/>
        <v>1473</v>
      </c>
      <c r="B1478" t="s">
        <v>2049</v>
      </c>
      <c r="C1478" s="2">
        <v>0.43958333333333333</v>
      </c>
      <c r="D1478" s="4">
        <f t="shared" si="155"/>
        <v>0.14097222222222222</v>
      </c>
      <c r="E1478" s="6">
        <v>0.2986111111111111</v>
      </c>
      <c r="F1478" s="5">
        <f t="shared" si="156"/>
        <v>0.67930489731437593</v>
      </c>
      <c r="G1478" s="5">
        <v>0.79100000000000004</v>
      </c>
      <c r="H1478" s="4">
        <f>61.2/1440</f>
        <v>4.2500000000000003E-2</v>
      </c>
      <c r="I1478" s="5">
        <v>0.112</v>
      </c>
      <c r="J1478" s="11" t="s">
        <v>2039</v>
      </c>
    </row>
    <row r="1479" spans="1:10" ht="13.15" customHeight="1" x14ac:dyDescent="0.25">
      <c r="A1479">
        <f t="shared" si="145"/>
        <v>1474</v>
      </c>
      <c r="B1479" t="s">
        <v>2050</v>
      </c>
      <c r="C1479" s="2">
        <v>0.54166666666666663</v>
      </c>
      <c r="D1479" s="4">
        <f t="shared" si="155"/>
        <v>0.13611111111111107</v>
      </c>
      <c r="E1479" s="6">
        <v>0.40555555555555556</v>
      </c>
      <c r="F1479" s="5">
        <f t="shared" si="156"/>
        <v>0.74871794871794872</v>
      </c>
      <c r="G1479" s="5">
        <v>0.84899999999999998</v>
      </c>
      <c r="H1479" s="4">
        <f>62.3/1440</f>
        <v>4.3263888888888886E-2</v>
      </c>
      <c r="I1479" s="5">
        <v>0.09</v>
      </c>
      <c r="J1479" s="11" t="s">
        <v>2039</v>
      </c>
    </row>
    <row r="1480" spans="1:10" ht="13.15" customHeight="1" x14ac:dyDescent="0.25">
      <c r="A1480">
        <f t="shared" si="145"/>
        <v>1475</v>
      </c>
      <c r="B1480" t="s">
        <v>2051</v>
      </c>
      <c r="C1480" s="2">
        <v>0.55763888888888891</v>
      </c>
      <c r="D1480" s="4">
        <f t="shared" si="155"/>
        <v>0.14375000000000004</v>
      </c>
      <c r="E1480" s="6">
        <v>0.41388888888888886</v>
      </c>
      <c r="F1480" s="5">
        <f t="shared" si="156"/>
        <v>0.74221668742216684</v>
      </c>
      <c r="G1480" s="5">
        <v>0.72099999999999997</v>
      </c>
      <c r="H1480" s="4">
        <f>63.1/1440</f>
        <v>4.3819444444444446E-2</v>
      </c>
      <c r="I1480" s="5">
        <v>7.5999999999999998E-2</v>
      </c>
      <c r="J1480" s="11" t="s">
        <v>2039</v>
      </c>
    </row>
    <row r="1481" spans="1:10" ht="13.15" customHeight="1" x14ac:dyDescent="0.25">
      <c r="A1481">
        <f t="shared" si="145"/>
        <v>1476</v>
      </c>
      <c r="B1481" t="s">
        <v>2052</v>
      </c>
      <c r="C1481" s="2">
        <v>0.46527777777777779</v>
      </c>
      <c r="D1481" s="4">
        <f t="shared" si="155"/>
        <v>0.1166666666666667</v>
      </c>
      <c r="E1481" s="6">
        <v>0.34861111111111109</v>
      </c>
      <c r="F1481" s="5">
        <f t="shared" si="156"/>
        <v>0.74925373134328355</v>
      </c>
      <c r="G1481" s="5">
        <v>0.81499999999999995</v>
      </c>
      <c r="H1481" s="4">
        <f>57.6/1440</f>
        <v>0.04</v>
      </c>
      <c r="I1481" s="5">
        <v>9.4E-2</v>
      </c>
      <c r="J1481" s="11" t="s">
        <v>2039</v>
      </c>
    </row>
    <row r="1482" spans="1:10" ht="13.15" customHeight="1" x14ac:dyDescent="0.25">
      <c r="A1482">
        <f t="shared" si="145"/>
        <v>1477</v>
      </c>
      <c r="B1482" t="s">
        <v>2053</v>
      </c>
      <c r="C1482" s="2">
        <v>0.43402777777777779</v>
      </c>
      <c r="D1482" s="4">
        <f t="shared" ref="D1482:D1516" si="157">C1482-E1482</f>
        <v>0.10694444444444445</v>
      </c>
      <c r="E1482" s="6">
        <v>0.32708333333333334</v>
      </c>
      <c r="F1482" s="5">
        <f t="shared" ref="F1482:F1516" si="158">E1482/C1482</f>
        <v>0.75359999999999994</v>
      </c>
      <c r="G1482" s="5">
        <v>0.78900000000000003</v>
      </c>
      <c r="H1482" s="4">
        <f>58.4/1440</f>
        <v>4.0555555555555553E-2</v>
      </c>
      <c r="I1482" s="5">
        <v>9.8000000000000004E-2</v>
      </c>
      <c r="J1482" s="11" t="s">
        <v>2040</v>
      </c>
    </row>
    <row r="1483" spans="1:10" ht="13.15" customHeight="1" x14ac:dyDescent="0.25">
      <c r="A1483">
        <f t="shared" si="145"/>
        <v>1478</v>
      </c>
      <c r="B1483" t="s">
        <v>2054</v>
      </c>
      <c r="C1483" s="2">
        <v>0.38124999999999998</v>
      </c>
      <c r="D1483" s="4">
        <f t="shared" si="157"/>
        <v>0.10069444444444442</v>
      </c>
      <c r="E1483" s="6">
        <v>0.28055555555555556</v>
      </c>
      <c r="F1483" s="5">
        <f t="shared" si="158"/>
        <v>0.73588342440801457</v>
      </c>
      <c r="G1483" s="5">
        <v>0.88</v>
      </c>
      <c r="H1483" s="4">
        <f>65.5/1440</f>
        <v>4.5486111111111109E-2</v>
      </c>
      <c r="I1483" s="5">
        <v>0.14299999999999999</v>
      </c>
      <c r="J1483" s="11" t="s">
        <v>2040</v>
      </c>
    </row>
    <row r="1484" spans="1:10" ht="13.15" customHeight="1" x14ac:dyDescent="0.25">
      <c r="A1484">
        <f t="shared" si="145"/>
        <v>1479</v>
      </c>
      <c r="B1484" t="s">
        <v>2055</v>
      </c>
      <c r="C1484" s="2">
        <v>0.41666666666666669</v>
      </c>
      <c r="D1484" s="4">
        <f t="shared" si="157"/>
        <v>9.1666666666666674E-2</v>
      </c>
      <c r="E1484" s="6">
        <v>0.32500000000000001</v>
      </c>
      <c r="F1484" s="5">
        <f t="shared" si="158"/>
        <v>0.78</v>
      </c>
      <c r="G1484" s="5">
        <v>0.78200000000000003</v>
      </c>
      <c r="H1484" s="4">
        <f>64.6/1440</f>
        <v>4.4861111111111109E-2</v>
      </c>
      <c r="I1484" s="5">
        <v>0.108</v>
      </c>
      <c r="J1484" s="11" t="s">
        <v>2040</v>
      </c>
    </row>
    <row r="1485" spans="1:10" ht="13.15" customHeight="1" x14ac:dyDescent="0.25">
      <c r="A1485">
        <f t="shared" si="145"/>
        <v>1480</v>
      </c>
      <c r="B1485" t="s">
        <v>2056</v>
      </c>
      <c r="C1485" s="2">
        <v>0.43125000000000002</v>
      </c>
      <c r="D1485" s="4">
        <f t="shared" si="157"/>
        <v>0.1118055555555556</v>
      </c>
      <c r="E1485" s="6">
        <v>0.31944444444444442</v>
      </c>
      <c r="F1485" s="5">
        <f t="shared" si="158"/>
        <v>0.7407407407407407</v>
      </c>
      <c r="G1485" s="5">
        <v>0.79100000000000004</v>
      </c>
      <c r="H1485" s="4">
        <f>51.7/1440</f>
        <v>3.5902777777777777E-2</v>
      </c>
      <c r="I1485" s="5">
        <v>8.8999999999999996E-2</v>
      </c>
      <c r="J1485" s="11" t="s">
        <v>2040</v>
      </c>
    </row>
    <row r="1486" spans="1:10" ht="13.15" customHeight="1" x14ac:dyDescent="0.25">
      <c r="A1486">
        <f t="shared" si="145"/>
        <v>1481</v>
      </c>
      <c r="B1486" t="s">
        <v>2057</v>
      </c>
      <c r="C1486" s="2">
        <v>0.4152777777777778</v>
      </c>
      <c r="D1486" s="4">
        <f t="shared" si="157"/>
        <v>9.7916666666666707E-2</v>
      </c>
      <c r="E1486" s="6">
        <v>0.31736111111111109</v>
      </c>
      <c r="F1486" s="5">
        <f t="shared" si="158"/>
        <v>0.76421404682274241</v>
      </c>
      <c r="G1486" s="5">
        <v>0.76200000000000001</v>
      </c>
      <c r="H1486" s="4">
        <f>62/1440</f>
        <v>4.3055555555555555E-2</v>
      </c>
      <c r="I1486" s="5">
        <v>0.10299999999999999</v>
      </c>
      <c r="J1486" s="11" t="s">
        <v>2040</v>
      </c>
    </row>
    <row r="1487" spans="1:10" ht="13.15" customHeight="1" x14ac:dyDescent="0.25">
      <c r="A1487">
        <f t="shared" si="145"/>
        <v>1482</v>
      </c>
      <c r="B1487" t="s">
        <v>2058</v>
      </c>
      <c r="C1487" s="2">
        <v>0.4597222222222222</v>
      </c>
      <c r="D1487" s="4">
        <f t="shared" si="157"/>
        <v>0.14652777777777776</v>
      </c>
      <c r="E1487" s="6">
        <v>0.31319444444444444</v>
      </c>
      <c r="F1487" s="5">
        <f t="shared" si="158"/>
        <v>0.68126888217522663</v>
      </c>
      <c r="G1487" s="5">
        <v>0.73199999999999998</v>
      </c>
      <c r="H1487" s="4">
        <f>57.4/1440</f>
        <v>3.9861111111111111E-2</v>
      </c>
      <c r="I1487" s="5">
        <v>9.2999999999999999E-2</v>
      </c>
      <c r="J1487" s="11" t="s">
        <v>2041</v>
      </c>
    </row>
    <row r="1488" spans="1:10" ht="13.15" customHeight="1" x14ac:dyDescent="0.25">
      <c r="A1488">
        <f t="shared" si="145"/>
        <v>1483</v>
      </c>
      <c r="B1488" t="s">
        <v>2059</v>
      </c>
      <c r="C1488" s="2">
        <v>0.49722222222222223</v>
      </c>
      <c r="D1488" s="4">
        <f t="shared" si="157"/>
        <v>0.13055555555555559</v>
      </c>
      <c r="E1488" s="6">
        <v>0.36666666666666664</v>
      </c>
      <c r="F1488" s="5">
        <f t="shared" si="158"/>
        <v>0.73743016759776525</v>
      </c>
      <c r="G1488" s="5">
        <v>0.82599999999999996</v>
      </c>
      <c r="H1488" s="4">
        <f>52.7/1440</f>
        <v>3.6597222222222225E-2</v>
      </c>
      <c r="I1488" s="5">
        <v>8.2000000000000003E-2</v>
      </c>
      <c r="J1488" s="11" t="s">
        <v>2041</v>
      </c>
    </row>
    <row r="1489" spans="1:10" ht="13.15" customHeight="1" x14ac:dyDescent="0.25">
      <c r="A1489">
        <f t="shared" si="145"/>
        <v>1484</v>
      </c>
      <c r="B1489" t="s">
        <v>2060</v>
      </c>
      <c r="C1489" s="2">
        <v>0.63472222222222219</v>
      </c>
      <c r="D1489" s="4">
        <f t="shared" si="157"/>
        <v>0.16597222222222219</v>
      </c>
      <c r="E1489" s="6">
        <v>0.46875</v>
      </c>
      <c r="F1489" s="5">
        <f t="shared" si="158"/>
        <v>0.73851203501094098</v>
      </c>
      <c r="G1489" s="5">
        <v>0.70799999999999996</v>
      </c>
      <c r="H1489" s="4">
        <f>56.3/1440</f>
        <v>3.9097222222222221E-2</v>
      </c>
      <c r="I1489" s="5">
        <v>5.8999999999999997E-2</v>
      </c>
      <c r="J1489" s="11" t="s">
        <v>2041</v>
      </c>
    </row>
    <row r="1490" spans="1:10" ht="13.15" customHeight="1" x14ac:dyDescent="0.25">
      <c r="A1490">
        <f t="shared" si="145"/>
        <v>1485</v>
      </c>
      <c r="B1490" t="s">
        <v>2061</v>
      </c>
      <c r="C1490" s="2">
        <v>0.50763888888888886</v>
      </c>
      <c r="D1490" s="4">
        <f t="shared" si="157"/>
        <v>0.12986111111111109</v>
      </c>
      <c r="E1490" s="6">
        <v>0.37777777777777777</v>
      </c>
      <c r="F1490" s="5">
        <f t="shared" si="158"/>
        <v>0.7441860465116279</v>
      </c>
      <c r="G1490" s="5">
        <v>0.78300000000000003</v>
      </c>
      <c r="H1490" s="4">
        <f>47.4/1440</f>
        <v>3.2916666666666664E-2</v>
      </c>
      <c r="I1490" s="5">
        <v>6.8000000000000005E-2</v>
      </c>
      <c r="J1490" s="11" t="s">
        <v>2041</v>
      </c>
    </row>
    <row r="1491" spans="1:10" ht="13.15" customHeight="1" x14ac:dyDescent="0.25">
      <c r="A1491">
        <f t="shared" si="145"/>
        <v>1486</v>
      </c>
      <c r="B1491" t="s">
        <v>2062</v>
      </c>
      <c r="C1491" s="2">
        <v>0.43402777777777779</v>
      </c>
      <c r="D1491" s="4">
        <f t="shared" si="157"/>
        <v>0.11875000000000002</v>
      </c>
      <c r="E1491" s="6">
        <v>0.31527777777777777</v>
      </c>
      <c r="F1491" s="5">
        <f t="shared" si="158"/>
        <v>0.72639999999999993</v>
      </c>
      <c r="G1491" s="5">
        <v>0.80500000000000005</v>
      </c>
      <c r="H1491" s="4">
        <f>59.8/1440</f>
        <v>4.1527777777777775E-2</v>
      </c>
      <c r="I1491" s="5">
        <v>0.106</v>
      </c>
      <c r="J1491" s="11" t="s">
        <v>2042</v>
      </c>
    </row>
    <row r="1492" spans="1:10" ht="13.15" customHeight="1" x14ac:dyDescent="0.25">
      <c r="A1492">
        <f t="shared" ref="A1492:A1556" si="159">A1491+1</f>
        <v>1487</v>
      </c>
      <c r="B1492" t="s">
        <v>2063</v>
      </c>
      <c r="C1492" s="2">
        <v>0.4284722222222222</v>
      </c>
      <c r="D1492" s="4">
        <f t="shared" si="157"/>
        <v>0.11041666666666666</v>
      </c>
      <c r="E1492" s="6">
        <v>0.31805555555555554</v>
      </c>
      <c r="F1492" s="5">
        <f t="shared" si="158"/>
        <v>0.74230145867098862</v>
      </c>
      <c r="G1492" s="5">
        <v>0.84899999999999998</v>
      </c>
      <c r="H1492" s="4">
        <f>61.9/1440</f>
        <v>4.2986111111111107E-2</v>
      </c>
      <c r="I1492" s="5">
        <v>0.115</v>
      </c>
      <c r="J1492" s="11" t="s">
        <v>2042</v>
      </c>
    </row>
    <row r="1493" spans="1:10" ht="13.15" customHeight="1" x14ac:dyDescent="0.25">
      <c r="A1493">
        <f t="shared" si="159"/>
        <v>1488</v>
      </c>
      <c r="B1493" t="s">
        <v>2064</v>
      </c>
      <c r="C1493" s="2">
        <v>0.42708333333333331</v>
      </c>
      <c r="D1493" s="4">
        <f t="shared" si="157"/>
        <v>0.14374999999999999</v>
      </c>
      <c r="E1493" s="6">
        <v>0.28333333333333333</v>
      </c>
      <c r="F1493" s="5">
        <f t="shared" si="158"/>
        <v>0.6634146341463415</v>
      </c>
      <c r="G1493" s="5">
        <v>0.78800000000000003</v>
      </c>
      <c r="H1493" s="4">
        <f>50.5/1440</f>
        <v>3.5069444444444445E-2</v>
      </c>
      <c r="I1493" s="5">
        <v>9.7000000000000003E-2</v>
      </c>
      <c r="J1493" s="11" t="s">
        <v>2042</v>
      </c>
    </row>
    <row r="1494" spans="1:10" ht="13.15" customHeight="1" x14ac:dyDescent="0.25">
      <c r="A1494">
        <f t="shared" si="159"/>
        <v>1489</v>
      </c>
      <c r="B1494" t="s">
        <v>2065</v>
      </c>
      <c r="C1494" s="2">
        <v>0.42986111111111114</v>
      </c>
      <c r="D1494" s="4">
        <f t="shared" si="157"/>
        <v>0.12430555555555556</v>
      </c>
      <c r="E1494" s="6">
        <v>0.30555555555555558</v>
      </c>
      <c r="F1494" s="5">
        <f t="shared" si="158"/>
        <v>0.71082390953150243</v>
      </c>
      <c r="G1494" s="5">
        <v>0.755</v>
      </c>
      <c r="H1494" s="4">
        <f>54.4/1440</f>
        <v>3.7777777777777778E-2</v>
      </c>
      <c r="I1494" s="5">
        <v>9.5000000000000001E-2</v>
      </c>
      <c r="J1494" s="11" t="s">
        <v>2042</v>
      </c>
    </row>
    <row r="1495" spans="1:10" ht="13.15" customHeight="1" x14ac:dyDescent="0.25">
      <c r="A1495">
        <f t="shared" si="159"/>
        <v>1490</v>
      </c>
      <c r="B1495" t="s">
        <v>2066</v>
      </c>
      <c r="C1495" s="2">
        <v>0.40416666666666667</v>
      </c>
      <c r="D1495" s="4">
        <f t="shared" si="157"/>
        <v>8.3333333333333315E-2</v>
      </c>
      <c r="E1495" s="6">
        <v>0.32083333333333336</v>
      </c>
      <c r="F1495" s="5">
        <f t="shared" si="158"/>
        <v>0.79381443298969079</v>
      </c>
      <c r="G1495" s="5">
        <v>0.76500000000000001</v>
      </c>
      <c r="H1495" s="4">
        <f>72.9/1440</f>
        <v>5.0625000000000003E-2</v>
      </c>
      <c r="I1495" s="5">
        <v>0.121</v>
      </c>
      <c r="J1495" s="11" t="s">
        <v>2042</v>
      </c>
    </row>
    <row r="1496" spans="1:10" ht="13.15" customHeight="1" x14ac:dyDescent="0.25">
      <c r="A1496">
        <f t="shared" si="159"/>
        <v>1491</v>
      </c>
      <c r="B1496" t="s">
        <v>2067</v>
      </c>
      <c r="C1496" s="2">
        <v>0.41041666666666665</v>
      </c>
      <c r="D1496" s="4">
        <f t="shared" si="157"/>
        <v>0.1020833333333333</v>
      </c>
      <c r="E1496" s="6">
        <v>0.30833333333333335</v>
      </c>
      <c r="F1496" s="5">
        <f t="shared" si="158"/>
        <v>0.75126903553299496</v>
      </c>
      <c r="G1496" s="5">
        <v>0.77</v>
      </c>
      <c r="H1496" s="4">
        <f>68.3/1440</f>
        <v>4.7430555555555552E-2</v>
      </c>
      <c r="I1496" s="5">
        <v>0.11799999999999999</v>
      </c>
      <c r="J1496" s="11" t="s">
        <v>2043</v>
      </c>
    </row>
    <row r="1497" spans="1:10" ht="13.15" customHeight="1" x14ac:dyDescent="0.25">
      <c r="A1497">
        <f t="shared" si="159"/>
        <v>1492</v>
      </c>
      <c r="B1497" t="s">
        <v>2068</v>
      </c>
      <c r="C1497" s="2">
        <v>0.5444444444444444</v>
      </c>
      <c r="D1497" s="4">
        <f t="shared" si="157"/>
        <v>0.11666666666666664</v>
      </c>
      <c r="E1497" s="6">
        <v>0.42777777777777776</v>
      </c>
      <c r="F1497" s="5">
        <f t="shared" si="158"/>
        <v>0.7857142857142857</v>
      </c>
      <c r="G1497" s="5">
        <v>0.86499999999999999</v>
      </c>
      <c r="H1497" s="4">
        <f>60.2/1440</f>
        <v>4.1805555555555554E-2</v>
      </c>
      <c r="I1497" s="5">
        <v>8.5000000000000006E-2</v>
      </c>
      <c r="J1497" s="11" t="s">
        <v>2043</v>
      </c>
    </row>
    <row r="1498" spans="1:10" ht="13.15" customHeight="1" x14ac:dyDescent="0.25">
      <c r="A1498">
        <f t="shared" si="159"/>
        <v>1493</v>
      </c>
      <c r="B1498" t="s">
        <v>2069</v>
      </c>
      <c r="C1498" s="2">
        <v>0.51666666666666672</v>
      </c>
      <c r="D1498" s="4">
        <f t="shared" si="157"/>
        <v>0.11944444444444452</v>
      </c>
      <c r="E1498" s="6">
        <v>0.3972222222222222</v>
      </c>
      <c r="F1498" s="5">
        <f t="shared" si="158"/>
        <v>0.76881720430107514</v>
      </c>
      <c r="G1498" s="5">
        <v>0.84299999999999997</v>
      </c>
      <c r="H1498" s="4">
        <f>64.1/1440</f>
        <v>4.4513888888888888E-2</v>
      </c>
      <c r="I1498" s="5">
        <v>9.4E-2</v>
      </c>
      <c r="J1498" s="11" t="s">
        <v>2043</v>
      </c>
    </row>
    <row r="1499" spans="1:10" ht="13.15" customHeight="1" x14ac:dyDescent="0.25">
      <c r="A1499">
        <f t="shared" si="159"/>
        <v>1494</v>
      </c>
      <c r="B1499" t="s">
        <v>2070</v>
      </c>
      <c r="C1499" s="2">
        <v>0.44791666666666669</v>
      </c>
      <c r="D1499" s="4">
        <f t="shared" si="157"/>
        <v>0.15138888888888891</v>
      </c>
      <c r="E1499" s="6">
        <v>0.29652777777777778</v>
      </c>
      <c r="F1499" s="5">
        <f t="shared" si="158"/>
        <v>0.66201550387596897</v>
      </c>
      <c r="G1499" s="5">
        <v>0.82199999999999995</v>
      </c>
      <c r="H1499" s="4">
        <f>59.5/1440</f>
        <v>4.1319444444444443E-2</v>
      </c>
      <c r="I1499" s="5">
        <v>0.115</v>
      </c>
      <c r="J1499" s="11" t="s">
        <v>2043</v>
      </c>
    </row>
    <row r="1500" spans="1:10" ht="13.15" customHeight="1" x14ac:dyDescent="0.25">
      <c r="A1500">
        <f t="shared" si="159"/>
        <v>1495</v>
      </c>
      <c r="B1500" t="s">
        <v>2074</v>
      </c>
      <c r="C1500" s="2">
        <v>0.43472222222222223</v>
      </c>
      <c r="D1500" s="4">
        <f t="shared" si="157"/>
        <v>0.11249999999999999</v>
      </c>
      <c r="E1500" s="6">
        <v>0.32222222222222224</v>
      </c>
      <c r="F1500" s="5">
        <f t="shared" si="158"/>
        <v>0.7412140575079873</v>
      </c>
      <c r="G1500" s="5">
        <v>0.80200000000000005</v>
      </c>
      <c r="H1500" s="4">
        <v>4.1666666666666664E-2</v>
      </c>
      <c r="I1500" s="5">
        <v>0.105</v>
      </c>
      <c r="J1500" s="11" t="s">
        <v>2071</v>
      </c>
    </row>
    <row r="1501" spans="1:10" ht="13.15" customHeight="1" x14ac:dyDescent="0.25">
      <c r="A1501">
        <f t="shared" si="159"/>
        <v>1496</v>
      </c>
      <c r="B1501" t="s">
        <v>2075</v>
      </c>
      <c r="C1501" s="2">
        <v>0.47916666666666669</v>
      </c>
      <c r="D1501" s="4">
        <f t="shared" si="157"/>
        <v>0.11388888888888893</v>
      </c>
      <c r="E1501" s="6">
        <v>0.36527777777777776</v>
      </c>
      <c r="F1501" s="5">
        <f t="shared" si="158"/>
        <v>0.76231884057971011</v>
      </c>
      <c r="G1501" s="5">
        <v>0.81899999999999995</v>
      </c>
      <c r="H1501" s="4">
        <v>4.2361111111111113E-2</v>
      </c>
      <c r="I1501" s="5">
        <v>9.6000000000000002E-2</v>
      </c>
      <c r="J1501" s="11" t="s">
        <v>2071</v>
      </c>
    </row>
    <row r="1502" spans="1:10" ht="13.15" customHeight="1" x14ac:dyDescent="0.25">
      <c r="A1502">
        <f t="shared" si="159"/>
        <v>1497</v>
      </c>
      <c r="B1502" t="s">
        <v>2076</v>
      </c>
      <c r="C1502" s="2">
        <v>0.47083333333333333</v>
      </c>
      <c r="D1502" s="4">
        <f t="shared" si="157"/>
        <v>0.11874999999999997</v>
      </c>
      <c r="E1502" s="6">
        <v>0.35208333333333336</v>
      </c>
      <c r="F1502" s="5">
        <f t="shared" si="158"/>
        <v>0.74778761061946908</v>
      </c>
      <c r="G1502" s="5">
        <v>0.85199999999999998</v>
      </c>
      <c r="H1502" s="4">
        <v>4.6527777777777779E-2</v>
      </c>
      <c r="I1502" s="5">
        <v>0.113</v>
      </c>
      <c r="J1502" s="11" t="s">
        <v>2071</v>
      </c>
    </row>
    <row r="1503" spans="1:10" ht="13.15" customHeight="1" x14ac:dyDescent="0.25">
      <c r="A1503">
        <f t="shared" si="159"/>
        <v>1498</v>
      </c>
      <c r="B1503" t="s">
        <v>2077</v>
      </c>
      <c r="C1503" s="2">
        <v>0.4201388888888889</v>
      </c>
      <c r="D1503" s="4">
        <f t="shared" si="157"/>
        <v>0.10069444444444448</v>
      </c>
      <c r="E1503" s="6">
        <v>0.31944444444444442</v>
      </c>
      <c r="F1503" s="5">
        <f t="shared" si="158"/>
        <v>0.7603305785123966</v>
      </c>
      <c r="G1503" s="5">
        <v>0.76100000000000001</v>
      </c>
      <c r="H1503" s="4">
        <v>5.2083333333333336E-2</v>
      </c>
      <c r="I1503" s="5">
        <v>0.125</v>
      </c>
      <c r="J1503" s="11" t="s">
        <v>2071</v>
      </c>
    </row>
    <row r="1504" spans="1:10" ht="13.15" customHeight="1" x14ac:dyDescent="0.25">
      <c r="A1504">
        <f t="shared" si="159"/>
        <v>1499</v>
      </c>
      <c r="B1504" t="s">
        <v>2078</v>
      </c>
      <c r="C1504" s="2">
        <v>0.49236111111111114</v>
      </c>
      <c r="D1504" s="4">
        <f t="shared" si="157"/>
        <v>0.1166666666666667</v>
      </c>
      <c r="E1504" s="6">
        <v>0.37569444444444444</v>
      </c>
      <c r="F1504" s="5">
        <f t="shared" si="158"/>
        <v>0.76304654442877284</v>
      </c>
      <c r="G1504" s="5">
        <v>0.86599999999999999</v>
      </c>
      <c r="H1504" s="4">
        <v>4.3055555555555555E-2</v>
      </c>
      <c r="I1504" s="5">
        <v>0.1</v>
      </c>
      <c r="J1504" s="11" t="s">
        <v>2071</v>
      </c>
    </row>
    <row r="1505" spans="1:10" ht="13.15" customHeight="1" x14ac:dyDescent="0.25">
      <c r="A1505">
        <f t="shared" si="159"/>
        <v>1500</v>
      </c>
      <c r="B1505" t="s">
        <v>2079</v>
      </c>
      <c r="C1505" s="2">
        <v>0.39861111111111114</v>
      </c>
      <c r="D1505" s="4">
        <f t="shared" si="157"/>
        <v>0.12291666666666667</v>
      </c>
      <c r="E1505" s="6">
        <v>0.27569444444444446</v>
      </c>
      <c r="F1505" s="5">
        <f t="shared" si="158"/>
        <v>0.69163763066202089</v>
      </c>
      <c r="G1505" s="5">
        <v>0.89500000000000002</v>
      </c>
      <c r="H1505" s="4">
        <v>4.7222222222222221E-2</v>
      </c>
      <c r="I1505" s="5">
        <v>0.153</v>
      </c>
      <c r="J1505" s="11" t="s">
        <v>2072</v>
      </c>
    </row>
    <row r="1506" spans="1:10" ht="13.15" customHeight="1" x14ac:dyDescent="0.25">
      <c r="A1506">
        <f t="shared" si="159"/>
        <v>1501</v>
      </c>
      <c r="B1506" t="s">
        <v>2080</v>
      </c>
      <c r="C1506" s="2">
        <v>0.39583333333333331</v>
      </c>
      <c r="D1506" s="4">
        <f t="shared" si="157"/>
        <v>0.12222222222222218</v>
      </c>
      <c r="E1506" s="6">
        <v>0.27361111111111114</v>
      </c>
      <c r="F1506" s="5">
        <f t="shared" si="158"/>
        <v>0.69122807017543875</v>
      </c>
      <c r="G1506" s="5">
        <v>0.84099999999999997</v>
      </c>
      <c r="H1506" s="4">
        <v>3.3333333333333333E-2</v>
      </c>
      <c r="I1506" s="5">
        <v>0.104</v>
      </c>
      <c r="J1506" s="11" t="s">
        <v>2073</v>
      </c>
    </row>
    <row r="1507" spans="1:10" ht="13.15" customHeight="1" x14ac:dyDescent="0.25">
      <c r="A1507">
        <f t="shared" si="159"/>
        <v>1502</v>
      </c>
      <c r="B1507" t="s">
        <v>2081</v>
      </c>
      <c r="C1507" s="2">
        <v>0.35902777777777778</v>
      </c>
      <c r="D1507" s="4">
        <f t="shared" si="157"/>
        <v>9.6527777777777768E-2</v>
      </c>
      <c r="E1507" s="6">
        <v>0.26250000000000001</v>
      </c>
      <c r="F1507" s="5">
        <f t="shared" si="158"/>
        <v>0.7311411992263056</v>
      </c>
      <c r="G1507" s="5">
        <v>0.70799999999999996</v>
      </c>
      <c r="H1507" s="4">
        <v>3.7499999999999999E-2</v>
      </c>
      <c r="I1507" s="5">
        <v>0.10199999999999999</v>
      </c>
      <c r="J1507" s="11" t="s">
        <v>2073</v>
      </c>
    </row>
    <row r="1508" spans="1:10" ht="13.15" customHeight="1" x14ac:dyDescent="0.25">
      <c r="A1508">
        <f t="shared" si="159"/>
        <v>1503</v>
      </c>
      <c r="B1508" t="s">
        <v>2082</v>
      </c>
      <c r="C1508" s="2">
        <v>0.40694444444444444</v>
      </c>
      <c r="D1508" s="4">
        <f t="shared" si="157"/>
        <v>0.11736111111111108</v>
      </c>
      <c r="E1508" s="6">
        <v>0.28958333333333336</v>
      </c>
      <c r="F1508" s="5">
        <f t="shared" si="158"/>
        <v>0.71160409556313997</v>
      </c>
      <c r="G1508" s="5">
        <v>0.78200000000000003</v>
      </c>
      <c r="H1508" s="4">
        <f>61.7/1440</f>
        <v>4.2847222222222224E-2</v>
      </c>
      <c r="I1508" s="5">
        <v>0.115</v>
      </c>
      <c r="J1508" s="11" t="s">
        <v>2083</v>
      </c>
    </row>
    <row r="1509" spans="1:10" ht="13.15" customHeight="1" x14ac:dyDescent="0.25">
      <c r="A1509">
        <f t="shared" si="159"/>
        <v>1504</v>
      </c>
      <c r="B1509" t="s">
        <v>2084</v>
      </c>
      <c r="C1509" s="2">
        <v>0.43472222222222223</v>
      </c>
      <c r="D1509" s="4">
        <f t="shared" si="157"/>
        <v>0.125</v>
      </c>
      <c r="E1509" s="6">
        <v>0.30972222222222223</v>
      </c>
      <c r="F1509" s="5">
        <f t="shared" si="158"/>
        <v>0.71246006389776362</v>
      </c>
      <c r="G1509" s="5">
        <v>0.82599999999999996</v>
      </c>
      <c r="H1509" s="4">
        <f>70.3/1440</f>
        <v>4.8819444444444443E-2</v>
      </c>
      <c r="I1509" s="5">
        <v>0.13</v>
      </c>
      <c r="J1509" s="11" t="s">
        <v>2083</v>
      </c>
    </row>
    <row r="1510" spans="1:10" ht="13.15" customHeight="1" x14ac:dyDescent="0.25">
      <c r="A1510">
        <f t="shared" si="159"/>
        <v>1505</v>
      </c>
      <c r="B1510" t="s">
        <v>2085</v>
      </c>
      <c r="C1510" s="2">
        <v>0.40972222222222221</v>
      </c>
      <c r="D1510" s="4">
        <f t="shared" si="157"/>
        <v>0.125</v>
      </c>
      <c r="E1510" s="6">
        <v>0.28472222222222221</v>
      </c>
      <c r="F1510" s="5">
        <f t="shared" si="158"/>
        <v>0.69491525423728817</v>
      </c>
      <c r="G1510" s="5">
        <v>0.76</v>
      </c>
      <c r="H1510" s="4">
        <f>57.1/1440</f>
        <v>3.965277777777778E-2</v>
      </c>
      <c r="I1510" s="5">
        <v>0.106</v>
      </c>
      <c r="J1510" s="11" t="s">
        <v>2083</v>
      </c>
    </row>
    <row r="1511" spans="1:10" ht="13.15" customHeight="1" x14ac:dyDescent="0.25">
      <c r="A1511">
        <f t="shared" si="159"/>
        <v>1506</v>
      </c>
      <c r="B1511" t="s">
        <v>2086</v>
      </c>
      <c r="C1511" s="2">
        <v>0.39444444444444443</v>
      </c>
      <c r="D1511" s="4">
        <f t="shared" si="157"/>
        <v>0.11041666666666666</v>
      </c>
      <c r="E1511" s="6">
        <v>0.28402777777777777</v>
      </c>
      <c r="F1511" s="5">
        <f t="shared" si="158"/>
        <v>0.72007042253521125</v>
      </c>
      <c r="G1511" s="5">
        <v>0.70099999999999996</v>
      </c>
      <c r="H1511" s="4">
        <f>53.1/1440</f>
        <v>3.6874999999999998E-2</v>
      </c>
      <c r="I1511" s="5">
        <v>9.0999999999999998E-2</v>
      </c>
      <c r="J1511" s="11" t="s">
        <v>2083</v>
      </c>
    </row>
    <row r="1512" spans="1:10" ht="13.15" customHeight="1" x14ac:dyDescent="0.25">
      <c r="A1512">
        <f t="shared" si="159"/>
        <v>1507</v>
      </c>
      <c r="B1512" t="s">
        <v>2087</v>
      </c>
      <c r="C1512" s="2">
        <v>0.38194444444444442</v>
      </c>
      <c r="D1512" s="4">
        <f t="shared" si="157"/>
        <v>9.375E-2</v>
      </c>
      <c r="E1512" s="6">
        <v>0.28819444444444442</v>
      </c>
      <c r="F1512" s="5">
        <f t="shared" si="158"/>
        <v>0.75454545454545452</v>
      </c>
      <c r="G1512" s="5">
        <v>0.80100000000000005</v>
      </c>
      <c r="H1512" s="4">
        <f>57.4/1440</f>
        <v>3.9861111111111111E-2</v>
      </c>
      <c r="I1512" s="5">
        <v>0.111</v>
      </c>
      <c r="J1512" s="11" t="s">
        <v>2083</v>
      </c>
    </row>
    <row r="1513" spans="1:10" ht="13.15" customHeight="1" x14ac:dyDescent="0.25">
      <c r="A1513">
        <f t="shared" si="159"/>
        <v>1508</v>
      </c>
      <c r="B1513" t="s">
        <v>2088</v>
      </c>
      <c r="C1513" s="2">
        <v>0.40833333333333333</v>
      </c>
      <c r="D1513" s="4">
        <f t="shared" si="157"/>
        <v>0.12152777777777779</v>
      </c>
      <c r="E1513" s="6">
        <v>0.28680555555555554</v>
      </c>
      <c r="F1513" s="5">
        <f t="shared" si="158"/>
        <v>0.70238095238095233</v>
      </c>
      <c r="G1513" s="5">
        <v>0.83299999999999996</v>
      </c>
      <c r="H1513" s="4">
        <f>64.8/1440</f>
        <v>4.4999999999999998E-2</v>
      </c>
      <c r="I1513" s="5">
        <v>0.13100000000000001</v>
      </c>
      <c r="J1513" s="11" t="s">
        <v>2089</v>
      </c>
    </row>
    <row r="1514" spans="1:10" ht="13.15" customHeight="1" x14ac:dyDescent="0.25">
      <c r="A1514">
        <f t="shared" si="159"/>
        <v>1509</v>
      </c>
      <c r="B1514" t="s">
        <v>2090</v>
      </c>
      <c r="C1514" s="2">
        <v>0.38541666666666669</v>
      </c>
      <c r="D1514" s="4">
        <f t="shared" si="157"/>
        <v>0.1076388888888889</v>
      </c>
      <c r="E1514" s="6">
        <v>0.27777777777777779</v>
      </c>
      <c r="F1514" s="5">
        <f t="shared" si="158"/>
        <v>0.72072072072072069</v>
      </c>
      <c r="G1514" s="5">
        <v>0.76</v>
      </c>
      <c r="H1514" s="4">
        <f>60.8/1440</f>
        <v>4.2222222222222223E-2</v>
      </c>
      <c r="I1514" s="5">
        <v>0.11600000000000001</v>
      </c>
      <c r="J1514" s="11" t="s">
        <v>2089</v>
      </c>
    </row>
    <row r="1515" spans="1:10" ht="13.15" customHeight="1" x14ac:dyDescent="0.25">
      <c r="A1515">
        <f t="shared" si="159"/>
        <v>1510</v>
      </c>
      <c r="B1515" t="s">
        <v>2091</v>
      </c>
      <c r="C1515" s="2">
        <v>0.39305555555555555</v>
      </c>
      <c r="D1515" s="4">
        <f t="shared" si="157"/>
        <v>0.13055555555555554</v>
      </c>
      <c r="E1515" s="6">
        <v>0.26250000000000001</v>
      </c>
      <c r="F1515" s="5">
        <f t="shared" si="158"/>
        <v>0.66784452296819796</v>
      </c>
      <c r="G1515" s="5">
        <v>0.70299999999999996</v>
      </c>
      <c r="H1515" s="4">
        <f>60.3/1440</f>
        <v>4.1874999999999996E-2</v>
      </c>
      <c r="I1515" s="5">
        <v>0.111</v>
      </c>
      <c r="J1515" s="11" t="s">
        <v>2089</v>
      </c>
    </row>
    <row r="1516" spans="1:10" ht="13.15" customHeight="1" x14ac:dyDescent="0.25">
      <c r="A1516">
        <f t="shared" si="159"/>
        <v>1511</v>
      </c>
      <c r="B1516" t="s">
        <v>2092</v>
      </c>
      <c r="C1516" s="2">
        <v>0.47013888888888888</v>
      </c>
      <c r="D1516" s="4">
        <f t="shared" si="157"/>
        <v>0.1472222222222222</v>
      </c>
      <c r="E1516" s="6">
        <v>0.32291666666666669</v>
      </c>
      <c r="F1516" s="5">
        <f t="shared" si="158"/>
        <v>0.68685376661742992</v>
      </c>
      <c r="G1516" s="5">
        <v>0.84199999999999997</v>
      </c>
      <c r="H1516" s="4">
        <f>66.4/1440</f>
        <v>4.6111111111111117E-2</v>
      </c>
      <c r="I1516" s="5">
        <v>0.12</v>
      </c>
      <c r="J1516" s="11" t="s">
        <v>2089</v>
      </c>
    </row>
    <row r="1517" spans="1:10" ht="13.15" customHeight="1" x14ac:dyDescent="0.25">
      <c r="A1517">
        <f t="shared" si="159"/>
        <v>1512</v>
      </c>
      <c r="B1517" t="s">
        <v>2095</v>
      </c>
      <c r="C1517" s="2">
        <v>0.43194444444444446</v>
      </c>
      <c r="D1517" s="4">
        <f t="shared" ref="D1517:D1525" si="160">C1517-E1517</f>
        <v>0.12152777777777779</v>
      </c>
      <c r="E1517" s="6">
        <v>0.31041666666666667</v>
      </c>
      <c r="F1517" s="5">
        <f t="shared" ref="F1517:F1525" si="161">E1517/C1517</f>
        <v>0.7186495176848875</v>
      </c>
      <c r="G1517" s="5">
        <v>0.78800000000000003</v>
      </c>
      <c r="H1517" s="4">
        <f>59.9/1440</f>
        <v>4.1597222222222223E-2</v>
      </c>
      <c r="I1517" s="5">
        <v>0.106</v>
      </c>
      <c r="J1517" s="11" t="s">
        <v>2093</v>
      </c>
    </row>
    <row r="1518" spans="1:10" ht="13.15" customHeight="1" x14ac:dyDescent="0.25">
      <c r="A1518">
        <f t="shared" si="159"/>
        <v>1513</v>
      </c>
      <c r="B1518" t="s">
        <v>2096</v>
      </c>
      <c r="C1518" s="2">
        <v>0.42986111111111114</v>
      </c>
      <c r="D1518" s="4">
        <f t="shared" si="160"/>
        <v>0.11805555555555558</v>
      </c>
      <c r="E1518" s="6">
        <v>0.31180555555555556</v>
      </c>
      <c r="F1518" s="5">
        <f t="shared" si="161"/>
        <v>0.72536348949919216</v>
      </c>
      <c r="G1518" s="5">
        <v>0.83099999999999996</v>
      </c>
      <c r="H1518" s="4">
        <f>61.7/1440</f>
        <v>4.2847222222222224E-2</v>
      </c>
      <c r="I1518" s="5">
        <v>0.114</v>
      </c>
      <c r="J1518" s="11" t="s">
        <v>2093</v>
      </c>
    </row>
    <row r="1519" spans="1:10" ht="13.15" customHeight="1" x14ac:dyDescent="0.25">
      <c r="A1519">
        <f t="shared" si="159"/>
        <v>1514</v>
      </c>
      <c r="B1519" t="s">
        <v>2097</v>
      </c>
      <c r="C1519" s="2">
        <v>0.4236111111111111</v>
      </c>
      <c r="D1519" s="4">
        <f t="shared" si="160"/>
        <v>0.12152777777777779</v>
      </c>
      <c r="E1519" s="6">
        <v>0.30208333333333331</v>
      </c>
      <c r="F1519" s="5">
        <f t="shared" si="161"/>
        <v>0.71311475409836067</v>
      </c>
      <c r="G1519" s="5">
        <v>0.77500000000000002</v>
      </c>
      <c r="H1519" s="4">
        <f>53.9/1440</f>
        <v>3.7430555555555557E-2</v>
      </c>
      <c r="I1519" s="5">
        <v>9.6000000000000002E-2</v>
      </c>
      <c r="J1519" s="11" t="s">
        <v>2093</v>
      </c>
    </row>
    <row r="1520" spans="1:10" ht="13.15" customHeight="1" x14ac:dyDescent="0.25">
      <c r="A1520">
        <f t="shared" si="159"/>
        <v>1515</v>
      </c>
      <c r="B1520" t="s">
        <v>2098</v>
      </c>
      <c r="C1520" s="2">
        <v>0.41666666666666669</v>
      </c>
      <c r="D1520" s="4">
        <f t="shared" si="160"/>
        <v>0.13055555555555559</v>
      </c>
      <c r="E1520" s="6">
        <v>0.28611111111111109</v>
      </c>
      <c r="F1520" s="5">
        <f t="shared" si="161"/>
        <v>0.68666666666666665</v>
      </c>
      <c r="G1520" s="5">
        <v>0.66200000000000003</v>
      </c>
      <c r="H1520" s="4">
        <f>51.6/1440</f>
        <v>3.5833333333333335E-2</v>
      </c>
      <c r="I1520" s="5">
        <v>8.3000000000000004E-2</v>
      </c>
      <c r="J1520" s="11" t="s">
        <v>2093</v>
      </c>
    </row>
    <row r="1521" spans="1:10" ht="13.15" customHeight="1" x14ac:dyDescent="0.25">
      <c r="A1521">
        <f t="shared" si="159"/>
        <v>1516</v>
      </c>
      <c r="B1521" t="s">
        <v>2099</v>
      </c>
      <c r="C1521" s="2">
        <v>0.41666666666666669</v>
      </c>
      <c r="D1521" s="4">
        <f t="shared" si="160"/>
        <v>0.10972222222222222</v>
      </c>
      <c r="E1521" s="6">
        <v>0.30694444444444446</v>
      </c>
      <c r="F1521" s="5">
        <f t="shared" si="161"/>
        <v>0.73666666666666669</v>
      </c>
      <c r="G1521" s="5">
        <v>0.81499999999999995</v>
      </c>
      <c r="H1521" s="4">
        <f>64/1440</f>
        <v>4.4444444444444446E-2</v>
      </c>
      <c r="I1521" s="5">
        <v>0.11799999999999999</v>
      </c>
      <c r="J1521" s="11" t="s">
        <v>2093</v>
      </c>
    </row>
    <row r="1522" spans="1:10" ht="13.15" customHeight="1" x14ac:dyDescent="0.25">
      <c r="A1522">
        <f t="shared" si="159"/>
        <v>1517</v>
      </c>
      <c r="B1522" t="s">
        <v>2100</v>
      </c>
      <c r="C1522" s="2">
        <v>0.44305555555555554</v>
      </c>
      <c r="D1522" s="4">
        <f t="shared" si="160"/>
        <v>0.13263888888888886</v>
      </c>
      <c r="E1522" s="6">
        <v>0.31041666666666667</v>
      </c>
      <c r="F1522" s="5">
        <f t="shared" si="161"/>
        <v>0.70062695924764895</v>
      </c>
      <c r="G1522" s="5">
        <v>0.78400000000000003</v>
      </c>
      <c r="H1522" s="4">
        <f>55.7/1440</f>
        <v>3.8680555555555558E-2</v>
      </c>
      <c r="I1522" s="5">
        <v>9.8000000000000004E-2</v>
      </c>
      <c r="J1522" s="11" t="s">
        <v>2094</v>
      </c>
    </row>
    <row r="1523" spans="1:10" ht="13.15" customHeight="1" x14ac:dyDescent="0.25">
      <c r="A1523">
        <f t="shared" si="159"/>
        <v>1518</v>
      </c>
      <c r="B1523" t="s">
        <v>2101</v>
      </c>
      <c r="C1523" s="2">
        <v>0.47638888888888886</v>
      </c>
      <c r="D1523" s="4">
        <f t="shared" si="160"/>
        <v>0.13263888888888886</v>
      </c>
      <c r="E1523" s="6">
        <v>0.34375</v>
      </c>
      <c r="F1523" s="5">
        <f t="shared" si="161"/>
        <v>0.72157434402332365</v>
      </c>
      <c r="G1523" s="5">
        <v>0.81499999999999995</v>
      </c>
      <c r="H1523" s="4">
        <f>62.8/1440</f>
        <v>4.3611111111111107E-2</v>
      </c>
      <c r="I1523" s="5">
        <v>0.10299999999999999</v>
      </c>
      <c r="J1523" s="11" t="s">
        <v>2094</v>
      </c>
    </row>
    <row r="1524" spans="1:10" ht="13.15" customHeight="1" x14ac:dyDescent="0.25">
      <c r="A1524">
        <f t="shared" si="159"/>
        <v>1519</v>
      </c>
      <c r="B1524" t="s">
        <v>2102</v>
      </c>
      <c r="C1524" s="2">
        <v>0.46180555555555558</v>
      </c>
      <c r="D1524" s="4">
        <f t="shared" si="160"/>
        <v>0.125</v>
      </c>
      <c r="E1524" s="6">
        <v>0.33680555555555558</v>
      </c>
      <c r="F1524" s="5">
        <f t="shared" si="161"/>
        <v>0.72932330827067671</v>
      </c>
      <c r="G1524" s="5">
        <v>0.77700000000000002</v>
      </c>
      <c r="H1524" s="4">
        <f>58.1/1440</f>
        <v>4.0347222222222222E-2</v>
      </c>
      <c r="I1524" s="5">
        <v>9.2999999999999999E-2</v>
      </c>
      <c r="J1524" s="11" t="s">
        <v>2094</v>
      </c>
    </row>
    <row r="1525" spans="1:10" ht="13.15" customHeight="1" x14ac:dyDescent="0.25">
      <c r="A1525">
        <f t="shared" si="159"/>
        <v>1520</v>
      </c>
      <c r="B1525" t="s">
        <v>2103</v>
      </c>
      <c r="C1525" s="2">
        <v>0.43819444444444444</v>
      </c>
      <c r="D1525" s="4">
        <f t="shared" si="160"/>
        <v>0.125</v>
      </c>
      <c r="E1525" s="6">
        <v>0.31319444444444444</v>
      </c>
      <c r="F1525" s="5">
        <f t="shared" si="161"/>
        <v>0.71473851030110935</v>
      </c>
      <c r="G1525" s="5">
        <v>0.81899999999999995</v>
      </c>
      <c r="H1525" s="4">
        <f>80.8/1440</f>
        <v>5.6111111111111112E-2</v>
      </c>
      <c r="I1525" s="5">
        <v>0.14699999999999999</v>
      </c>
      <c r="J1525" s="11" t="s">
        <v>2094</v>
      </c>
    </row>
    <row r="1526" spans="1:10" ht="13.15" customHeight="1" x14ac:dyDescent="0.25">
      <c r="A1526">
        <f t="shared" si="159"/>
        <v>1521</v>
      </c>
      <c r="B1526" t="s">
        <v>2113</v>
      </c>
      <c r="C1526" s="2">
        <v>0.36180555555555555</v>
      </c>
      <c r="D1526" s="4">
        <f t="shared" ref="D1526:D1535" si="162">C1526-E1526</f>
        <v>0.10069444444444442</v>
      </c>
      <c r="E1526" s="6">
        <v>0.26111111111111113</v>
      </c>
      <c r="F1526" s="5">
        <f t="shared" ref="F1526:F1535" si="163">E1526/C1526</f>
        <v>0.72168905950095974</v>
      </c>
      <c r="G1526" s="5">
        <v>0.74299999999999999</v>
      </c>
      <c r="H1526" s="4">
        <f>71.5/1440</f>
        <v>4.9652777777777775E-2</v>
      </c>
      <c r="I1526" s="5">
        <v>0.14099999999999999</v>
      </c>
      <c r="J1526" s="11" t="s">
        <v>2114</v>
      </c>
    </row>
    <row r="1527" spans="1:10" ht="13.15" customHeight="1" x14ac:dyDescent="0.25">
      <c r="A1527">
        <f t="shared" si="159"/>
        <v>1522</v>
      </c>
      <c r="B1527" t="s">
        <v>2104</v>
      </c>
      <c r="C1527" s="2">
        <v>0.40486111111111112</v>
      </c>
      <c r="D1527" s="4">
        <f t="shared" si="162"/>
        <v>0.10138888888888892</v>
      </c>
      <c r="E1527" s="6">
        <v>0.3034722222222222</v>
      </c>
      <c r="F1527" s="5">
        <f t="shared" si="163"/>
        <v>0.74957118353344765</v>
      </c>
      <c r="G1527" s="5">
        <v>0.80800000000000005</v>
      </c>
      <c r="H1527" s="4">
        <f>57/1440</f>
        <v>3.9583333333333331E-2</v>
      </c>
      <c r="I1527" s="5">
        <v>0.105</v>
      </c>
      <c r="J1527" s="11" t="s">
        <v>2115</v>
      </c>
    </row>
    <row r="1528" spans="1:10" ht="13.15" customHeight="1" x14ac:dyDescent="0.25">
      <c r="A1528">
        <f t="shared" si="159"/>
        <v>1523</v>
      </c>
      <c r="B1528" t="s">
        <v>2105</v>
      </c>
      <c r="C1528" s="2">
        <v>0.43958333333333333</v>
      </c>
      <c r="D1528" s="4">
        <f t="shared" si="162"/>
        <v>0.1020833333333333</v>
      </c>
      <c r="E1528" s="6">
        <v>0.33750000000000002</v>
      </c>
      <c r="F1528" s="5">
        <f t="shared" si="163"/>
        <v>0.76777251184834128</v>
      </c>
      <c r="G1528" s="5">
        <v>0.83899999999999997</v>
      </c>
      <c r="H1528" s="4">
        <f>56.7/1440</f>
        <v>3.9375E-2</v>
      </c>
      <c r="I1528" s="5">
        <v>9.8000000000000004E-2</v>
      </c>
      <c r="J1528" s="11" t="s">
        <v>2115</v>
      </c>
    </row>
    <row r="1529" spans="1:10" ht="13.15" customHeight="1" x14ac:dyDescent="0.25">
      <c r="A1529">
        <f t="shared" si="159"/>
        <v>1524</v>
      </c>
      <c r="B1529" t="s">
        <v>2106</v>
      </c>
      <c r="C1529" s="2">
        <v>0.39583333333333331</v>
      </c>
      <c r="D1529" s="4">
        <f t="shared" si="162"/>
        <v>0.1111111111111111</v>
      </c>
      <c r="E1529" s="6">
        <v>0.28472222222222221</v>
      </c>
      <c r="F1529" s="5">
        <f t="shared" si="163"/>
        <v>0.7192982456140351</v>
      </c>
      <c r="G1529" s="5">
        <v>0.85599999999999998</v>
      </c>
      <c r="H1529" s="4">
        <f>50.1/1440</f>
        <v>3.4791666666666665E-2</v>
      </c>
      <c r="I1529" s="5">
        <v>0.104</v>
      </c>
      <c r="J1529" s="11" t="s">
        <v>2115</v>
      </c>
    </row>
    <row r="1530" spans="1:10" ht="13.15" customHeight="1" x14ac:dyDescent="0.25">
      <c r="A1530">
        <f t="shared" si="159"/>
        <v>1525</v>
      </c>
      <c r="B1530" t="s">
        <v>2107</v>
      </c>
      <c r="C1530" s="2">
        <v>0.36944444444444446</v>
      </c>
      <c r="D1530" s="4">
        <f t="shared" si="162"/>
        <v>0.10208333333333336</v>
      </c>
      <c r="E1530" s="6">
        <v>0.2673611111111111</v>
      </c>
      <c r="F1530" s="5">
        <f t="shared" si="163"/>
        <v>0.72368421052631571</v>
      </c>
      <c r="G1530" s="5">
        <v>0.74299999999999999</v>
      </c>
      <c r="H1530" s="4">
        <f>55.7/1440</f>
        <v>3.8680555555555558E-2</v>
      </c>
      <c r="I1530" s="5">
        <v>0.107</v>
      </c>
      <c r="J1530" s="11" t="s">
        <v>2115</v>
      </c>
    </row>
    <row r="1531" spans="1:10" ht="13.15" customHeight="1" x14ac:dyDescent="0.25">
      <c r="A1531">
        <f t="shared" si="159"/>
        <v>1526</v>
      </c>
      <c r="B1531" t="s">
        <v>2108</v>
      </c>
      <c r="C1531" s="2">
        <v>0.375</v>
      </c>
      <c r="D1531" s="4">
        <f t="shared" si="162"/>
        <v>0.10138888888888886</v>
      </c>
      <c r="E1531" s="6">
        <v>0.27361111111111114</v>
      </c>
      <c r="F1531" s="5">
        <f t="shared" si="163"/>
        <v>0.72962962962962974</v>
      </c>
      <c r="G1531" s="5">
        <v>0.81599999999999995</v>
      </c>
      <c r="H1531" s="4">
        <f>56/1440</f>
        <v>3.888888888888889E-2</v>
      </c>
      <c r="I1531" s="5">
        <v>0.11600000000000001</v>
      </c>
      <c r="J1531" s="11" t="s">
        <v>2115</v>
      </c>
    </row>
    <row r="1532" spans="1:10" ht="13.15" customHeight="1" x14ac:dyDescent="0.25">
      <c r="A1532">
        <f t="shared" si="159"/>
        <v>1527</v>
      </c>
      <c r="B1532" t="s">
        <v>2109</v>
      </c>
      <c r="C1532" s="2">
        <v>0.46250000000000002</v>
      </c>
      <c r="D1532" s="4">
        <f t="shared" si="162"/>
        <v>0.11319444444444449</v>
      </c>
      <c r="E1532" s="6">
        <v>0.34930555555555554</v>
      </c>
      <c r="F1532" s="5">
        <f t="shared" si="163"/>
        <v>0.75525525525525516</v>
      </c>
      <c r="G1532" s="5">
        <v>0.78100000000000003</v>
      </c>
      <c r="H1532" s="4">
        <f>66.6/1440</f>
        <v>4.6249999999999999E-2</v>
      </c>
      <c r="I1532" s="5">
        <v>0.10299999999999999</v>
      </c>
      <c r="J1532" s="11" t="s">
        <v>2116</v>
      </c>
    </row>
    <row r="1533" spans="1:10" ht="13.15" customHeight="1" x14ac:dyDescent="0.25">
      <c r="A1533">
        <f t="shared" si="159"/>
        <v>1528</v>
      </c>
      <c r="B1533" t="s">
        <v>2110</v>
      </c>
      <c r="C1533" s="2">
        <v>0.3923611111111111</v>
      </c>
      <c r="D1533" s="4">
        <f t="shared" si="162"/>
        <v>9.375E-2</v>
      </c>
      <c r="E1533" s="6">
        <v>0.2986111111111111</v>
      </c>
      <c r="F1533" s="5">
        <f t="shared" si="163"/>
        <v>0.76106194690265483</v>
      </c>
      <c r="G1533" s="5">
        <v>0.85699999999999998</v>
      </c>
      <c r="H1533" s="4">
        <f>61.6/1440</f>
        <v>4.2777777777777776E-2</v>
      </c>
      <c r="I1533" s="5">
        <v>0.122</v>
      </c>
      <c r="J1533" s="11" t="s">
        <v>2116</v>
      </c>
    </row>
    <row r="1534" spans="1:10" ht="13.15" customHeight="1" x14ac:dyDescent="0.25">
      <c r="A1534">
        <f t="shared" si="159"/>
        <v>1529</v>
      </c>
      <c r="B1534" t="s">
        <v>2111</v>
      </c>
      <c r="C1534" s="2">
        <v>0.6791666666666667</v>
      </c>
      <c r="D1534" s="4">
        <f t="shared" si="162"/>
        <v>0.18472222222222223</v>
      </c>
      <c r="E1534" s="6">
        <v>0.49444444444444446</v>
      </c>
      <c r="F1534" s="5">
        <f t="shared" si="163"/>
        <v>0.72801635991820035</v>
      </c>
      <c r="G1534" s="5">
        <v>0.89600000000000002</v>
      </c>
      <c r="H1534" s="4">
        <f>51.7/1440</f>
        <v>3.5902777777777777E-2</v>
      </c>
      <c r="I1534" s="5">
        <v>6.5000000000000002E-2</v>
      </c>
      <c r="J1534" s="11" t="s">
        <v>2116</v>
      </c>
    </row>
    <row r="1535" spans="1:10" ht="13.15" customHeight="1" x14ac:dyDescent="0.25">
      <c r="A1535">
        <f t="shared" si="159"/>
        <v>1530</v>
      </c>
      <c r="B1535" t="s">
        <v>2112</v>
      </c>
      <c r="C1535" s="2">
        <v>0.49583333333333335</v>
      </c>
      <c r="D1535" s="4">
        <f t="shared" si="162"/>
        <v>0.11875000000000002</v>
      </c>
      <c r="E1535" s="6">
        <v>0.37708333333333333</v>
      </c>
      <c r="F1535" s="5">
        <f t="shared" si="163"/>
        <v>0.76050420168067223</v>
      </c>
      <c r="G1535" s="5">
        <v>0.69199999999999995</v>
      </c>
      <c r="H1535" s="4">
        <f>72.2/1440</f>
        <v>5.0138888888888893E-2</v>
      </c>
      <c r="I1535" s="5">
        <v>9.1999999999999998E-2</v>
      </c>
      <c r="J1535" s="11" t="s">
        <v>2116</v>
      </c>
    </row>
    <row r="1536" spans="1:10" ht="13.15" customHeight="1" x14ac:dyDescent="0.25">
      <c r="A1536">
        <f t="shared" si="159"/>
        <v>1531</v>
      </c>
      <c r="B1536" t="s">
        <v>2126</v>
      </c>
      <c r="C1536" s="2">
        <v>0.53125</v>
      </c>
      <c r="D1536" s="4">
        <f t="shared" ref="D1536:D1555" si="164">C1536-E1536</f>
        <v>0.11249999999999999</v>
      </c>
      <c r="E1536" s="6">
        <v>0.41875000000000001</v>
      </c>
      <c r="F1536" s="5">
        <f t="shared" ref="F1536:F1555" si="165">E1536/C1536</f>
        <v>0.78823529411764703</v>
      </c>
      <c r="G1536" s="5">
        <v>0.94699999999999995</v>
      </c>
      <c r="H1536" s="4">
        <f>87.1/1440</f>
        <v>6.0486111111111109E-2</v>
      </c>
      <c r="I1536" s="5">
        <v>0.13600000000000001</v>
      </c>
      <c r="J1536" s="11" t="s">
        <v>2127</v>
      </c>
    </row>
    <row r="1537" spans="1:10" ht="13.15" customHeight="1" x14ac:dyDescent="0.25">
      <c r="A1537">
        <f t="shared" si="159"/>
        <v>1532</v>
      </c>
      <c r="B1537" t="s">
        <v>2117</v>
      </c>
      <c r="C1537" s="2">
        <v>0.41319444444444442</v>
      </c>
      <c r="D1537" s="4">
        <f t="shared" si="164"/>
        <v>0.11180555555555555</v>
      </c>
      <c r="E1537" s="6">
        <v>0.30138888888888887</v>
      </c>
      <c r="F1537" s="5">
        <f t="shared" si="165"/>
        <v>0.72941176470588232</v>
      </c>
      <c r="G1537" s="5">
        <v>0.79100000000000004</v>
      </c>
      <c r="H1537" s="4">
        <f>60.5/1440</f>
        <v>4.2013888888888892E-2</v>
      </c>
      <c r="I1537" s="5">
        <v>0.11</v>
      </c>
      <c r="J1537" s="11" t="s">
        <v>2129</v>
      </c>
    </row>
    <row r="1538" spans="1:10" ht="13.15" customHeight="1" x14ac:dyDescent="0.25">
      <c r="A1538">
        <f t="shared" si="159"/>
        <v>1533</v>
      </c>
      <c r="B1538" t="s">
        <v>2118</v>
      </c>
      <c r="C1538" s="2">
        <v>0.39444444444444443</v>
      </c>
      <c r="D1538" s="4">
        <f t="shared" si="164"/>
        <v>0.1076388888888889</v>
      </c>
      <c r="E1538" s="6">
        <v>0.28680555555555554</v>
      </c>
      <c r="F1538" s="5">
        <f t="shared" si="165"/>
        <v>0.727112676056338</v>
      </c>
      <c r="G1538" s="5">
        <v>0.82099999999999995</v>
      </c>
      <c r="H1538" s="4">
        <f>62.2/1440</f>
        <v>4.3194444444444445E-2</v>
      </c>
      <c r="I1538" s="5">
        <v>0.124</v>
      </c>
      <c r="J1538" s="11" t="s">
        <v>2129</v>
      </c>
    </row>
    <row r="1539" spans="1:10" ht="13.15" customHeight="1" x14ac:dyDescent="0.25">
      <c r="A1539">
        <f t="shared" si="159"/>
        <v>1534</v>
      </c>
      <c r="B1539" t="s">
        <v>2119</v>
      </c>
      <c r="C1539" s="2">
        <v>0.40208333333333335</v>
      </c>
      <c r="D1539" s="4">
        <f t="shared" si="164"/>
        <v>0.11249999999999999</v>
      </c>
      <c r="E1539" s="6">
        <v>0.28958333333333336</v>
      </c>
      <c r="F1539" s="5">
        <f t="shared" si="165"/>
        <v>0.72020725388601037</v>
      </c>
      <c r="G1539" s="5">
        <v>0.73099999999999998</v>
      </c>
      <c r="H1539" s="4">
        <f>55.8/1440</f>
        <v>3.875E-2</v>
      </c>
      <c r="I1539" s="5">
        <v>9.8000000000000004E-2</v>
      </c>
      <c r="J1539" s="11" t="s">
        <v>2129</v>
      </c>
    </row>
    <row r="1540" spans="1:10" ht="13.15" customHeight="1" x14ac:dyDescent="0.25">
      <c r="A1540">
        <f t="shared" si="159"/>
        <v>1535</v>
      </c>
      <c r="B1540" t="s">
        <v>2120</v>
      </c>
      <c r="C1540" s="2">
        <v>0.3923611111111111</v>
      </c>
      <c r="D1540" s="4">
        <f t="shared" si="164"/>
        <v>0.1111111111111111</v>
      </c>
      <c r="E1540" s="6">
        <v>0.28125</v>
      </c>
      <c r="F1540" s="5">
        <f t="shared" si="165"/>
        <v>0.7168141592920354</v>
      </c>
      <c r="G1540" s="5">
        <v>0.71599999999999997</v>
      </c>
      <c r="H1540" s="4">
        <f>52/1440</f>
        <v>3.6111111111111108E-2</v>
      </c>
      <c r="I1540" s="5">
        <v>9.1999999999999998E-2</v>
      </c>
      <c r="J1540" s="11" t="s">
        <v>2129</v>
      </c>
    </row>
    <row r="1541" spans="1:10" ht="13.15" customHeight="1" x14ac:dyDescent="0.25">
      <c r="A1541">
        <f t="shared" si="159"/>
        <v>1536</v>
      </c>
      <c r="B1541" t="s">
        <v>2121</v>
      </c>
      <c r="C1541" s="2">
        <v>0.41249999999999998</v>
      </c>
      <c r="D1541" s="4">
        <f t="shared" si="164"/>
        <v>0.10902777777777778</v>
      </c>
      <c r="E1541" s="6">
        <v>0.3034722222222222</v>
      </c>
      <c r="F1541" s="5">
        <f t="shared" si="165"/>
        <v>0.73569023569023573</v>
      </c>
      <c r="G1541" s="5">
        <v>0.81299999999999994</v>
      </c>
      <c r="H1541" s="4">
        <f>62.9/1440</f>
        <v>4.3680555555555556E-2</v>
      </c>
      <c r="I1541" s="5">
        <v>0.11700000000000001</v>
      </c>
      <c r="J1541" s="11" t="s">
        <v>2129</v>
      </c>
    </row>
    <row r="1542" spans="1:10" ht="13.15" customHeight="1" x14ac:dyDescent="0.25">
      <c r="A1542">
        <f t="shared" si="159"/>
        <v>1537</v>
      </c>
      <c r="B1542" t="s">
        <v>2122</v>
      </c>
      <c r="C1542" s="2">
        <v>0.4201388888888889</v>
      </c>
      <c r="D1542" s="4">
        <f t="shared" si="164"/>
        <v>0.11041666666666666</v>
      </c>
      <c r="E1542" s="6">
        <v>0.30972222222222223</v>
      </c>
      <c r="F1542" s="5">
        <f t="shared" si="165"/>
        <v>0.73719008264462815</v>
      </c>
      <c r="G1542" s="5">
        <v>0.79700000000000004</v>
      </c>
      <c r="H1542" s="4">
        <f>60/1440</f>
        <v>4.1666666666666664E-2</v>
      </c>
      <c r="I1542" s="5">
        <v>0.107</v>
      </c>
      <c r="J1542" s="11" t="s">
        <v>2128</v>
      </c>
    </row>
    <row r="1543" spans="1:10" ht="13.15" customHeight="1" x14ac:dyDescent="0.25">
      <c r="A1543">
        <f t="shared" si="159"/>
        <v>1538</v>
      </c>
      <c r="B1543" t="s">
        <v>2123</v>
      </c>
      <c r="C1543" s="2">
        <v>0.47152777777777777</v>
      </c>
      <c r="D1543" s="4">
        <f t="shared" si="164"/>
        <v>0.12569444444444444</v>
      </c>
      <c r="E1543" s="6">
        <v>0.34583333333333333</v>
      </c>
      <c r="F1543" s="5">
        <f t="shared" si="165"/>
        <v>0.73343151693667152</v>
      </c>
      <c r="G1543" s="5">
        <v>0.83799999999999997</v>
      </c>
      <c r="H1543" s="4">
        <f>62.1/1440</f>
        <v>4.3125000000000004E-2</v>
      </c>
      <c r="I1543" s="5">
        <v>0.104</v>
      </c>
      <c r="J1543" s="11" t="s">
        <v>2128</v>
      </c>
    </row>
    <row r="1544" spans="1:10" ht="13.15" customHeight="1" x14ac:dyDescent="0.25">
      <c r="A1544">
        <f t="shared" si="159"/>
        <v>1539</v>
      </c>
      <c r="B1544" t="s">
        <v>2124</v>
      </c>
      <c r="C1544" s="2">
        <v>0.4597222222222222</v>
      </c>
      <c r="D1544" s="4">
        <f t="shared" si="164"/>
        <v>0.12222222222222218</v>
      </c>
      <c r="E1544" s="6">
        <v>0.33750000000000002</v>
      </c>
      <c r="F1544" s="5">
        <f t="shared" si="165"/>
        <v>0.73413897280966778</v>
      </c>
      <c r="G1544" s="5">
        <v>0.81200000000000006</v>
      </c>
      <c r="H1544" s="4">
        <f>60.2/1440</f>
        <v>4.1805555555555554E-2</v>
      </c>
      <c r="I1544" s="5">
        <v>0.10100000000000001</v>
      </c>
      <c r="J1544" s="11" t="s">
        <v>2128</v>
      </c>
    </row>
    <row r="1545" spans="1:10" ht="13.15" customHeight="1" x14ac:dyDescent="0.25">
      <c r="A1545">
        <f t="shared" si="159"/>
        <v>1540</v>
      </c>
      <c r="B1545" t="s">
        <v>2125</v>
      </c>
      <c r="C1545" s="2">
        <v>0.44444444444444442</v>
      </c>
      <c r="D1545" s="4">
        <f t="shared" si="164"/>
        <v>0.11805555555555552</v>
      </c>
      <c r="E1545" s="6">
        <v>0.3263888888888889</v>
      </c>
      <c r="F1545" s="5">
        <f t="shared" si="165"/>
        <v>0.734375</v>
      </c>
      <c r="G1545" s="5">
        <v>0.85399999999999998</v>
      </c>
      <c r="H1545" s="4">
        <f>78.4/1440</f>
        <v>5.4444444444444448E-2</v>
      </c>
      <c r="I1545" s="5">
        <v>0.14199999999999999</v>
      </c>
      <c r="J1545" s="11" t="s">
        <v>2128</v>
      </c>
    </row>
    <row r="1546" spans="1:10" ht="13.15" customHeight="1" x14ac:dyDescent="0.25">
      <c r="A1546">
        <f t="shared" si="159"/>
        <v>1541</v>
      </c>
      <c r="B1546" t="s">
        <v>2130</v>
      </c>
      <c r="C1546" s="2">
        <v>0.46666666666666667</v>
      </c>
      <c r="D1546" s="4">
        <f t="shared" si="164"/>
        <v>0.10555555555555557</v>
      </c>
      <c r="E1546" s="6">
        <v>0.3611111111111111</v>
      </c>
      <c r="F1546" s="5">
        <f t="shared" si="165"/>
        <v>0.77380952380952384</v>
      </c>
      <c r="G1546" s="5">
        <v>0.88100000000000001</v>
      </c>
      <c r="H1546" s="4">
        <f>72.8/1440</f>
        <v>5.0555555555555555E-2</v>
      </c>
      <c r="I1546" s="5">
        <v>0.123</v>
      </c>
      <c r="J1546" s="11" t="s">
        <v>2131</v>
      </c>
    </row>
    <row r="1547" spans="1:10" ht="13.15" customHeight="1" x14ac:dyDescent="0.25">
      <c r="A1547">
        <f t="shared" si="159"/>
        <v>1542</v>
      </c>
      <c r="B1547" t="s">
        <v>2132</v>
      </c>
      <c r="C1547" s="2">
        <v>0.44722222222222224</v>
      </c>
      <c r="D1547" s="4">
        <f t="shared" si="164"/>
        <v>0.10416666666666669</v>
      </c>
      <c r="E1547" s="6">
        <v>0.34305555555555556</v>
      </c>
      <c r="F1547" s="5">
        <f t="shared" si="165"/>
        <v>0.76708074534161486</v>
      </c>
      <c r="G1547" s="5">
        <v>0.88500000000000001</v>
      </c>
      <c r="H1547" s="4">
        <f>78.2/1440</f>
        <v>5.4305555555555558E-2</v>
      </c>
      <c r="I1547" s="5">
        <v>0.14000000000000001</v>
      </c>
      <c r="J1547" s="11" t="s">
        <v>2131</v>
      </c>
    </row>
    <row r="1548" spans="1:10" ht="13.15" customHeight="1" x14ac:dyDescent="0.25">
      <c r="A1548">
        <f t="shared" si="159"/>
        <v>1543</v>
      </c>
      <c r="B1548" t="s">
        <v>2133</v>
      </c>
      <c r="C1548" s="2">
        <v>0.46319444444444446</v>
      </c>
      <c r="D1548" s="4">
        <f t="shared" si="164"/>
        <v>0.12986111111111115</v>
      </c>
      <c r="E1548" s="6">
        <v>0.33333333333333331</v>
      </c>
      <c r="F1548" s="5">
        <f t="shared" si="165"/>
        <v>0.71964017991004492</v>
      </c>
      <c r="G1548" s="5">
        <v>0.88700000000000001</v>
      </c>
      <c r="H1548" s="4">
        <f>65.9/1440</f>
        <v>4.5763888888888896E-2</v>
      </c>
      <c r="I1548" s="5">
        <v>0.122</v>
      </c>
      <c r="J1548" s="11" t="s">
        <v>2131</v>
      </c>
    </row>
    <row r="1549" spans="1:10" ht="13.15" customHeight="1" x14ac:dyDescent="0.25">
      <c r="A1549">
        <f t="shared" si="159"/>
        <v>1544</v>
      </c>
      <c r="B1549" t="s">
        <v>2134</v>
      </c>
      <c r="C1549" s="2">
        <v>0.46736111111111112</v>
      </c>
      <c r="D1549" s="4">
        <f t="shared" si="164"/>
        <v>9.2361111111111116E-2</v>
      </c>
      <c r="E1549" s="6">
        <v>0.375</v>
      </c>
      <c r="F1549" s="5">
        <f t="shared" si="165"/>
        <v>0.80237741456166423</v>
      </c>
      <c r="G1549" s="5">
        <v>0.86099999999999999</v>
      </c>
      <c r="H1549" s="4">
        <f>67.3/1440</f>
        <v>4.673611111111111E-2</v>
      </c>
      <c r="I1549" s="5">
        <v>0.107</v>
      </c>
      <c r="J1549" s="11" t="s">
        <v>2131</v>
      </c>
    </row>
    <row r="1550" spans="1:10" ht="13.15" customHeight="1" x14ac:dyDescent="0.25">
      <c r="A1550">
        <f t="shared" si="159"/>
        <v>1545</v>
      </c>
      <c r="B1550" t="s">
        <v>2135</v>
      </c>
      <c r="C1550" s="2">
        <v>0.45833333333333331</v>
      </c>
      <c r="D1550" s="4">
        <f t="shared" si="164"/>
        <v>0.10069444444444442</v>
      </c>
      <c r="E1550" s="6">
        <v>0.3576388888888889</v>
      </c>
      <c r="F1550" s="5">
        <f t="shared" si="165"/>
        <v>0.78030303030303039</v>
      </c>
      <c r="G1550" s="5">
        <v>0.86499999999999999</v>
      </c>
      <c r="H1550" s="4">
        <f>76.9/1440</f>
        <v>5.3402777777777785E-2</v>
      </c>
      <c r="I1550" s="5">
        <v>0.129</v>
      </c>
      <c r="J1550" s="11" t="s">
        <v>2131</v>
      </c>
    </row>
    <row r="1551" spans="1:10" ht="13.15" customHeight="1" x14ac:dyDescent="0.25">
      <c r="A1551">
        <f t="shared" si="159"/>
        <v>1546</v>
      </c>
      <c r="B1551" t="s">
        <v>2136</v>
      </c>
      <c r="C1551" s="2">
        <v>0.44722222222222224</v>
      </c>
      <c r="D1551" s="4">
        <f t="shared" si="164"/>
        <v>0.11041666666666666</v>
      </c>
      <c r="E1551" s="6">
        <v>0.33680555555555558</v>
      </c>
      <c r="F1551" s="5">
        <f t="shared" si="165"/>
        <v>0.75310559006211186</v>
      </c>
      <c r="G1551" s="5">
        <v>0.88800000000000001</v>
      </c>
      <c r="H1551" s="4">
        <f>76.2/1440</f>
        <v>5.2916666666666667E-2</v>
      </c>
      <c r="I1551" s="5">
        <v>0.13900000000000001</v>
      </c>
      <c r="J1551" s="11" t="s">
        <v>2137</v>
      </c>
    </row>
    <row r="1552" spans="1:10" ht="13.15" customHeight="1" x14ac:dyDescent="0.25">
      <c r="A1552">
        <f t="shared" si="159"/>
        <v>1547</v>
      </c>
      <c r="B1552" t="s">
        <v>2138</v>
      </c>
      <c r="C1552" s="2">
        <v>0.48749999999999999</v>
      </c>
      <c r="D1552" s="4">
        <f t="shared" si="164"/>
        <v>0.11180555555555555</v>
      </c>
      <c r="E1552" s="6">
        <v>0.37569444444444444</v>
      </c>
      <c r="F1552" s="5">
        <f t="shared" si="165"/>
        <v>0.77065527065527062</v>
      </c>
      <c r="G1552" s="5">
        <v>0.89500000000000002</v>
      </c>
      <c r="H1552" s="4">
        <f>66.5/1440</f>
        <v>4.6180555555555558E-2</v>
      </c>
      <c r="I1552" s="5">
        <v>0.11</v>
      </c>
      <c r="J1552" s="11" t="s">
        <v>2137</v>
      </c>
    </row>
    <row r="1553" spans="1:10" ht="13.15" customHeight="1" x14ac:dyDescent="0.25">
      <c r="A1553">
        <f t="shared" si="159"/>
        <v>1548</v>
      </c>
      <c r="B1553" t="s">
        <v>2139</v>
      </c>
      <c r="C1553" s="2">
        <v>0.5708333333333333</v>
      </c>
      <c r="D1553" s="4">
        <f t="shared" si="164"/>
        <v>0.10069444444444442</v>
      </c>
      <c r="E1553" s="6">
        <v>0.47013888888888888</v>
      </c>
      <c r="F1553" s="5">
        <f t="shared" si="165"/>
        <v>0.82360097323600978</v>
      </c>
      <c r="G1553" s="5">
        <v>0.91300000000000003</v>
      </c>
      <c r="H1553" s="4">
        <f>70.9/1440</f>
        <v>4.9236111111111112E-2</v>
      </c>
      <c r="I1553" s="5">
        <v>9.6000000000000002E-2</v>
      </c>
      <c r="J1553" s="11" t="s">
        <v>2137</v>
      </c>
    </row>
    <row r="1554" spans="1:10" ht="13.15" customHeight="1" x14ac:dyDescent="0.25">
      <c r="A1554">
        <f t="shared" si="159"/>
        <v>1549</v>
      </c>
      <c r="B1554" t="s">
        <v>2140</v>
      </c>
      <c r="C1554" s="2">
        <v>0.5</v>
      </c>
      <c r="D1554" s="4">
        <f t="shared" si="164"/>
        <v>0.1111111111111111</v>
      </c>
      <c r="E1554" s="6">
        <v>0.3888888888888889</v>
      </c>
      <c r="F1554" s="5">
        <f t="shared" si="165"/>
        <v>0.77777777777777779</v>
      </c>
      <c r="G1554" s="5">
        <v>0.84299999999999997</v>
      </c>
      <c r="H1554" s="4">
        <f>74.6/1440</f>
        <v>5.1805555555555549E-2</v>
      </c>
      <c r="I1554" s="5">
        <v>0.112</v>
      </c>
      <c r="J1554" s="11" t="s">
        <v>2137</v>
      </c>
    </row>
    <row r="1555" spans="1:10" ht="13.15" customHeight="1" x14ac:dyDescent="0.25">
      <c r="A1555">
        <f t="shared" si="159"/>
        <v>1550</v>
      </c>
      <c r="B1555" t="s">
        <v>2141</v>
      </c>
      <c r="C1555" s="2">
        <v>0.41180555555555554</v>
      </c>
      <c r="D1555" s="4">
        <f t="shared" si="164"/>
        <v>0.10972222222222222</v>
      </c>
      <c r="E1555" s="6">
        <v>0.30208333333333331</v>
      </c>
      <c r="F1555" s="5">
        <f t="shared" si="165"/>
        <v>0.73355817875210794</v>
      </c>
      <c r="G1555" s="5">
        <v>0.84</v>
      </c>
      <c r="H1555" s="4">
        <f>71/1440</f>
        <v>4.9305555555555554E-2</v>
      </c>
      <c r="I1555" s="5">
        <v>0.13700000000000001</v>
      </c>
      <c r="J1555" s="11" t="s">
        <v>2142</v>
      </c>
    </row>
    <row r="1556" spans="1:10" ht="13.15" customHeight="1" x14ac:dyDescent="0.25">
      <c r="A1556">
        <f t="shared" si="159"/>
        <v>1551</v>
      </c>
      <c r="B1556" t="s">
        <v>2143</v>
      </c>
      <c r="C1556" s="2">
        <v>0.36249999999999999</v>
      </c>
      <c r="D1556" s="4">
        <f t="shared" ref="D1556:D1566" si="166">C1556-E1556</f>
        <v>0.1076388888888889</v>
      </c>
      <c r="E1556" s="6">
        <v>0.25486111111111109</v>
      </c>
      <c r="F1556" s="5">
        <f t="shared" ref="F1556:F1566" si="167">E1556/C1556</f>
        <v>0.7030651340996168</v>
      </c>
      <c r="G1556" s="5">
        <v>0.74199999999999999</v>
      </c>
      <c r="H1556" s="4">
        <f>77.8/1440</f>
        <v>5.4027777777777779E-2</v>
      </c>
      <c r="I1556" s="5">
        <v>0.157</v>
      </c>
      <c r="J1556" s="11" t="s">
        <v>2145</v>
      </c>
    </row>
    <row r="1557" spans="1:10" ht="13.15" customHeight="1" x14ac:dyDescent="0.25">
      <c r="A1557">
        <f t="shared" ref="A1557:A1622" si="168">A1556+1</f>
        <v>1552</v>
      </c>
      <c r="B1557" t="s">
        <v>2144</v>
      </c>
      <c r="C1557" s="2">
        <v>0.41180555555555554</v>
      </c>
      <c r="D1557" s="4">
        <f t="shared" si="166"/>
        <v>0.1159722222222222</v>
      </c>
      <c r="E1557" s="6">
        <v>0.29583333333333334</v>
      </c>
      <c r="F1557" s="5">
        <f t="shared" si="167"/>
        <v>0.71838111298482299</v>
      </c>
      <c r="G1557" s="5">
        <v>0.84299999999999997</v>
      </c>
      <c r="H1557" s="4">
        <f>54/1440</f>
        <v>3.7499999999999999E-2</v>
      </c>
      <c r="I1557" s="5">
        <v>0.107</v>
      </c>
      <c r="J1557" s="11" t="s">
        <v>2146</v>
      </c>
    </row>
    <row r="1558" spans="1:10" ht="13.15" customHeight="1" x14ac:dyDescent="0.25">
      <c r="A1558">
        <f t="shared" si="168"/>
        <v>1553</v>
      </c>
      <c r="B1558" t="s">
        <v>2149</v>
      </c>
      <c r="C1558" s="2">
        <v>0.42777777777777776</v>
      </c>
      <c r="D1558" s="4">
        <f t="shared" si="166"/>
        <v>0.1076388888888889</v>
      </c>
      <c r="E1558" s="6">
        <v>0.32013888888888886</v>
      </c>
      <c r="F1558" s="5">
        <f t="shared" si="167"/>
        <v>0.74837662337662336</v>
      </c>
      <c r="G1558" s="5">
        <v>0.81699999999999995</v>
      </c>
      <c r="H1558" s="4">
        <f>65.9/1440</f>
        <v>4.5763888888888896E-2</v>
      </c>
      <c r="I1558" s="5">
        <v>0.11700000000000001</v>
      </c>
      <c r="J1558" s="11" t="s">
        <v>2147</v>
      </c>
    </row>
    <row r="1559" spans="1:10" ht="13.15" customHeight="1" x14ac:dyDescent="0.25">
      <c r="A1559">
        <f t="shared" si="168"/>
        <v>1554</v>
      </c>
      <c r="B1559" t="s">
        <v>2150</v>
      </c>
      <c r="C1559" s="2">
        <v>0.43055555555555558</v>
      </c>
      <c r="D1559" s="4">
        <f t="shared" si="166"/>
        <v>0.11319444444444449</v>
      </c>
      <c r="E1559" s="6">
        <v>0.31736111111111109</v>
      </c>
      <c r="F1559" s="5">
        <f t="shared" si="167"/>
        <v>0.73709677419354835</v>
      </c>
      <c r="G1559" s="5">
        <v>0.88700000000000001</v>
      </c>
      <c r="H1559" s="4">
        <f>67.8/1440</f>
        <v>4.7083333333333331E-2</v>
      </c>
      <c r="I1559" s="5">
        <v>0.13200000000000001</v>
      </c>
      <c r="J1559" s="11" t="s">
        <v>2147</v>
      </c>
    </row>
    <row r="1560" spans="1:10" ht="13.15" customHeight="1" x14ac:dyDescent="0.25">
      <c r="A1560">
        <f t="shared" si="168"/>
        <v>1555</v>
      </c>
      <c r="B1560" t="s">
        <v>2151</v>
      </c>
      <c r="C1560" s="2">
        <v>0.43819444444444444</v>
      </c>
      <c r="D1560" s="4">
        <f t="shared" si="166"/>
        <v>0.12430555555555556</v>
      </c>
      <c r="E1560" s="6">
        <v>0.31388888888888888</v>
      </c>
      <c r="F1560" s="5">
        <f t="shared" si="167"/>
        <v>0.71632329635499203</v>
      </c>
      <c r="G1560" s="5">
        <v>0.78600000000000003</v>
      </c>
      <c r="H1560" s="4">
        <f>54.3/1440</f>
        <v>3.770833333333333E-2</v>
      </c>
      <c r="I1560" s="5">
        <v>9.4E-2</v>
      </c>
      <c r="J1560" s="11" t="s">
        <v>2147</v>
      </c>
    </row>
    <row r="1561" spans="1:10" ht="13.15" customHeight="1" x14ac:dyDescent="0.25">
      <c r="A1561">
        <f t="shared" si="168"/>
        <v>1556</v>
      </c>
      <c r="B1561" t="s">
        <v>2152</v>
      </c>
      <c r="C1561" s="2">
        <v>0.43541666666666667</v>
      </c>
      <c r="D1561" s="4">
        <f t="shared" si="166"/>
        <v>0.10972222222222222</v>
      </c>
      <c r="E1561" s="6">
        <v>0.32569444444444445</v>
      </c>
      <c r="F1561" s="5">
        <f t="shared" si="167"/>
        <v>0.74800637958532701</v>
      </c>
      <c r="G1561" s="5">
        <v>0.71899999999999997</v>
      </c>
      <c r="H1561" s="4">
        <f>60.2/1440</f>
        <v>4.1805555555555554E-2</v>
      </c>
      <c r="I1561" s="5">
        <v>9.1999999999999998E-2</v>
      </c>
      <c r="J1561" s="11" t="s">
        <v>2147</v>
      </c>
    </row>
    <row r="1562" spans="1:10" ht="13.15" customHeight="1" x14ac:dyDescent="0.25">
      <c r="A1562">
        <f t="shared" si="168"/>
        <v>1557</v>
      </c>
      <c r="B1562" t="s">
        <v>2153</v>
      </c>
      <c r="C1562" s="2">
        <v>0.46666666666666667</v>
      </c>
      <c r="D1562" s="4">
        <f t="shared" si="166"/>
        <v>0.11736111111111114</v>
      </c>
      <c r="E1562" s="6">
        <v>0.34930555555555554</v>
      </c>
      <c r="F1562" s="5">
        <f t="shared" si="167"/>
        <v>0.74851190476190466</v>
      </c>
      <c r="G1562" s="5">
        <v>0.88600000000000001</v>
      </c>
      <c r="H1562" s="4">
        <f>78.8/1440</f>
        <v>5.4722222222222221E-2</v>
      </c>
      <c r="I1562" s="5">
        <v>0.13900000000000001</v>
      </c>
      <c r="J1562" s="11" t="s">
        <v>2147</v>
      </c>
    </row>
    <row r="1563" spans="1:10" ht="13.15" customHeight="1" x14ac:dyDescent="0.25">
      <c r="A1563">
        <f t="shared" si="168"/>
        <v>1558</v>
      </c>
      <c r="B1563" t="s">
        <v>2154</v>
      </c>
      <c r="C1563" s="2">
        <v>0.36249999999999999</v>
      </c>
      <c r="D1563" s="4">
        <f t="shared" si="166"/>
        <v>9.375E-2</v>
      </c>
      <c r="E1563" s="6">
        <v>0.26874999999999999</v>
      </c>
      <c r="F1563" s="5">
        <f t="shared" si="167"/>
        <v>0.74137931034482762</v>
      </c>
      <c r="G1563" s="5">
        <v>0.70799999999999996</v>
      </c>
      <c r="H1563" s="4">
        <f>58.9/1440</f>
        <v>4.0902777777777774E-2</v>
      </c>
      <c r="I1563" s="5">
        <v>0.108</v>
      </c>
      <c r="J1563" s="11" t="s">
        <v>2148</v>
      </c>
    </row>
    <row r="1564" spans="1:10" ht="13.15" customHeight="1" x14ac:dyDescent="0.25">
      <c r="A1564">
        <f t="shared" si="168"/>
        <v>1559</v>
      </c>
      <c r="B1564" t="s">
        <v>2155</v>
      </c>
      <c r="C1564" s="2">
        <v>0.49027777777777776</v>
      </c>
      <c r="D1564" s="4">
        <f t="shared" si="166"/>
        <v>0.11249999999999999</v>
      </c>
      <c r="E1564" s="6">
        <v>0.37777777777777777</v>
      </c>
      <c r="F1564" s="5">
        <f t="shared" si="167"/>
        <v>0.77053824362606238</v>
      </c>
      <c r="G1564" s="5">
        <v>0.89600000000000002</v>
      </c>
      <c r="H1564" s="4">
        <f>73/1440</f>
        <v>5.0694444444444445E-2</v>
      </c>
      <c r="I1564" s="5">
        <v>0.12</v>
      </c>
      <c r="J1564" s="11" t="s">
        <v>2148</v>
      </c>
    </row>
    <row r="1565" spans="1:10" ht="13.15" customHeight="1" x14ac:dyDescent="0.25">
      <c r="A1565">
        <f t="shared" si="168"/>
        <v>1560</v>
      </c>
      <c r="B1565" t="s">
        <v>2156</v>
      </c>
      <c r="C1565" s="2">
        <v>0.46736111111111112</v>
      </c>
      <c r="D1565" s="4">
        <f t="shared" si="166"/>
        <v>0.11388888888888887</v>
      </c>
      <c r="E1565" s="6">
        <v>0.35347222222222224</v>
      </c>
      <c r="F1565" s="5">
        <f t="shared" si="167"/>
        <v>0.75631500742942059</v>
      </c>
      <c r="G1565" s="5">
        <v>0.90800000000000003</v>
      </c>
      <c r="H1565" s="4">
        <f>59.5/1440</f>
        <v>4.1319444444444443E-2</v>
      </c>
      <c r="I1565" s="5">
        <v>0.106</v>
      </c>
      <c r="J1565" s="11" t="s">
        <v>2148</v>
      </c>
    </row>
    <row r="1566" spans="1:10" ht="13.15" customHeight="1" x14ac:dyDescent="0.25">
      <c r="A1566">
        <f t="shared" si="168"/>
        <v>1561</v>
      </c>
      <c r="B1566" t="s">
        <v>2157</v>
      </c>
      <c r="C1566" s="2">
        <v>0.44583333333333336</v>
      </c>
      <c r="D1566" s="4">
        <f t="shared" si="166"/>
        <v>0.11458333333333337</v>
      </c>
      <c r="E1566" s="6">
        <v>0.33124999999999999</v>
      </c>
      <c r="F1566" s="5">
        <f t="shared" si="167"/>
        <v>0.74299065420560739</v>
      </c>
      <c r="G1566" s="5">
        <v>0.75700000000000001</v>
      </c>
      <c r="H1566" s="4">
        <f>82/1440</f>
        <v>5.6944444444444443E-2</v>
      </c>
      <c r="I1566" s="5">
        <v>0.13</v>
      </c>
      <c r="J1566" s="11" t="s">
        <v>2148</v>
      </c>
    </row>
    <row r="1567" spans="1:10" ht="13.15" customHeight="1" x14ac:dyDescent="0.25">
      <c r="A1567">
        <f t="shared" si="168"/>
        <v>1562</v>
      </c>
      <c r="B1567" t="s">
        <v>2160</v>
      </c>
      <c r="C1567" s="2">
        <v>0.44444444444444442</v>
      </c>
      <c r="D1567" s="4">
        <f t="shared" ref="D1567:D1575" si="169">C1567-E1567</f>
        <v>0.11388888888888887</v>
      </c>
      <c r="E1567" s="6">
        <v>0.33055555555555555</v>
      </c>
      <c r="F1567" s="5">
        <f t="shared" ref="F1567:F1575" si="170">E1567/C1567</f>
        <v>0.74375000000000002</v>
      </c>
      <c r="G1567" s="5">
        <v>0.82599999999999996</v>
      </c>
      <c r="H1567" s="4">
        <f>63/1440</f>
        <v>4.3749999999999997E-2</v>
      </c>
      <c r="I1567" s="5">
        <v>0.109</v>
      </c>
      <c r="J1567" s="11" t="s">
        <v>2158</v>
      </c>
    </row>
    <row r="1568" spans="1:10" ht="13.15" customHeight="1" x14ac:dyDescent="0.25">
      <c r="A1568">
        <f t="shared" si="168"/>
        <v>1563</v>
      </c>
      <c r="B1568" t="s">
        <v>2161</v>
      </c>
      <c r="C1568" s="2">
        <v>0.46458333333333335</v>
      </c>
      <c r="D1568" s="4">
        <f t="shared" si="169"/>
        <v>0.12013888888888891</v>
      </c>
      <c r="E1568" s="6">
        <v>0.34444444444444444</v>
      </c>
      <c r="F1568" s="5">
        <f t="shared" si="170"/>
        <v>0.74140508221225709</v>
      </c>
      <c r="G1568" s="5">
        <v>0.91100000000000003</v>
      </c>
      <c r="H1568" s="4">
        <f>77.8/1440</f>
        <v>5.4027777777777779E-2</v>
      </c>
      <c r="I1568" s="5">
        <v>0.14299999999999999</v>
      </c>
      <c r="J1568" s="11" t="s">
        <v>2158</v>
      </c>
    </row>
    <row r="1569" spans="1:10" ht="13.15" customHeight="1" x14ac:dyDescent="0.25">
      <c r="A1569">
        <f t="shared" si="168"/>
        <v>1564</v>
      </c>
      <c r="B1569" t="s">
        <v>2162</v>
      </c>
      <c r="C1569" s="2">
        <v>0.37708333333333333</v>
      </c>
      <c r="D1569" s="4">
        <f t="shared" si="169"/>
        <v>0.11041666666666666</v>
      </c>
      <c r="E1569" s="6">
        <v>0.26666666666666666</v>
      </c>
      <c r="F1569" s="5">
        <f t="shared" si="170"/>
        <v>0.70718232044198892</v>
      </c>
      <c r="G1569" s="5">
        <v>0.78400000000000003</v>
      </c>
      <c r="H1569" s="4">
        <f>45.8/1440</f>
        <v>3.1805555555555552E-2</v>
      </c>
      <c r="I1569" s="5">
        <v>9.2999999999999999E-2</v>
      </c>
      <c r="J1569" s="11" t="s">
        <v>2158</v>
      </c>
    </row>
    <row r="1570" spans="1:10" ht="13.15" customHeight="1" x14ac:dyDescent="0.25">
      <c r="A1570">
        <f t="shared" si="168"/>
        <v>1565</v>
      </c>
      <c r="B1570" t="s">
        <v>2163</v>
      </c>
      <c r="C1570" s="2">
        <v>0.47499999999999998</v>
      </c>
      <c r="D1570" s="4">
        <f t="shared" si="169"/>
        <v>0.11527777777777776</v>
      </c>
      <c r="E1570" s="6">
        <v>0.35972222222222222</v>
      </c>
      <c r="F1570" s="5">
        <f t="shared" si="170"/>
        <v>0.75730994152046782</v>
      </c>
      <c r="G1570" s="5">
        <v>0.77400000000000002</v>
      </c>
      <c r="H1570" s="4">
        <f>52.9/1440</f>
        <v>3.6736111111111108E-2</v>
      </c>
      <c r="I1570" s="5">
        <v>7.9000000000000001E-2</v>
      </c>
      <c r="J1570" s="11" t="s">
        <v>2158</v>
      </c>
    </row>
    <row r="1571" spans="1:10" ht="13.15" customHeight="1" x14ac:dyDescent="0.25">
      <c r="A1571">
        <f t="shared" si="168"/>
        <v>1566</v>
      </c>
      <c r="B1571" t="s">
        <v>2164</v>
      </c>
      <c r="C1571" s="2">
        <v>0.42152777777777778</v>
      </c>
      <c r="D1571" s="4">
        <f t="shared" si="169"/>
        <v>0.12152777777777779</v>
      </c>
      <c r="E1571" s="6">
        <v>0.3</v>
      </c>
      <c r="F1571" s="5">
        <f t="shared" si="170"/>
        <v>0.71169686985172975</v>
      </c>
      <c r="G1571" s="5">
        <v>0.73199999999999998</v>
      </c>
      <c r="H1571" s="4">
        <f>63.7/1440</f>
        <v>4.4236111111111115E-2</v>
      </c>
      <c r="I1571" s="5">
        <v>0.108</v>
      </c>
      <c r="J1571" s="11" t="s">
        <v>2158</v>
      </c>
    </row>
    <row r="1572" spans="1:10" ht="13.15" customHeight="1" x14ac:dyDescent="0.25">
      <c r="A1572">
        <f t="shared" si="168"/>
        <v>1567</v>
      </c>
      <c r="B1572" t="s">
        <v>2165</v>
      </c>
      <c r="C1572" s="2">
        <v>0.54513888888888884</v>
      </c>
      <c r="D1572" s="4">
        <f t="shared" si="169"/>
        <v>0.1465277777777777</v>
      </c>
      <c r="E1572" s="6">
        <v>0.39861111111111114</v>
      </c>
      <c r="F1572" s="5">
        <f t="shared" si="170"/>
        <v>0.73121019108280272</v>
      </c>
      <c r="G1572" s="5">
        <v>0.79700000000000004</v>
      </c>
      <c r="H1572" s="4">
        <f>55.9/1440</f>
        <v>3.8819444444444441E-2</v>
      </c>
      <c r="I1572" s="5">
        <v>7.6999999999999999E-2</v>
      </c>
      <c r="J1572" s="11" t="s">
        <v>2159</v>
      </c>
    </row>
    <row r="1573" spans="1:10" ht="13.15" customHeight="1" x14ac:dyDescent="0.25">
      <c r="A1573">
        <f t="shared" si="168"/>
        <v>1568</v>
      </c>
      <c r="B1573" t="s">
        <v>2166</v>
      </c>
      <c r="C1573" s="2">
        <v>0.54236111111111107</v>
      </c>
      <c r="D1573" s="4">
        <f t="shared" si="169"/>
        <v>0.14513888888888887</v>
      </c>
      <c r="E1573" s="6">
        <v>0.3972222222222222</v>
      </c>
      <c r="F1573" s="5">
        <f t="shared" si="170"/>
        <v>0.73239436619718312</v>
      </c>
      <c r="G1573" s="5">
        <v>0.80400000000000005</v>
      </c>
      <c r="H1573" s="4">
        <f>60.2/1440</f>
        <v>4.1805555555555554E-2</v>
      </c>
      <c r="I1573" s="5">
        <v>8.4000000000000005E-2</v>
      </c>
      <c r="J1573" s="11" t="s">
        <v>2159</v>
      </c>
    </row>
    <row r="1574" spans="1:10" ht="13.15" customHeight="1" x14ac:dyDescent="0.25">
      <c r="A1574">
        <f t="shared" si="168"/>
        <v>1569</v>
      </c>
      <c r="B1574" t="s">
        <v>2167</v>
      </c>
      <c r="C1574" s="2">
        <v>0.43680555555555556</v>
      </c>
      <c r="D1574" s="4">
        <f t="shared" si="169"/>
        <v>0.15069444444444446</v>
      </c>
      <c r="E1574" s="6">
        <v>0.28611111111111109</v>
      </c>
      <c r="F1574" s="5">
        <f t="shared" si="170"/>
        <v>0.65500794912559612</v>
      </c>
      <c r="G1574" s="5">
        <v>0.90500000000000003</v>
      </c>
      <c r="H1574" s="4">
        <f>46.5/1440</f>
        <v>3.229166666666667E-2</v>
      </c>
      <c r="I1574" s="5">
        <v>0.10199999999999999</v>
      </c>
      <c r="J1574" s="11" t="s">
        <v>2159</v>
      </c>
    </row>
    <row r="1575" spans="1:10" ht="13.15" customHeight="1" x14ac:dyDescent="0.25">
      <c r="A1575">
        <f t="shared" si="168"/>
        <v>1570</v>
      </c>
      <c r="B1575" t="s">
        <v>2168</v>
      </c>
      <c r="C1575" s="2">
        <v>0.47013888888888888</v>
      </c>
      <c r="D1575" s="4">
        <f t="shared" si="169"/>
        <v>9.7916666666666652E-2</v>
      </c>
      <c r="E1575" s="6">
        <v>0.37222222222222223</v>
      </c>
      <c r="F1575" s="5">
        <f t="shared" si="170"/>
        <v>0.7917282127031019</v>
      </c>
      <c r="G1575" s="5">
        <v>0.88500000000000001</v>
      </c>
      <c r="H1575" s="4">
        <f>75.6/1440</f>
        <v>5.2499999999999998E-2</v>
      </c>
      <c r="I1575" s="5">
        <v>0.125</v>
      </c>
      <c r="J1575" s="11" t="s">
        <v>2159</v>
      </c>
    </row>
    <row r="1576" spans="1:10" ht="13.15" customHeight="1" x14ac:dyDescent="0.25">
      <c r="A1576">
        <f t="shared" si="168"/>
        <v>1571</v>
      </c>
      <c r="B1576" t="s">
        <v>2171</v>
      </c>
      <c r="C1576" s="2">
        <v>0.45</v>
      </c>
      <c r="D1576" s="4">
        <f t="shared" ref="D1576:D1584" si="171">C1576-E1576</f>
        <v>0.13750000000000001</v>
      </c>
      <c r="E1576" s="6">
        <v>0.3125</v>
      </c>
      <c r="F1576" s="5">
        <f t="shared" ref="F1576:F1584" si="172">E1576/C1576</f>
        <v>0.69444444444444442</v>
      </c>
      <c r="G1576" s="5">
        <v>0.78700000000000003</v>
      </c>
      <c r="H1576" s="4">
        <f>63.6/1440</f>
        <v>4.4166666666666667E-2</v>
      </c>
      <c r="I1576" s="5">
        <v>0.111</v>
      </c>
      <c r="J1576" s="11" t="s">
        <v>2169</v>
      </c>
    </row>
    <row r="1577" spans="1:10" ht="13.15" customHeight="1" x14ac:dyDescent="0.25">
      <c r="A1577">
        <f t="shared" si="168"/>
        <v>1572</v>
      </c>
      <c r="B1577" t="s">
        <v>2172</v>
      </c>
      <c r="C1577" s="2">
        <v>0.45902777777777776</v>
      </c>
      <c r="D1577" s="4">
        <f t="shared" si="171"/>
        <v>0.14652777777777776</v>
      </c>
      <c r="E1577" s="6">
        <v>0.3125</v>
      </c>
      <c r="F1577" s="5">
        <f t="shared" si="172"/>
        <v>0.68078668683812404</v>
      </c>
      <c r="G1577" s="5">
        <v>0.82</v>
      </c>
      <c r="H1577" s="4">
        <f>66.4/1440</f>
        <v>4.6111111111111117E-2</v>
      </c>
      <c r="I1577" s="5">
        <v>0.121</v>
      </c>
      <c r="J1577" s="11" t="s">
        <v>2169</v>
      </c>
    </row>
    <row r="1578" spans="1:10" ht="13.15" customHeight="1" x14ac:dyDescent="0.25">
      <c r="A1578">
        <f t="shared" si="168"/>
        <v>1573</v>
      </c>
      <c r="B1578" t="s">
        <v>2173</v>
      </c>
      <c r="C1578" s="2">
        <v>0.44236111111111109</v>
      </c>
      <c r="D1578" s="4">
        <f t="shared" si="171"/>
        <v>0.14583333333333331</v>
      </c>
      <c r="E1578" s="6">
        <v>0.29652777777777778</v>
      </c>
      <c r="F1578" s="5">
        <f t="shared" si="172"/>
        <v>0.67032967032967039</v>
      </c>
      <c r="G1578" s="5">
        <v>0.77600000000000002</v>
      </c>
      <c r="H1578" s="4">
        <f>61.4/1440</f>
        <v>4.2638888888888886E-2</v>
      </c>
      <c r="I1578" s="5">
        <v>0.111</v>
      </c>
      <c r="J1578" s="11" t="s">
        <v>2169</v>
      </c>
    </row>
    <row r="1579" spans="1:10" ht="13.15" customHeight="1" x14ac:dyDescent="0.25">
      <c r="A1579">
        <f t="shared" si="168"/>
        <v>1574</v>
      </c>
      <c r="B1579" t="s">
        <v>2174</v>
      </c>
      <c r="C1579" s="2">
        <v>0.46875</v>
      </c>
      <c r="D1579" s="4">
        <f t="shared" si="171"/>
        <v>0.1472222222222222</v>
      </c>
      <c r="E1579" s="6">
        <v>0.3215277777777778</v>
      </c>
      <c r="F1579" s="5">
        <f t="shared" si="172"/>
        <v>0.68592592592592594</v>
      </c>
      <c r="G1579" s="5">
        <v>0.68200000000000005</v>
      </c>
      <c r="H1579" s="4">
        <f>53.1/1440</f>
        <v>3.6874999999999998E-2</v>
      </c>
      <c r="I1579" s="5">
        <v>7.8E-2</v>
      </c>
      <c r="J1579" s="11" t="s">
        <v>2169</v>
      </c>
    </row>
    <row r="1580" spans="1:10" ht="13.15" customHeight="1" x14ac:dyDescent="0.25">
      <c r="A1580">
        <f t="shared" si="168"/>
        <v>1575</v>
      </c>
      <c r="B1580" t="s">
        <v>2175</v>
      </c>
      <c r="C1580" s="2">
        <v>0.42499999999999999</v>
      </c>
      <c r="D1580" s="4">
        <f t="shared" si="171"/>
        <v>0.11249999999999999</v>
      </c>
      <c r="E1580" s="6">
        <v>0.3125</v>
      </c>
      <c r="F1580" s="5">
        <f t="shared" si="172"/>
        <v>0.73529411764705888</v>
      </c>
      <c r="G1580" s="5">
        <v>0.78300000000000003</v>
      </c>
      <c r="H1580" s="4">
        <f>61/1440</f>
        <v>4.2361111111111113E-2</v>
      </c>
      <c r="I1580" s="5">
        <v>0.106</v>
      </c>
      <c r="J1580" s="11" t="s">
        <v>2169</v>
      </c>
    </row>
    <row r="1581" spans="1:10" ht="13.15" customHeight="1" x14ac:dyDescent="0.25">
      <c r="A1581">
        <f t="shared" si="168"/>
        <v>1576</v>
      </c>
      <c r="B1581" t="s">
        <v>2176</v>
      </c>
      <c r="C1581" s="2">
        <v>0.44027777777777777</v>
      </c>
      <c r="D1581" s="4">
        <f t="shared" si="171"/>
        <v>0.14097222222222222</v>
      </c>
      <c r="E1581" s="6">
        <v>0.29930555555555555</v>
      </c>
      <c r="F1581" s="5">
        <f t="shared" si="172"/>
        <v>0.67981072555205047</v>
      </c>
      <c r="G1581" s="5">
        <v>0.79800000000000004</v>
      </c>
      <c r="H1581" s="4">
        <f>66/1440</f>
        <v>4.583333333333333E-2</v>
      </c>
      <c r="I1581" s="5">
        <v>0.122</v>
      </c>
      <c r="J1581" s="11" t="s">
        <v>2170</v>
      </c>
    </row>
    <row r="1582" spans="1:10" ht="13.15" customHeight="1" x14ac:dyDescent="0.25">
      <c r="A1582">
        <f t="shared" si="168"/>
        <v>1577</v>
      </c>
      <c r="B1582" t="s">
        <v>2177</v>
      </c>
      <c r="C1582" s="2">
        <v>0.46875</v>
      </c>
      <c r="D1582" s="4">
        <f t="shared" si="171"/>
        <v>0.14583333333333331</v>
      </c>
      <c r="E1582" s="6">
        <v>0.32291666666666669</v>
      </c>
      <c r="F1582" s="5">
        <f t="shared" si="172"/>
        <v>0.68888888888888888</v>
      </c>
      <c r="G1582" s="5">
        <v>0.86</v>
      </c>
      <c r="H1582" s="4">
        <f>62.7/1440</f>
        <v>4.3541666666666666E-2</v>
      </c>
      <c r="I1582" s="5">
        <v>0.11600000000000001</v>
      </c>
      <c r="J1582" s="11" t="s">
        <v>2170</v>
      </c>
    </row>
    <row r="1583" spans="1:10" ht="13.15" customHeight="1" x14ac:dyDescent="0.25">
      <c r="A1583">
        <f t="shared" si="168"/>
        <v>1578</v>
      </c>
      <c r="B1583" t="s">
        <v>2178</v>
      </c>
      <c r="C1583" s="2">
        <v>0.51527777777777772</v>
      </c>
      <c r="D1583" s="4">
        <f t="shared" si="171"/>
        <v>0.13263888888888886</v>
      </c>
      <c r="E1583" s="6">
        <v>0.38263888888888886</v>
      </c>
      <c r="F1583" s="5">
        <f t="shared" si="172"/>
        <v>0.74258760107816713</v>
      </c>
      <c r="G1583" s="5">
        <v>0.85199999999999998</v>
      </c>
      <c r="H1583" s="4">
        <f>73/1440</f>
        <v>5.0694444444444445E-2</v>
      </c>
      <c r="I1583" s="5">
        <v>0.113</v>
      </c>
      <c r="J1583" s="11" t="s">
        <v>2170</v>
      </c>
    </row>
    <row r="1584" spans="1:10" ht="13.15" customHeight="1" x14ac:dyDescent="0.25">
      <c r="A1584">
        <f t="shared" si="168"/>
        <v>1579</v>
      </c>
      <c r="B1584" t="s">
        <v>2179</v>
      </c>
      <c r="C1584" s="2">
        <v>0.44444444444444442</v>
      </c>
      <c r="D1584" s="4">
        <f t="shared" si="171"/>
        <v>0.13402777777777775</v>
      </c>
      <c r="E1584" s="6">
        <v>0.31041666666666667</v>
      </c>
      <c r="F1584" s="5">
        <f t="shared" si="172"/>
        <v>0.69843750000000004</v>
      </c>
      <c r="G1584" s="5">
        <v>0.79700000000000004</v>
      </c>
      <c r="H1584" s="4">
        <f>77.7/1440</f>
        <v>5.3958333333333337E-2</v>
      </c>
      <c r="I1584" s="5">
        <v>0.13800000000000001</v>
      </c>
      <c r="J1584" s="11" t="s">
        <v>2170</v>
      </c>
    </row>
    <row r="1585" spans="1:10" ht="13.15" customHeight="1" x14ac:dyDescent="0.25">
      <c r="A1585">
        <f t="shared" si="168"/>
        <v>1580</v>
      </c>
      <c r="B1585" t="s">
        <v>2182</v>
      </c>
      <c r="C1585" s="2">
        <v>0.41805555555555557</v>
      </c>
      <c r="D1585" s="4">
        <f t="shared" ref="D1585:D1593" si="173">C1585-E1585</f>
        <v>0.14027777777777778</v>
      </c>
      <c r="E1585" s="6">
        <v>0.27777777777777779</v>
      </c>
      <c r="F1585" s="5">
        <f t="shared" ref="F1585:F1593" si="174">E1585/C1585</f>
        <v>0.66445182724252494</v>
      </c>
      <c r="G1585" s="5">
        <v>0.749</v>
      </c>
      <c r="H1585" s="4">
        <f>58.6/1440</f>
        <v>4.0694444444444443E-2</v>
      </c>
      <c r="I1585" s="5">
        <v>0.11</v>
      </c>
      <c r="J1585" s="11" t="s">
        <v>2180</v>
      </c>
    </row>
    <row r="1586" spans="1:10" ht="13.15" customHeight="1" x14ac:dyDescent="0.25">
      <c r="A1586">
        <f t="shared" si="168"/>
        <v>1581</v>
      </c>
      <c r="B1586" t="s">
        <v>2183</v>
      </c>
      <c r="C1586" s="2">
        <v>0.40625</v>
      </c>
      <c r="D1586" s="4">
        <f t="shared" si="173"/>
        <v>0.13750000000000001</v>
      </c>
      <c r="E1586" s="6">
        <v>0.26874999999999999</v>
      </c>
      <c r="F1586" s="5">
        <f t="shared" si="174"/>
        <v>0.66153846153846152</v>
      </c>
      <c r="G1586" s="5">
        <v>0.78600000000000003</v>
      </c>
      <c r="H1586" s="4">
        <f>68.3/1440</f>
        <v>4.7430555555555552E-2</v>
      </c>
      <c r="I1586" s="5">
        <v>0.13900000000000001</v>
      </c>
      <c r="J1586" s="11" t="s">
        <v>2180</v>
      </c>
    </row>
    <row r="1587" spans="1:10" ht="13.15" customHeight="1" x14ac:dyDescent="0.25">
      <c r="A1587">
        <f t="shared" si="168"/>
        <v>1582</v>
      </c>
      <c r="B1587" t="s">
        <v>2184</v>
      </c>
      <c r="C1587" s="2">
        <v>0.42986111111111114</v>
      </c>
      <c r="D1587" s="4">
        <f t="shared" si="173"/>
        <v>0.14236111111111116</v>
      </c>
      <c r="E1587" s="6">
        <v>0.28749999999999998</v>
      </c>
      <c r="F1587" s="5">
        <f t="shared" si="174"/>
        <v>0.66882067851373173</v>
      </c>
      <c r="G1587" s="5">
        <v>0.72499999999999998</v>
      </c>
      <c r="H1587" s="4">
        <f>54.8/1440</f>
        <v>3.8055555555555551E-2</v>
      </c>
      <c r="I1587" s="5">
        <v>9.6000000000000002E-2</v>
      </c>
      <c r="J1587" s="11" t="s">
        <v>2180</v>
      </c>
    </row>
    <row r="1588" spans="1:10" ht="13.15" customHeight="1" x14ac:dyDescent="0.25">
      <c r="A1588">
        <f t="shared" si="168"/>
        <v>1583</v>
      </c>
      <c r="B1588" t="s">
        <v>2185</v>
      </c>
      <c r="C1588" s="2">
        <v>0.38263888888888886</v>
      </c>
      <c r="D1588" s="4">
        <f t="shared" si="173"/>
        <v>0.13194444444444442</v>
      </c>
      <c r="E1588" s="6">
        <v>0.25069444444444444</v>
      </c>
      <c r="F1588" s="5">
        <f t="shared" si="174"/>
        <v>0.65517241379310354</v>
      </c>
      <c r="G1588" s="5">
        <v>0.74099999999999999</v>
      </c>
      <c r="H1588" s="4">
        <f>47.7/1440</f>
        <v>3.3125000000000002E-2</v>
      </c>
      <c r="I1588" s="5">
        <v>9.8000000000000004E-2</v>
      </c>
      <c r="J1588" s="11" t="s">
        <v>2180</v>
      </c>
    </row>
    <row r="1589" spans="1:10" ht="13.15" customHeight="1" x14ac:dyDescent="0.25">
      <c r="A1589">
        <f t="shared" si="168"/>
        <v>1584</v>
      </c>
      <c r="B1589" t="s">
        <v>2186</v>
      </c>
      <c r="C1589" s="2">
        <v>0.40555555555555556</v>
      </c>
      <c r="D1589" s="4">
        <f t="shared" si="173"/>
        <v>0.12847222222222221</v>
      </c>
      <c r="E1589" s="6">
        <v>0.27708333333333335</v>
      </c>
      <c r="F1589" s="5">
        <f t="shared" si="174"/>
        <v>0.68321917808219179</v>
      </c>
      <c r="G1589" s="5">
        <v>0.73899999999999999</v>
      </c>
      <c r="H1589" s="4">
        <f>51.7/1440</f>
        <v>3.5902777777777777E-2</v>
      </c>
      <c r="I1589" s="5">
        <v>9.6000000000000002E-2</v>
      </c>
      <c r="J1589" s="11" t="s">
        <v>2180</v>
      </c>
    </row>
    <row r="1590" spans="1:10" ht="13.15" customHeight="1" x14ac:dyDescent="0.25">
      <c r="A1590">
        <f t="shared" si="168"/>
        <v>1585</v>
      </c>
      <c r="B1590" t="s">
        <v>2187</v>
      </c>
      <c r="C1590" s="2">
        <v>0.40694444444444444</v>
      </c>
      <c r="D1590" s="4">
        <f t="shared" si="173"/>
        <v>0.14027777777777778</v>
      </c>
      <c r="E1590" s="6">
        <v>0.26666666666666666</v>
      </c>
      <c r="F1590" s="5">
        <f t="shared" si="174"/>
        <v>0.65529010238907848</v>
      </c>
      <c r="G1590" s="5">
        <v>0.72199999999999998</v>
      </c>
      <c r="H1590" s="4">
        <f>54.2/1440</f>
        <v>3.7638888888888888E-2</v>
      </c>
      <c r="I1590" s="5">
        <v>0.10199999999999999</v>
      </c>
      <c r="J1590" s="11" t="s">
        <v>2181</v>
      </c>
    </row>
    <row r="1591" spans="1:10" ht="13.15" customHeight="1" x14ac:dyDescent="0.25">
      <c r="A1591">
        <f t="shared" si="168"/>
        <v>1586</v>
      </c>
      <c r="B1591" t="s">
        <v>2188</v>
      </c>
      <c r="C1591" s="2">
        <v>0.48541666666666666</v>
      </c>
      <c r="D1591" s="4">
        <f t="shared" si="173"/>
        <v>0.16180555555555554</v>
      </c>
      <c r="E1591" s="6">
        <v>0.32361111111111113</v>
      </c>
      <c r="F1591" s="5">
        <f t="shared" si="174"/>
        <v>0.66666666666666674</v>
      </c>
      <c r="G1591" s="5">
        <v>0.78900000000000003</v>
      </c>
      <c r="H1591" s="4">
        <f>61.3/1440</f>
        <v>4.2569444444444444E-2</v>
      </c>
      <c r="I1591" s="5">
        <v>0.104</v>
      </c>
      <c r="J1591" s="11" t="s">
        <v>2181</v>
      </c>
    </row>
    <row r="1592" spans="1:10" ht="13.15" customHeight="1" x14ac:dyDescent="0.25">
      <c r="A1592">
        <f t="shared" si="168"/>
        <v>1587</v>
      </c>
      <c r="B1592" t="s">
        <v>2189</v>
      </c>
      <c r="C1592" s="2">
        <v>0.47361111111111109</v>
      </c>
      <c r="D1592" s="4">
        <f t="shared" si="173"/>
        <v>0.16319444444444442</v>
      </c>
      <c r="E1592" s="6">
        <v>0.31041666666666667</v>
      </c>
      <c r="F1592" s="5">
        <f t="shared" si="174"/>
        <v>0.65542521994134906</v>
      </c>
      <c r="G1592" s="5">
        <v>0.65900000000000003</v>
      </c>
      <c r="H1592" s="4">
        <f>62.3/1440</f>
        <v>4.3263888888888886E-2</v>
      </c>
      <c r="I1592" s="5">
        <v>9.1999999999999998E-2</v>
      </c>
      <c r="J1592" s="11" t="s">
        <v>2181</v>
      </c>
    </row>
    <row r="1593" spans="1:10" ht="13.15" customHeight="1" x14ac:dyDescent="0.25">
      <c r="A1593">
        <f t="shared" si="168"/>
        <v>1588</v>
      </c>
      <c r="B1593" t="s">
        <v>2190</v>
      </c>
      <c r="C1593" s="2">
        <v>0.46666666666666667</v>
      </c>
      <c r="D1593" s="4">
        <f t="shared" si="173"/>
        <v>0.15138888888888891</v>
      </c>
      <c r="E1593" s="6">
        <v>0.31527777777777777</v>
      </c>
      <c r="F1593" s="5">
        <f t="shared" si="174"/>
        <v>0.67559523809523803</v>
      </c>
      <c r="G1593" s="5">
        <v>0.81100000000000005</v>
      </c>
      <c r="H1593" s="4">
        <f>74.6/1440</f>
        <v>5.1805555555555549E-2</v>
      </c>
      <c r="I1593" s="5">
        <v>0.13300000000000001</v>
      </c>
      <c r="J1593" s="11" t="s">
        <v>2181</v>
      </c>
    </row>
    <row r="1594" spans="1:10" ht="13.15" customHeight="1" x14ac:dyDescent="0.25">
      <c r="A1594">
        <f t="shared" si="168"/>
        <v>1589</v>
      </c>
      <c r="B1594" t="s">
        <v>2193</v>
      </c>
      <c r="C1594" s="2">
        <v>0.43333333333333335</v>
      </c>
      <c r="D1594" s="4">
        <f t="shared" ref="D1594:D1602" si="175">C1594-E1594</f>
        <v>0.11944444444444446</v>
      </c>
      <c r="E1594" s="6">
        <v>0.31388888888888888</v>
      </c>
      <c r="F1594" s="5">
        <f t="shared" ref="F1594:F1602" si="176">E1594/C1594</f>
        <v>0.72435897435897434</v>
      </c>
      <c r="G1594" s="5">
        <v>0.81699999999999995</v>
      </c>
      <c r="H1594" s="4">
        <f>63/1400</f>
        <v>4.4999999999999998E-2</v>
      </c>
      <c r="I1594" s="5">
        <v>0.114</v>
      </c>
      <c r="J1594" s="11" t="s">
        <v>2191</v>
      </c>
    </row>
    <row r="1595" spans="1:10" ht="13.15" customHeight="1" x14ac:dyDescent="0.25">
      <c r="A1595">
        <f t="shared" si="168"/>
        <v>1590</v>
      </c>
      <c r="B1595" t="s">
        <v>2194</v>
      </c>
      <c r="C1595" s="2">
        <v>0.44444444444444442</v>
      </c>
      <c r="D1595" s="4">
        <f t="shared" si="175"/>
        <v>0.13472222222222219</v>
      </c>
      <c r="E1595" s="6">
        <v>0.30972222222222223</v>
      </c>
      <c r="F1595" s="5">
        <f t="shared" si="176"/>
        <v>0.69687500000000002</v>
      </c>
      <c r="G1595" s="5">
        <v>0.84799999999999998</v>
      </c>
      <c r="H1595" s="4">
        <f>62.8/1440</f>
        <v>4.3611111111111107E-2</v>
      </c>
      <c r="I1595" s="5">
        <v>0.11899999999999999</v>
      </c>
      <c r="J1595" s="11" t="s">
        <v>2191</v>
      </c>
    </row>
    <row r="1596" spans="1:10" ht="13.15" customHeight="1" x14ac:dyDescent="0.25">
      <c r="A1596">
        <f t="shared" si="168"/>
        <v>1591</v>
      </c>
      <c r="B1596" t="s">
        <v>2195</v>
      </c>
      <c r="C1596" s="2">
        <v>0.43541666666666667</v>
      </c>
      <c r="D1596" s="4">
        <f t="shared" si="175"/>
        <v>0.11527777777777781</v>
      </c>
      <c r="E1596" s="6">
        <v>0.32013888888888886</v>
      </c>
      <c r="F1596" s="5">
        <f t="shared" si="176"/>
        <v>0.73524720893141937</v>
      </c>
      <c r="G1596" s="5">
        <v>0.83199999999999996</v>
      </c>
      <c r="H1596" s="4">
        <f>59.1/1440</f>
        <v>4.1041666666666671E-2</v>
      </c>
      <c r="I1596" s="5">
        <v>0.107</v>
      </c>
      <c r="J1596" s="11" t="s">
        <v>2191</v>
      </c>
    </row>
    <row r="1597" spans="1:10" ht="13.15" customHeight="1" x14ac:dyDescent="0.25">
      <c r="A1597">
        <f t="shared" si="168"/>
        <v>1592</v>
      </c>
      <c r="B1597" t="s">
        <v>2196</v>
      </c>
      <c r="C1597" s="2">
        <v>0.40069444444444446</v>
      </c>
      <c r="D1597" s="4">
        <f t="shared" si="175"/>
        <v>0.11458333333333337</v>
      </c>
      <c r="E1597" s="6">
        <v>0.28611111111111109</v>
      </c>
      <c r="F1597" s="5">
        <f t="shared" si="176"/>
        <v>0.71403812824956669</v>
      </c>
      <c r="G1597" s="5">
        <v>0.60899999999999999</v>
      </c>
      <c r="H1597" s="4">
        <f>54.8/1440</f>
        <v>3.8055555555555551E-2</v>
      </c>
      <c r="I1597" s="5">
        <v>8.1000000000000003E-2</v>
      </c>
      <c r="J1597" s="11" t="s">
        <v>2191</v>
      </c>
    </row>
    <row r="1598" spans="1:10" ht="13.15" customHeight="1" x14ac:dyDescent="0.25">
      <c r="A1598">
        <f t="shared" si="168"/>
        <v>1593</v>
      </c>
      <c r="B1598" t="s">
        <v>2197</v>
      </c>
      <c r="C1598" s="2">
        <v>0.40763888888888888</v>
      </c>
      <c r="D1598" s="4">
        <f t="shared" si="175"/>
        <v>0.10138888888888886</v>
      </c>
      <c r="E1598" s="6">
        <v>0.30625000000000002</v>
      </c>
      <c r="F1598" s="5">
        <f t="shared" si="176"/>
        <v>0.75127768313458265</v>
      </c>
      <c r="G1598" s="5">
        <v>0.81799999999999995</v>
      </c>
      <c r="H1598" s="4">
        <f>68.6/1440</f>
        <v>4.7638888888888883E-2</v>
      </c>
      <c r="I1598" s="5">
        <v>0.127</v>
      </c>
      <c r="J1598" s="11" t="s">
        <v>2191</v>
      </c>
    </row>
    <row r="1599" spans="1:10" ht="13.15" customHeight="1" x14ac:dyDescent="0.25">
      <c r="A1599">
        <f t="shared" si="168"/>
        <v>1594</v>
      </c>
      <c r="B1599" t="s">
        <v>2198</v>
      </c>
      <c r="C1599" s="2">
        <v>0.46319444444444446</v>
      </c>
      <c r="D1599" s="4">
        <f t="shared" si="175"/>
        <v>0.14722222222222225</v>
      </c>
      <c r="E1599" s="6">
        <v>0.31597222222222221</v>
      </c>
      <c r="F1599" s="5">
        <f t="shared" si="176"/>
        <v>0.68215892053973004</v>
      </c>
      <c r="G1599" s="5">
        <v>0.76800000000000002</v>
      </c>
      <c r="H1599" s="4">
        <f>49.7/1440</f>
        <v>3.4513888888888893E-2</v>
      </c>
      <c r="I1599" s="5">
        <v>8.4000000000000005E-2</v>
      </c>
      <c r="J1599" s="11" t="s">
        <v>2192</v>
      </c>
    </row>
    <row r="1600" spans="1:10" ht="13.15" customHeight="1" x14ac:dyDescent="0.25">
      <c r="A1600">
        <f t="shared" si="168"/>
        <v>1595</v>
      </c>
      <c r="B1600" t="s">
        <v>2199</v>
      </c>
      <c r="C1600" s="2">
        <v>0.49722222222222223</v>
      </c>
      <c r="D1600" s="4">
        <f t="shared" si="175"/>
        <v>0.12777777777777777</v>
      </c>
      <c r="E1600" s="6">
        <v>0.36944444444444446</v>
      </c>
      <c r="F1600" s="5">
        <f t="shared" si="176"/>
        <v>0.74301675977653636</v>
      </c>
      <c r="G1600" s="5">
        <v>0.82299999999999995</v>
      </c>
      <c r="H1600" s="4">
        <f>71/1440</f>
        <v>4.9305555555555554E-2</v>
      </c>
      <c r="I1600" s="5">
        <v>0.11</v>
      </c>
      <c r="J1600" s="11" t="s">
        <v>2192</v>
      </c>
    </row>
    <row r="1601" spans="1:10" ht="13.15" customHeight="1" x14ac:dyDescent="0.25">
      <c r="A1601">
        <f t="shared" si="168"/>
        <v>1596</v>
      </c>
      <c r="B1601" t="s">
        <v>2200</v>
      </c>
      <c r="C1601" s="2">
        <v>0.60347222222222219</v>
      </c>
      <c r="D1601" s="4">
        <f t="shared" si="175"/>
        <v>0.1555555555555555</v>
      </c>
      <c r="E1601" s="6">
        <v>0.44791666666666669</v>
      </c>
      <c r="F1601" s="5">
        <f t="shared" si="176"/>
        <v>0.74223245109321068</v>
      </c>
      <c r="G1601" s="5">
        <v>0.91500000000000004</v>
      </c>
      <c r="H1601" s="4">
        <f>73.6/1440</f>
        <v>5.1111111111111107E-2</v>
      </c>
      <c r="I1601" s="5">
        <v>0.104</v>
      </c>
      <c r="J1601" s="11" t="s">
        <v>2192</v>
      </c>
    </row>
    <row r="1602" spans="1:10" ht="13.15" customHeight="1" x14ac:dyDescent="0.25">
      <c r="A1602">
        <f t="shared" si="168"/>
        <v>1597</v>
      </c>
      <c r="B1602" t="s">
        <v>2201</v>
      </c>
      <c r="C1602" s="2">
        <v>0.40416666666666667</v>
      </c>
      <c r="D1602" s="4">
        <f t="shared" si="175"/>
        <v>0.13472222222222224</v>
      </c>
      <c r="E1602" s="6">
        <v>0.26944444444444443</v>
      </c>
      <c r="F1602" s="5">
        <f t="shared" si="176"/>
        <v>0.66666666666666663</v>
      </c>
      <c r="G1602" s="5">
        <v>0.86699999999999999</v>
      </c>
      <c r="H1602" s="4">
        <f>58.9/1440</f>
        <v>4.0902777777777774E-2</v>
      </c>
      <c r="I1602" s="5">
        <v>0.13100000000000001</v>
      </c>
      <c r="J1602" s="11" t="s">
        <v>2192</v>
      </c>
    </row>
    <row r="1603" spans="1:10" ht="13.15" customHeight="1" x14ac:dyDescent="0.25">
      <c r="A1603">
        <f t="shared" si="168"/>
        <v>1598</v>
      </c>
      <c r="B1603" t="s">
        <v>2204</v>
      </c>
      <c r="C1603" s="2">
        <v>0.43194444444444446</v>
      </c>
      <c r="D1603" s="4">
        <f t="shared" ref="D1603:D1611" si="177">C1603-E1603</f>
        <v>0.12291666666666667</v>
      </c>
      <c r="E1603" s="6">
        <v>0.30902777777777779</v>
      </c>
      <c r="F1603" s="5">
        <f t="shared" ref="F1603:F1611" si="178">E1603/C1603</f>
        <v>0.71543408360128613</v>
      </c>
      <c r="G1603" s="5">
        <v>0.81899999999999995</v>
      </c>
      <c r="H1603" s="4">
        <f>63.4/1440</f>
        <v>4.4027777777777777E-2</v>
      </c>
      <c r="I1603" s="5">
        <v>0.11700000000000001</v>
      </c>
      <c r="J1603" s="11" t="s">
        <v>2202</v>
      </c>
    </row>
    <row r="1604" spans="1:10" ht="13.15" customHeight="1" x14ac:dyDescent="0.25">
      <c r="A1604">
        <f t="shared" si="168"/>
        <v>1599</v>
      </c>
      <c r="B1604" t="s">
        <v>2205</v>
      </c>
      <c r="C1604" s="2">
        <v>0.4597222222222222</v>
      </c>
      <c r="D1604" s="4">
        <f t="shared" si="177"/>
        <v>0.12986111111111109</v>
      </c>
      <c r="E1604" s="6">
        <v>0.3298611111111111</v>
      </c>
      <c r="F1604" s="5">
        <f t="shared" si="178"/>
        <v>0.71752265861027198</v>
      </c>
      <c r="G1604" s="5">
        <v>0.88400000000000001</v>
      </c>
      <c r="H1604" s="4">
        <f>69.8/1440</f>
        <v>4.8472222222222222E-2</v>
      </c>
      <c r="I1604" s="5">
        <v>0.13</v>
      </c>
      <c r="J1604" s="11" t="s">
        <v>2202</v>
      </c>
    </row>
    <row r="1605" spans="1:10" ht="13.15" customHeight="1" x14ac:dyDescent="0.25">
      <c r="A1605">
        <f t="shared" si="168"/>
        <v>1600</v>
      </c>
      <c r="B1605" t="s">
        <v>2206</v>
      </c>
      <c r="C1605" s="2">
        <v>0.41458333333333336</v>
      </c>
      <c r="D1605" s="4">
        <f t="shared" si="177"/>
        <v>0.13333333333333336</v>
      </c>
      <c r="E1605" s="6">
        <v>0.28125</v>
      </c>
      <c r="F1605" s="5">
        <f t="shared" si="178"/>
        <v>0.67839195979899491</v>
      </c>
      <c r="G1605" s="5">
        <v>0.80300000000000005</v>
      </c>
      <c r="H1605" s="4">
        <f>53.4/1440</f>
        <v>3.7083333333333329E-2</v>
      </c>
      <c r="I1605" s="5">
        <v>0.106</v>
      </c>
      <c r="J1605" s="11" t="s">
        <v>2202</v>
      </c>
    </row>
    <row r="1606" spans="1:10" ht="13.15" customHeight="1" x14ac:dyDescent="0.25">
      <c r="A1606">
        <f t="shared" si="168"/>
        <v>1601</v>
      </c>
      <c r="B1606" t="s">
        <v>2207</v>
      </c>
      <c r="C1606" s="2">
        <v>0.41180555555555554</v>
      </c>
      <c r="D1606" s="4">
        <f t="shared" si="177"/>
        <v>0.11041666666666666</v>
      </c>
      <c r="E1606" s="6">
        <v>0.30138888888888887</v>
      </c>
      <c r="F1606" s="5">
        <f t="shared" si="178"/>
        <v>0.73187183811129852</v>
      </c>
      <c r="G1606" s="5">
        <v>0.65900000000000003</v>
      </c>
      <c r="H1606" s="4">
        <f>55.8/1440</f>
        <v>3.875E-2</v>
      </c>
      <c r="I1606" s="5">
        <v>8.5000000000000006E-2</v>
      </c>
      <c r="J1606" s="11" t="s">
        <v>2202</v>
      </c>
    </row>
    <row r="1607" spans="1:10" ht="13.15" customHeight="1" x14ac:dyDescent="0.25">
      <c r="A1607">
        <f t="shared" si="168"/>
        <v>1602</v>
      </c>
      <c r="B1607" t="s">
        <v>2208</v>
      </c>
      <c r="C1607" s="2">
        <v>0.40416666666666667</v>
      </c>
      <c r="D1607" s="4">
        <f t="shared" si="177"/>
        <v>0.10138888888888892</v>
      </c>
      <c r="E1607" s="6">
        <v>0.30277777777777776</v>
      </c>
      <c r="F1607" s="5">
        <f t="shared" si="178"/>
        <v>0.74914089347079027</v>
      </c>
      <c r="G1607" s="5">
        <v>0.84799999999999998</v>
      </c>
      <c r="H1607" s="4">
        <f>68/1440</f>
        <v>4.7222222222222221E-2</v>
      </c>
      <c r="I1607" s="5">
        <v>0.13200000000000001</v>
      </c>
      <c r="J1607" s="11" t="s">
        <v>2202</v>
      </c>
    </row>
    <row r="1608" spans="1:10" ht="13.15" customHeight="1" x14ac:dyDescent="0.25">
      <c r="A1608">
        <f t="shared" si="168"/>
        <v>1603</v>
      </c>
      <c r="B1608" t="s">
        <v>2209</v>
      </c>
      <c r="C1608" s="2">
        <v>0.41249999999999998</v>
      </c>
      <c r="D1608" s="4">
        <f t="shared" si="177"/>
        <v>0.12708333333333333</v>
      </c>
      <c r="E1608" s="6">
        <v>0.28541666666666665</v>
      </c>
      <c r="F1608" s="5">
        <f t="shared" si="178"/>
        <v>0.69191919191919193</v>
      </c>
      <c r="G1608" s="5">
        <v>0.82699999999999996</v>
      </c>
      <c r="H1608" s="4">
        <f>57.5/1440</f>
        <v>3.9930555555555552E-2</v>
      </c>
      <c r="I1608" s="5">
        <v>0.11600000000000001</v>
      </c>
      <c r="J1608" s="11" t="s">
        <v>2203</v>
      </c>
    </row>
    <row r="1609" spans="1:10" ht="13.15" customHeight="1" x14ac:dyDescent="0.25">
      <c r="A1609">
        <f t="shared" si="168"/>
        <v>1604</v>
      </c>
      <c r="B1609" t="s">
        <v>2210</v>
      </c>
      <c r="C1609" s="2">
        <v>0.49444444444444446</v>
      </c>
      <c r="D1609" s="4">
        <f t="shared" si="177"/>
        <v>0.12916666666666671</v>
      </c>
      <c r="E1609" s="6">
        <v>0.36527777777777776</v>
      </c>
      <c r="F1609" s="5">
        <f t="shared" si="178"/>
        <v>0.7387640449438202</v>
      </c>
      <c r="G1609" s="5">
        <v>0.83899999999999997</v>
      </c>
      <c r="H1609" s="4">
        <f>64.7/1440</f>
        <v>4.4930555555555557E-2</v>
      </c>
      <c r="I1609" s="5">
        <v>0.10299999999999999</v>
      </c>
      <c r="J1609" s="11" t="s">
        <v>2203</v>
      </c>
    </row>
    <row r="1610" spans="1:10" ht="13.15" customHeight="1" x14ac:dyDescent="0.25">
      <c r="A1610">
        <f t="shared" si="168"/>
        <v>1605</v>
      </c>
      <c r="B1610" t="s">
        <v>2211</v>
      </c>
      <c r="C1610" s="2">
        <v>0.44166666666666665</v>
      </c>
      <c r="D1610" s="4">
        <f t="shared" si="177"/>
        <v>0.11666666666666664</v>
      </c>
      <c r="E1610" s="6">
        <v>0.32500000000000001</v>
      </c>
      <c r="F1610" s="5">
        <f t="shared" si="178"/>
        <v>0.73584905660377364</v>
      </c>
      <c r="G1610" s="5">
        <v>0.78500000000000003</v>
      </c>
      <c r="H1610" s="4">
        <f>60.6/1440</f>
        <v>4.2083333333333334E-2</v>
      </c>
      <c r="I1610" s="5">
        <v>0.10100000000000001</v>
      </c>
      <c r="J1610" s="11" t="s">
        <v>2203</v>
      </c>
    </row>
    <row r="1611" spans="1:10" ht="13.15" customHeight="1" x14ac:dyDescent="0.25">
      <c r="A1611">
        <f t="shared" si="168"/>
        <v>1606</v>
      </c>
      <c r="B1611" t="s">
        <v>2212</v>
      </c>
      <c r="C1611" s="2">
        <v>0.43958333333333333</v>
      </c>
      <c r="D1611" s="4">
        <f t="shared" si="177"/>
        <v>0.13055555555555554</v>
      </c>
      <c r="E1611" s="6">
        <v>0.30902777777777779</v>
      </c>
      <c r="F1611" s="5">
        <f t="shared" si="178"/>
        <v>0.70300157977883104</v>
      </c>
      <c r="G1611" s="5">
        <v>0.84899999999999998</v>
      </c>
      <c r="H1611" s="4">
        <f>81.1/1440</f>
        <v>5.6319444444444443E-2</v>
      </c>
      <c r="I1611" s="5">
        <v>0.155</v>
      </c>
      <c r="J1611" s="11" t="s">
        <v>2203</v>
      </c>
    </row>
    <row r="1612" spans="1:10" ht="13.15" customHeight="1" x14ac:dyDescent="0.25">
      <c r="A1612">
        <f t="shared" si="168"/>
        <v>1607</v>
      </c>
      <c r="B1612" t="s">
        <v>2213</v>
      </c>
      <c r="C1612" s="2">
        <v>0.41249999999999998</v>
      </c>
      <c r="D1612" s="4">
        <f t="shared" ref="D1612:D1620" si="179">C1612-E1612</f>
        <v>0.12708333333333333</v>
      </c>
      <c r="E1612" s="6">
        <v>0.28541666666666665</v>
      </c>
      <c r="F1612" s="5">
        <f t="shared" ref="F1612:F1620" si="180">E1612/C1612</f>
        <v>0.69191919191919193</v>
      </c>
      <c r="G1612" s="5">
        <v>0.79900000000000004</v>
      </c>
      <c r="H1612" s="4">
        <f>60.6/1440</f>
        <v>4.2083333333333334E-2</v>
      </c>
      <c r="I1612" s="5">
        <v>0.11799999999999999</v>
      </c>
      <c r="J1612" s="11" t="s">
        <v>2225</v>
      </c>
    </row>
    <row r="1613" spans="1:10" ht="13.15" customHeight="1" x14ac:dyDescent="0.25">
      <c r="A1613">
        <f t="shared" si="168"/>
        <v>1608</v>
      </c>
      <c r="B1613" t="s">
        <v>2214</v>
      </c>
      <c r="C1613" s="2">
        <v>0.41458333333333336</v>
      </c>
      <c r="D1613" s="4">
        <f t="shared" si="179"/>
        <v>0.12708333333333338</v>
      </c>
      <c r="E1613" s="6">
        <v>0.28749999999999998</v>
      </c>
      <c r="F1613" s="5">
        <f t="shared" si="180"/>
        <v>0.69346733668341698</v>
      </c>
      <c r="G1613" s="5">
        <v>0.85</v>
      </c>
      <c r="H1613" s="4">
        <f>65.8/1440</f>
        <v>4.569444444444444E-2</v>
      </c>
      <c r="I1613" s="5">
        <v>0.13500000000000001</v>
      </c>
      <c r="J1613" s="11" t="s">
        <v>2225</v>
      </c>
    </row>
    <row r="1614" spans="1:10" ht="13.15" customHeight="1" x14ac:dyDescent="0.25">
      <c r="A1614">
        <f t="shared" si="168"/>
        <v>1609</v>
      </c>
      <c r="B1614" t="s">
        <v>2215</v>
      </c>
      <c r="C1614" s="2">
        <v>0.39791666666666664</v>
      </c>
      <c r="D1614" s="4">
        <f t="shared" si="179"/>
        <v>0.14097222222222222</v>
      </c>
      <c r="E1614" s="6">
        <v>0.25694444444444442</v>
      </c>
      <c r="F1614" s="5">
        <f t="shared" si="180"/>
        <v>0.64572425828970326</v>
      </c>
      <c r="G1614" s="5">
        <v>0.78</v>
      </c>
      <c r="H1614" s="4">
        <f>50.2/1440</f>
        <v>3.4861111111111114E-2</v>
      </c>
      <c r="I1614" s="5">
        <v>0.106</v>
      </c>
      <c r="J1614" s="11" t="s">
        <v>2225</v>
      </c>
    </row>
    <row r="1615" spans="1:10" ht="13.15" customHeight="1" x14ac:dyDescent="0.25">
      <c r="A1615">
        <f t="shared" si="168"/>
        <v>1610</v>
      </c>
      <c r="B1615" t="s">
        <v>2216</v>
      </c>
      <c r="C1615" s="2">
        <v>0.41111111111111109</v>
      </c>
      <c r="D1615" s="4">
        <f t="shared" si="179"/>
        <v>0.12847222222222221</v>
      </c>
      <c r="E1615" s="6">
        <v>0.28263888888888888</v>
      </c>
      <c r="F1615" s="5">
        <f t="shared" si="180"/>
        <v>0.6875</v>
      </c>
      <c r="G1615" s="5">
        <v>0.67800000000000005</v>
      </c>
      <c r="H1615" s="4">
        <f>53.1/1440</f>
        <v>3.6874999999999998E-2</v>
      </c>
      <c r="I1615" s="5">
        <v>8.7999999999999995E-2</v>
      </c>
      <c r="J1615" s="11" t="s">
        <v>2225</v>
      </c>
    </row>
    <row r="1616" spans="1:10" ht="13.15" customHeight="1" x14ac:dyDescent="0.25">
      <c r="A1616">
        <f t="shared" si="168"/>
        <v>1611</v>
      </c>
      <c r="B1616" t="s">
        <v>2217</v>
      </c>
      <c r="C1616" s="2">
        <v>0.37777777777777777</v>
      </c>
      <c r="D1616" s="4">
        <f t="shared" si="179"/>
        <v>0.1020833333333333</v>
      </c>
      <c r="E1616" s="6">
        <v>0.27569444444444446</v>
      </c>
      <c r="F1616" s="5">
        <f t="shared" si="180"/>
        <v>0.72977941176470595</v>
      </c>
      <c r="G1616" s="5">
        <v>0.81100000000000005</v>
      </c>
      <c r="H1616" s="4">
        <f>59.4/1440</f>
        <v>4.1250000000000002E-2</v>
      </c>
      <c r="I1616" s="5">
        <v>0.121</v>
      </c>
      <c r="J1616" s="11" t="s">
        <v>2225</v>
      </c>
    </row>
    <row r="1617" spans="1:10" ht="13.15" customHeight="1" x14ac:dyDescent="0.25">
      <c r="A1617">
        <f t="shared" si="168"/>
        <v>1612</v>
      </c>
      <c r="B1617" t="s">
        <v>2218</v>
      </c>
      <c r="C1617" s="2">
        <v>0.43611111111111112</v>
      </c>
      <c r="D1617" s="4">
        <f t="shared" si="179"/>
        <v>0.12916666666666665</v>
      </c>
      <c r="E1617" s="6">
        <v>0.30694444444444446</v>
      </c>
      <c r="F1617" s="5">
        <f t="shared" si="180"/>
        <v>0.70382165605095548</v>
      </c>
      <c r="G1617" s="5">
        <v>0.79300000000000004</v>
      </c>
      <c r="H1617" s="4">
        <f>65.1/1440</f>
        <v>4.520833333333333E-2</v>
      </c>
      <c r="I1617" s="5">
        <v>0.11600000000000001</v>
      </c>
      <c r="J1617" s="11" t="s">
        <v>2222</v>
      </c>
    </row>
    <row r="1618" spans="1:10" ht="13.15" customHeight="1" x14ac:dyDescent="0.25">
      <c r="A1618">
        <f t="shared" si="168"/>
        <v>1613</v>
      </c>
      <c r="B1618" t="s">
        <v>2219</v>
      </c>
      <c r="C1618" s="2">
        <v>0.46180555555555558</v>
      </c>
      <c r="D1618" s="4">
        <f t="shared" si="179"/>
        <v>0.12777777777777782</v>
      </c>
      <c r="E1618" s="6">
        <v>0.33402777777777776</v>
      </c>
      <c r="F1618" s="5">
        <f t="shared" si="180"/>
        <v>0.72330827067669168</v>
      </c>
      <c r="G1618" s="5">
        <v>0.81599999999999995</v>
      </c>
      <c r="H1618" s="4">
        <f>58.6/1440</f>
        <v>4.0694444444444443E-2</v>
      </c>
      <c r="I1618" s="5">
        <v>9.9000000000000005E-2</v>
      </c>
      <c r="J1618" s="11" t="s">
        <v>2222</v>
      </c>
    </row>
    <row r="1619" spans="1:10" ht="13.15" customHeight="1" x14ac:dyDescent="0.25">
      <c r="A1619">
        <f t="shared" si="168"/>
        <v>1614</v>
      </c>
      <c r="B1619" t="s">
        <v>2220</v>
      </c>
      <c r="C1619" s="2">
        <v>0.47847222222222224</v>
      </c>
      <c r="D1619" s="4">
        <f t="shared" si="179"/>
        <v>0.15069444444444446</v>
      </c>
      <c r="E1619" s="6">
        <v>0.32777777777777778</v>
      </c>
      <c r="F1619" s="5">
        <f t="shared" si="180"/>
        <v>0.68505079825834536</v>
      </c>
      <c r="G1619" s="5">
        <v>0.81100000000000005</v>
      </c>
      <c r="H1619" s="4">
        <f>60.7/1440</f>
        <v>4.2152777777777782E-2</v>
      </c>
      <c r="I1619" s="5">
        <v>0.104</v>
      </c>
      <c r="J1619" s="11" t="s">
        <v>2222</v>
      </c>
    </row>
    <row r="1620" spans="1:10" ht="13.15" customHeight="1" x14ac:dyDescent="0.25">
      <c r="A1620">
        <f t="shared" si="168"/>
        <v>1615</v>
      </c>
      <c r="B1620" t="s">
        <v>2221</v>
      </c>
      <c r="C1620" s="2">
        <v>0.41944444444444445</v>
      </c>
      <c r="D1620" s="4">
        <f t="shared" si="179"/>
        <v>0.12777777777777777</v>
      </c>
      <c r="E1620" s="6">
        <v>0.29166666666666669</v>
      </c>
      <c r="F1620" s="5">
        <f t="shared" si="180"/>
        <v>0.69536423841059603</v>
      </c>
      <c r="G1620" s="5">
        <v>0.86199999999999999</v>
      </c>
      <c r="H1620" s="4">
        <f>81.2/1440</f>
        <v>5.6388888888888891E-2</v>
      </c>
      <c r="I1620" s="5">
        <v>0.16600000000000001</v>
      </c>
      <c r="J1620" s="11" t="s">
        <v>2222</v>
      </c>
    </row>
    <row r="1621" spans="1:10" ht="13.15" customHeight="1" x14ac:dyDescent="0.25">
      <c r="A1621">
        <f t="shared" si="168"/>
        <v>1616</v>
      </c>
      <c r="B1621" t="s">
        <v>2223</v>
      </c>
      <c r="C1621" s="2">
        <v>0.44027777777777777</v>
      </c>
      <c r="D1621" s="4">
        <f t="shared" ref="D1621:D1640" si="181">C1621-E1621</f>
        <v>0.11388888888888887</v>
      </c>
      <c r="E1621" s="6">
        <v>0.3263888888888889</v>
      </c>
      <c r="F1621" s="5">
        <f t="shared" ref="F1621:F1640" si="182">E1621/C1621</f>
        <v>0.74132492113564674</v>
      </c>
      <c r="G1621" s="5">
        <v>0.90500000000000003</v>
      </c>
      <c r="H1621" s="4">
        <f>74.3/1440</f>
        <v>5.1597222222222218E-2</v>
      </c>
      <c r="I1621" s="5">
        <v>0.14299999999999999</v>
      </c>
      <c r="J1621" s="11" t="s">
        <v>2224</v>
      </c>
    </row>
    <row r="1622" spans="1:10" ht="13.15" customHeight="1" x14ac:dyDescent="0.25">
      <c r="A1622">
        <f t="shared" si="168"/>
        <v>1617</v>
      </c>
      <c r="B1622" t="s">
        <v>2226</v>
      </c>
      <c r="C1622" s="2">
        <v>0.41597222222222224</v>
      </c>
      <c r="D1622" s="4">
        <f t="shared" si="181"/>
        <v>0.13819444444444445</v>
      </c>
      <c r="E1622" s="6">
        <v>0.27777777777777779</v>
      </c>
      <c r="F1622" s="5">
        <f t="shared" si="182"/>
        <v>0.667779632721202</v>
      </c>
      <c r="G1622" s="5">
        <v>0.78700000000000003</v>
      </c>
      <c r="H1622" s="4">
        <f>60.3/1440</f>
        <v>4.1874999999999996E-2</v>
      </c>
      <c r="I1622" s="5">
        <v>0.11899999999999999</v>
      </c>
      <c r="J1622" s="11" t="s">
        <v>2227</v>
      </c>
    </row>
    <row r="1623" spans="1:10" ht="13.15" customHeight="1" x14ac:dyDescent="0.25">
      <c r="A1623">
        <f t="shared" ref="A1623:A1686" si="183">A1622+1</f>
        <v>1618</v>
      </c>
      <c r="B1623" t="s">
        <v>2228</v>
      </c>
      <c r="C1623" s="2">
        <v>0.43958333333333333</v>
      </c>
      <c r="D1623" s="4">
        <f t="shared" si="181"/>
        <v>0.14305555555555555</v>
      </c>
      <c r="E1623" s="6">
        <v>0.29652777777777778</v>
      </c>
      <c r="F1623" s="5">
        <f t="shared" si="182"/>
        <v>0.674565560821485</v>
      </c>
      <c r="G1623" s="5">
        <v>0.81699999999999995</v>
      </c>
      <c r="H1623" s="4">
        <f>64.6/1440</f>
        <v>4.4861111111111109E-2</v>
      </c>
      <c r="I1623" s="5">
        <v>0.124</v>
      </c>
      <c r="J1623" s="11" t="s">
        <v>2227</v>
      </c>
    </row>
    <row r="1624" spans="1:10" ht="13.15" customHeight="1" x14ac:dyDescent="0.25">
      <c r="A1624">
        <f t="shared" si="183"/>
        <v>1619</v>
      </c>
      <c r="B1624" t="s">
        <v>2229</v>
      </c>
      <c r="C1624" s="2">
        <v>0.43125000000000002</v>
      </c>
      <c r="D1624" s="4">
        <f t="shared" si="181"/>
        <v>0.16111111111111115</v>
      </c>
      <c r="E1624" s="6">
        <v>0.27013888888888887</v>
      </c>
      <c r="F1624" s="5">
        <f t="shared" si="182"/>
        <v>0.62640901771336543</v>
      </c>
      <c r="G1624" s="5">
        <v>0.78</v>
      </c>
      <c r="H1624" s="4">
        <f>50.6/1440</f>
        <v>3.5138888888888893E-2</v>
      </c>
      <c r="I1624" s="5">
        <v>0.10100000000000001</v>
      </c>
      <c r="J1624" s="11" t="s">
        <v>2227</v>
      </c>
    </row>
    <row r="1625" spans="1:10" ht="13.15" customHeight="1" x14ac:dyDescent="0.25">
      <c r="A1625">
        <f t="shared" si="183"/>
        <v>1620</v>
      </c>
      <c r="B1625" t="s">
        <v>2230</v>
      </c>
      <c r="C1625" s="2">
        <v>0.41458333333333336</v>
      </c>
      <c r="D1625" s="4">
        <f t="shared" si="181"/>
        <v>0.13750000000000001</v>
      </c>
      <c r="E1625" s="6">
        <v>0.27708333333333335</v>
      </c>
      <c r="F1625" s="5">
        <f t="shared" si="182"/>
        <v>0.66834170854271358</v>
      </c>
      <c r="G1625" s="5">
        <v>0.64400000000000002</v>
      </c>
      <c r="H1625" s="4">
        <f>55.9/1440</f>
        <v>3.8819444444444441E-2</v>
      </c>
      <c r="I1625" s="5">
        <v>0.09</v>
      </c>
      <c r="J1625" s="11" t="s">
        <v>2227</v>
      </c>
    </row>
    <row r="1626" spans="1:10" ht="13.15" customHeight="1" x14ac:dyDescent="0.25">
      <c r="A1626">
        <f t="shared" si="183"/>
        <v>1621</v>
      </c>
      <c r="B1626" t="s">
        <v>2231</v>
      </c>
      <c r="C1626" s="2">
        <v>0.34236111111111112</v>
      </c>
      <c r="D1626" s="4">
        <f t="shared" si="181"/>
        <v>0.10902777777777778</v>
      </c>
      <c r="E1626" s="6">
        <v>0.23333333333333334</v>
      </c>
      <c r="F1626" s="5">
        <f t="shared" si="182"/>
        <v>0.68154158215010141</v>
      </c>
      <c r="G1626" s="5">
        <v>0.73199999999999998</v>
      </c>
      <c r="H1626" s="4">
        <f>64.7/1440</f>
        <v>4.4930555555555557E-2</v>
      </c>
      <c r="I1626" s="5">
        <v>0.14099999999999999</v>
      </c>
      <c r="J1626" s="11" t="s">
        <v>2227</v>
      </c>
    </row>
    <row r="1627" spans="1:10" ht="13.15" customHeight="1" x14ac:dyDescent="0.25">
      <c r="A1627">
        <f t="shared" si="183"/>
        <v>1622</v>
      </c>
      <c r="B1627" t="s">
        <v>2232</v>
      </c>
      <c r="C1627" s="2">
        <v>0.41319444444444442</v>
      </c>
      <c r="D1627" s="4">
        <f t="shared" si="181"/>
        <v>0.14027777777777778</v>
      </c>
      <c r="E1627" s="6">
        <v>0.27291666666666664</v>
      </c>
      <c r="F1627" s="5">
        <f t="shared" si="182"/>
        <v>0.66050420168067225</v>
      </c>
      <c r="G1627" s="5">
        <v>0.85599999999999998</v>
      </c>
      <c r="H1627" s="4">
        <f>59.4/1440</f>
        <v>4.1250000000000002E-2</v>
      </c>
      <c r="I1627" s="5">
        <v>0.129</v>
      </c>
      <c r="J1627" s="11" t="s">
        <v>2233</v>
      </c>
    </row>
    <row r="1628" spans="1:10" ht="13.15" customHeight="1" x14ac:dyDescent="0.25">
      <c r="A1628">
        <f t="shared" si="183"/>
        <v>1623</v>
      </c>
      <c r="B1628" t="s">
        <v>2234</v>
      </c>
      <c r="C1628" s="2">
        <v>0.4465277777777778</v>
      </c>
      <c r="D1628" s="4">
        <f t="shared" si="181"/>
        <v>0.13958333333333334</v>
      </c>
      <c r="E1628" s="6">
        <v>0.30694444444444446</v>
      </c>
      <c r="F1628" s="5">
        <f t="shared" si="182"/>
        <v>0.68740279937791604</v>
      </c>
      <c r="G1628" s="5">
        <v>0.84199999999999997</v>
      </c>
      <c r="H1628" s="4">
        <f>64.73/1440</f>
        <v>4.4951388888888895E-2</v>
      </c>
      <c r="I1628" s="5">
        <v>0.123</v>
      </c>
      <c r="J1628" s="11" t="s">
        <v>2233</v>
      </c>
    </row>
    <row r="1629" spans="1:10" ht="13.15" customHeight="1" x14ac:dyDescent="0.25">
      <c r="A1629">
        <f t="shared" si="183"/>
        <v>1624</v>
      </c>
      <c r="B1629" t="s">
        <v>2235</v>
      </c>
      <c r="C1629" s="2">
        <v>0.49652777777777779</v>
      </c>
      <c r="D1629" s="4">
        <f t="shared" si="181"/>
        <v>0.13680555555555557</v>
      </c>
      <c r="E1629" s="6">
        <v>0.35972222222222222</v>
      </c>
      <c r="F1629" s="5">
        <f t="shared" si="182"/>
        <v>0.72447552447552443</v>
      </c>
      <c r="G1629" s="5">
        <v>0.84499999999999997</v>
      </c>
      <c r="H1629" s="4">
        <f>60.7/1440</f>
        <v>4.2152777777777782E-2</v>
      </c>
      <c r="I1629" s="5">
        <v>9.9000000000000005E-2</v>
      </c>
      <c r="J1629" s="11" t="s">
        <v>2233</v>
      </c>
    </row>
    <row r="1630" spans="1:10" ht="13.15" customHeight="1" x14ac:dyDescent="0.25">
      <c r="A1630">
        <f t="shared" si="183"/>
        <v>1625</v>
      </c>
      <c r="B1630" t="s">
        <v>2236</v>
      </c>
      <c r="C1630" s="2">
        <v>0.3923611111111111</v>
      </c>
      <c r="D1630" s="4">
        <f t="shared" si="181"/>
        <v>0.12847222222222221</v>
      </c>
      <c r="E1630" s="6">
        <v>0.2638888888888889</v>
      </c>
      <c r="F1630" s="5">
        <f t="shared" si="182"/>
        <v>0.67256637168141598</v>
      </c>
      <c r="G1630" s="5">
        <v>0.86499999999999999</v>
      </c>
      <c r="H1630" s="4">
        <f>69.8/1440</f>
        <v>4.8472222222222222E-2</v>
      </c>
      <c r="I1630" s="5">
        <v>0.159</v>
      </c>
      <c r="J1630" s="11" t="s">
        <v>2233</v>
      </c>
    </row>
    <row r="1631" spans="1:10" ht="13.15" customHeight="1" x14ac:dyDescent="0.25">
      <c r="A1631">
        <f t="shared" si="183"/>
        <v>1626</v>
      </c>
      <c r="B1631" t="s">
        <v>2237</v>
      </c>
      <c r="C1631" s="2">
        <v>0.40277777777777779</v>
      </c>
      <c r="D1631" s="4">
        <f t="shared" si="181"/>
        <v>9.3055555555555558E-2</v>
      </c>
      <c r="E1631" s="6">
        <v>0.30972222222222223</v>
      </c>
      <c r="F1631" s="5">
        <f t="shared" si="182"/>
        <v>0.76896551724137929</v>
      </c>
      <c r="G1631" s="5">
        <v>0.88</v>
      </c>
      <c r="H1631" s="4">
        <f>67.9/1440</f>
        <v>4.715277777777778E-2</v>
      </c>
      <c r="I1631" s="5">
        <v>0.13400000000000001</v>
      </c>
      <c r="J1631" s="11" t="s">
        <v>2238</v>
      </c>
    </row>
    <row r="1632" spans="1:10" ht="13.15" customHeight="1" x14ac:dyDescent="0.25">
      <c r="A1632">
        <f t="shared" si="183"/>
        <v>1627</v>
      </c>
      <c r="B1632" t="s">
        <v>2239</v>
      </c>
      <c r="C1632" s="2">
        <v>0.41805555555555557</v>
      </c>
      <c r="D1632" s="4">
        <f t="shared" si="181"/>
        <v>0.1166666666666667</v>
      </c>
      <c r="E1632" s="6">
        <v>0.30138888888888887</v>
      </c>
      <c r="F1632" s="5">
        <f t="shared" si="182"/>
        <v>0.72093023255813948</v>
      </c>
      <c r="G1632" s="5">
        <v>0.79100000000000004</v>
      </c>
      <c r="H1632" s="4">
        <f>59.7/1440</f>
        <v>4.1458333333333333E-2</v>
      </c>
      <c r="I1632" s="5">
        <v>0.109</v>
      </c>
      <c r="J1632" s="11" t="s">
        <v>2249</v>
      </c>
    </row>
    <row r="1633" spans="1:10" ht="13.15" customHeight="1" x14ac:dyDescent="0.25">
      <c r="A1633">
        <f t="shared" si="183"/>
        <v>1628</v>
      </c>
      <c r="B1633" t="s">
        <v>2240</v>
      </c>
      <c r="C1633" s="2">
        <v>0.42638888888888887</v>
      </c>
      <c r="D1633" s="4">
        <f t="shared" si="181"/>
        <v>0.11319444444444443</v>
      </c>
      <c r="E1633" s="6">
        <v>0.31319444444444444</v>
      </c>
      <c r="F1633" s="5">
        <f t="shared" si="182"/>
        <v>0.73452768729641693</v>
      </c>
      <c r="G1633" s="5">
        <v>0.84199999999999997</v>
      </c>
      <c r="H1633" s="4">
        <f>64.1/1440</f>
        <v>4.4513888888888888E-2</v>
      </c>
      <c r="I1633" s="5">
        <v>0.12</v>
      </c>
      <c r="J1633" s="11" t="s">
        <v>2249</v>
      </c>
    </row>
    <row r="1634" spans="1:10" ht="13.15" customHeight="1" x14ac:dyDescent="0.25">
      <c r="A1634">
        <f t="shared" si="183"/>
        <v>1629</v>
      </c>
      <c r="B1634" t="s">
        <v>2241</v>
      </c>
      <c r="C1634" s="2">
        <v>0.40486111111111112</v>
      </c>
      <c r="D1634" s="4">
        <f t="shared" si="181"/>
        <v>0.12569444444444444</v>
      </c>
      <c r="E1634" s="6">
        <v>0.27916666666666667</v>
      </c>
      <c r="F1634" s="5">
        <f t="shared" si="182"/>
        <v>0.68953687821612353</v>
      </c>
      <c r="G1634" s="5">
        <v>0.76</v>
      </c>
      <c r="H1634" s="4">
        <f>53.1/1440</f>
        <v>3.6874999999999998E-2</v>
      </c>
      <c r="I1634" s="5">
        <v>0.1</v>
      </c>
      <c r="J1634" s="11" t="s">
        <v>2249</v>
      </c>
    </row>
    <row r="1635" spans="1:10" ht="13.15" customHeight="1" x14ac:dyDescent="0.25">
      <c r="A1635">
        <f t="shared" si="183"/>
        <v>1630</v>
      </c>
      <c r="B1635" t="s">
        <v>2242</v>
      </c>
      <c r="C1635" s="2">
        <v>0.40902777777777777</v>
      </c>
      <c r="D1635" s="4">
        <f t="shared" si="181"/>
        <v>0.12291666666666667</v>
      </c>
      <c r="E1635" s="6">
        <v>0.28611111111111109</v>
      </c>
      <c r="F1635" s="5">
        <f t="shared" si="182"/>
        <v>0.69949066213921895</v>
      </c>
      <c r="G1635" s="5">
        <v>0.68500000000000005</v>
      </c>
      <c r="H1635" s="4">
        <f>50.4/1440</f>
        <v>3.4999999999999996E-2</v>
      </c>
      <c r="I1635" s="5">
        <v>8.4000000000000005E-2</v>
      </c>
      <c r="J1635" s="11" t="s">
        <v>2249</v>
      </c>
    </row>
    <row r="1636" spans="1:10" ht="13.15" customHeight="1" x14ac:dyDescent="0.25">
      <c r="A1636">
        <f t="shared" si="183"/>
        <v>1631</v>
      </c>
      <c r="B1636" t="s">
        <v>2243</v>
      </c>
      <c r="C1636" s="2">
        <v>0.41875000000000001</v>
      </c>
      <c r="D1636" s="4">
        <f t="shared" si="181"/>
        <v>0.11319444444444443</v>
      </c>
      <c r="E1636" s="6">
        <v>0.30555555555555558</v>
      </c>
      <c r="F1636" s="5">
        <f t="shared" si="182"/>
        <v>0.72968490878938641</v>
      </c>
      <c r="G1636" s="5">
        <v>0.81299999999999994</v>
      </c>
      <c r="H1636" s="4">
        <f>60.1/1440</f>
        <v>4.1736111111111113E-2</v>
      </c>
      <c r="I1636" s="5">
        <v>0.111</v>
      </c>
      <c r="J1636" s="11" t="s">
        <v>2249</v>
      </c>
    </row>
    <row r="1637" spans="1:10" ht="13.15" customHeight="1" x14ac:dyDescent="0.25">
      <c r="A1637">
        <f t="shared" si="183"/>
        <v>1632</v>
      </c>
      <c r="B1637" t="s">
        <v>2244</v>
      </c>
      <c r="C1637" s="2">
        <v>0.4152777777777778</v>
      </c>
      <c r="D1637" s="4">
        <f t="shared" si="181"/>
        <v>0.11388888888888893</v>
      </c>
      <c r="E1637" s="6">
        <v>0.30138888888888887</v>
      </c>
      <c r="F1637" s="5">
        <f t="shared" si="182"/>
        <v>0.72575250836120397</v>
      </c>
      <c r="G1637" s="5">
        <v>0.77500000000000002</v>
      </c>
      <c r="H1637" s="4">
        <f>60.4/1440</f>
        <v>4.1944444444444444E-2</v>
      </c>
      <c r="I1637" s="5">
        <v>0.108</v>
      </c>
      <c r="J1637" s="11" t="s">
        <v>2245</v>
      </c>
    </row>
    <row r="1638" spans="1:10" ht="13.15" customHeight="1" x14ac:dyDescent="0.25">
      <c r="A1638">
        <f t="shared" si="183"/>
        <v>1633</v>
      </c>
      <c r="B1638" t="s">
        <v>2246</v>
      </c>
      <c r="C1638" s="2">
        <v>0.43680555555555556</v>
      </c>
      <c r="D1638" s="4">
        <f t="shared" si="181"/>
        <v>0.11458333333333331</v>
      </c>
      <c r="E1638" s="6">
        <v>0.32222222222222224</v>
      </c>
      <c r="F1638" s="5">
        <f t="shared" si="182"/>
        <v>0.73767885532591415</v>
      </c>
      <c r="G1638" s="5">
        <v>0.82399999999999995</v>
      </c>
      <c r="H1638" s="4">
        <f>60.4/1440</f>
        <v>4.1944444444444444E-2</v>
      </c>
      <c r="I1638" s="5">
        <v>0.107</v>
      </c>
      <c r="J1638" s="11" t="s">
        <v>2245</v>
      </c>
    </row>
    <row r="1639" spans="1:10" ht="13.15" customHeight="1" x14ac:dyDescent="0.25">
      <c r="A1639">
        <f t="shared" si="183"/>
        <v>1634</v>
      </c>
      <c r="B1639" t="s">
        <v>2247</v>
      </c>
      <c r="C1639" s="2">
        <v>0.46180555555555558</v>
      </c>
      <c r="D1639" s="4">
        <f t="shared" si="181"/>
        <v>0.11805555555555558</v>
      </c>
      <c r="E1639" s="6">
        <v>0.34375</v>
      </c>
      <c r="F1639" s="5">
        <f t="shared" si="182"/>
        <v>0.74436090225563911</v>
      </c>
      <c r="G1639" s="5">
        <v>0.78500000000000003</v>
      </c>
      <c r="H1639" s="4">
        <f>61.5/1440</f>
        <v>4.2708333333333334E-2</v>
      </c>
      <c r="I1639" s="5">
        <v>9.8000000000000004E-2</v>
      </c>
      <c r="J1639" s="11" t="s">
        <v>2245</v>
      </c>
    </row>
    <row r="1640" spans="1:10" ht="13.15" customHeight="1" x14ac:dyDescent="0.25">
      <c r="A1640">
        <f t="shared" si="183"/>
        <v>1635</v>
      </c>
      <c r="B1640" t="s">
        <v>2248</v>
      </c>
      <c r="C1640" s="2">
        <v>0.41666666666666669</v>
      </c>
      <c r="D1640" s="4">
        <f t="shared" si="181"/>
        <v>0.1166666666666667</v>
      </c>
      <c r="E1640" s="6">
        <v>0.3</v>
      </c>
      <c r="F1640" s="5">
        <f t="shared" si="182"/>
        <v>0.72</v>
      </c>
      <c r="G1640" s="5">
        <v>0.85799999999999998</v>
      </c>
      <c r="H1640" s="4">
        <f>73.2/1440</f>
        <v>5.0833333333333335E-2</v>
      </c>
      <c r="I1640" s="5">
        <v>0.14499999999999999</v>
      </c>
      <c r="J1640" s="11" t="s">
        <v>2245</v>
      </c>
    </row>
    <row r="1641" spans="1:10" ht="13.15" customHeight="1" x14ac:dyDescent="0.25">
      <c r="A1641">
        <f t="shared" si="183"/>
        <v>1636</v>
      </c>
      <c r="B1641" t="s">
        <v>2250</v>
      </c>
      <c r="C1641" s="2">
        <v>0.42152777777777778</v>
      </c>
      <c r="D1641" s="4">
        <f t="shared" ref="D1641:D1649" si="184">C1641-E1641</f>
        <v>0.11180555555555555</v>
      </c>
      <c r="E1641" s="6">
        <v>0.30972222222222223</v>
      </c>
      <c r="F1641" s="5">
        <f t="shared" ref="F1641:F1649" si="185">E1641/C1641</f>
        <v>0.73476112026359142</v>
      </c>
      <c r="G1641" s="5">
        <v>0.81299999999999994</v>
      </c>
      <c r="H1641" s="4">
        <f>62.1/1440</f>
        <v>4.3125000000000004E-2</v>
      </c>
      <c r="I1641" s="5">
        <v>0.113</v>
      </c>
      <c r="J1641" s="11" t="s">
        <v>2259</v>
      </c>
    </row>
    <row r="1642" spans="1:10" ht="13.15" customHeight="1" x14ac:dyDescent="0.25">
      <c r="A1642">
        <f t="shared" si="183"/>
        <v>1637</v>
      </c>
      <c r="B1642" t="s">
        <v>2251</v>
      </c>
      <c r="C1642" s="2">
        <v>0.40763888888888888</v>
      </c>
      <c r="D1642" s="4">
        <f t="shared" si="184"/>
        <v>0.10694444444444445</v>
      </c>
      <c r="E1642" s="6">
        <v>0.30069444444444443</v>
      </c>
      <c r="F1642" s="5">
        <f t="shared" si="185"/>
        <v>0.73764906303236799</v>
      </c>
      <c r="G1642" s="5">
        <v>0.85099999999999998</v>
      </c>
      <c r="H1642" s="4">
        <f>67.3/1440</f>
        <v>4.673611111111111E-2</v>
      </c>
      <c r="I1642" s="5">
        <v>0.13200000000000001</v>
      </c>
      <c r="J1642" s="11" t="s">
        <v>2259</v>
      </c>
    </row>
    <row r="1643" spans="1:10" ht="13.15" customHeight="1" x14ac:dyDescent="0.25">
      <c r="A1643">
        <f t="shared" si="183"/>
        <v>1638</v>
      </c>
      <c r="B1643" t="s">
        <v>2252</v>
      </c>
      <c r="C1643" s="2">
        <v>0.39791666666666664</v>
      </c>
      <c r="D1643" s="4">
        <f t="shared" si="184"/>
        <v>0.1111111111111111</v>
      </c>
      <c r="E1643" s="6">
        <v>0.28680555555555554</v>
      </c>
      <c r="F1643" s="5">
        <f t="shared" si="185"/>
        <v>0.72076788830715532</v>
      </c>
      <c r="G1643" s="5">
        <v>0.79700000000000004</v>
      </c>
      <c r="H1643" s="4">
        <f>52.9/1440</f>
        <v>3.6736111111111108E-2</v>
      </c>
      <c r="I1643" s="5">
        <v>0.10199999999999999</v>
      </c>
      <c r="J1643" s="11" t="s">
        <v>2259</v>
      </c>
    </row>
    <row r="1644" spans="1:10" ht="13.15" customHeight="1" x14ac:dyDescent="0.25">
      <c r="A1644">
        <f t="shared" si="183"/>
        <v>1639</v>
      </c>
      <c r="B1644" t="s">
        <v>2253</v>
      </c>
      <c r="C1644" s="2">
        <v>0.42083333333333334</v>
      </c>
      <c r="D1644" s="4">
        <f t="shared" si="184"/>
        <v>0.12430555555555556</v>
      </c>
      <c r="E1644" s="6">
        <v>0.29652777777777778</v>
      </c>
      <c r="F1644" s="5">
        <f t="shared" si="185"/>
        <v>0.70462046204620465</v>
      </c>
      <c r="G1644" s="5">
        <v>0.71299999999999997</v>
      </c>
      <c r="H1644" s="4">
        <f>52.2/1440</f>
        <v>3.6250000000000004E-2</v>
      </c>
      <c r="I1644" s="5">
        <v>8.6999999999999994E-2</v>
      </c>
      <c r="J1644" s="11" t="s">
        <v>2259</v>
      </c>
    </row>
    <row r="1645" spans="1:10" ht="13.15" customHeight="1" x14ac:dyDescent="0.25">
      <c r="A1645">
        <f t="shared" si="183"/>
        <v>1640</v>
      </c>
      <c r="B1645" t="s">
        <v>2254</v>
      </c>
      <c r="C1645" s="2">
        <v>0.39861111111111114</v>
      </c>
      <c r="D1645" s="4">
        <f t="shared" si="184"/>
        <v>9.6527777777777823E-2</v>
      </c>
      <c r="E1645" s="6">
        <v>0.30208333333333331</v>
      </c>
      <c r="F1645" s="5">
        <f t="shared" si="185"/>
        <v>0.75783972125435528</v>
      </c>
      <c r="G1645" s="5">
        <v>0.82399999999999995</v>
      </c>
      <c r="H1645" s="4">
        <f>65/1440</f>
        <v>4.5138888888888888E-2</v>
      </c>
      <c r="I1645" s="5">
        <v>0.123</v>
      </c>
      <c r="J1645" s="11" t="s">
        <v>2259</v>
      </c>
    </row>
    <row r="1646" spans="1:10" ht="13.15" customHeight="1" x14ac:dyDescent="0.25">
      <c r="A1646">
        <f t="shared" si="183"/>
        <v>1641</v>
      </c>
      <c r="B1646" t="s">
        <v>2255</v>
      </c>
      <c r="C1646" s="2">
        <v>0.45902777777777776</v>
      </c>
      <c r="D1646" s="4">
        <f t="shared" si="184"/>
        <v>0.12916666666666665</v>
      </c>
      <c r="E1646" s="6">
        <v>0.3298611111111111</v>
      </c>
      <c r="F1646" s="5">
        <f t="shared" si="185"/>
        <v>0.71860816944024208</v>
      </c>
      <c r="G1646" s="5">
        <v>0.80900000000000005</v>
      </c>
      <c r="H1646" s="4">
        <f>63.6/1440</f>
        <v>4.4166666666666667E-2</v>
      </c>
      <c r="I1646" s="5">
        <v>0.108</v>
      </c>
      <c r="J1646" s="11" t="s">
        <v>2260</v>
      </c>
    </row>
    <row r="1647" spans="1:10" ht="13.15" customHeight="1" x14ac:dyDescent="0.25">
      <c r="A1647">
        <f t="shared" si="183"/>
        <v>1642</v>
      </c>
      <c r="B1647" t="s">
        <v>2256</v>
      </c>
      <c r="C1647" s="2">
        <v>0.47152777777777777</v>
      </c>
      <c r="D1647" s="4">
        <f t="shared" si="184"/>
        <v>0.11388888888888887</v>
      </c>
      <c r="E1647" s="6">
        <v>0.3576388888888889</v>
      </c>
      <c r="F1647" s="5">
        <f t="shared" si="185"/>
        <v>0.7584683357879235</v>
      </c>
      <c r="G1647" s="5">
        <v>0.83599999999999997</v>
      </c>
      <c r="H1647" s="4">
        <f>59.6/1440</f>
        <v>4.1388888888888892E-2</v>
      </c>
      <c r="I1647" s="5">
        <v>9.7000000000000003E-2</v>
      </c>
      <c r="J1647" s="11" t="s">
        <v>2260</v>
      </c>
    </row>
    <row r="1648" spans="1:10" ht="13.15" customHeight="1" x14ac:dyDescent="0.25">
      <c r="A1648">
        <f t="shared" si="183"/>
        <v>1643</v>
      </c>
      <c r="B1648" t="s">
        <v>2257</v>
      </c>
      <c r="C1648" s="2">
        <v>0.49236111111111114</v>
      </c>
      <c r="D1648" s="4">
        <f t="shared" si="184"/>
        <v>0.1256944444444445</v>
      </c>
      <c r="E1648" s="6">
        <v>0.36666666666666664</v>
      </c>
      <c r="F1648" s="5">
        <f t="shared" si="185"/>
        <v>0.74471086036671363</v>
      </c>
      <c r="G1648" s="5">
        <v>0.80700000000000005</v>
      </c>
      <c r="H1648" s="4">
        <f>64/1440</f>
        <v>4.4444444444444446E-2</v>
      </c>
      <c r="I1648" s="5">
        <v>9.8000000000000004E-2</v>
      </c>
      <c r="J1648" s="11" t="s">
        <v>2260</v>
      </c>
    </row>
    <row r="1649" spans="1:10" ht="13.15" customHeight="1" x14ac:dyDescent="0.25">
      <c r="A1649">
        <f t="shared" si="183"/>
        <v>1644</v>
      </c>
      <c r="B1649" t="s">
        <v>2258</v>
      </c>
      <c r="C1649" s="2">
        <v>0.44861111111111113</v>
      </c>
      <c r="D1649" s="4">
        <f t="shared" si="184"/>
        <v>0.10625000000000001</v>
      </c>
      <c r="E1649" s="6">
        <v>0.34236111111111112</v>
      </c>
      <c r="F1649" s="5">
        <f t="shared" si="185"/>
        <v>0.76315789473684204</v>
      </c>
      <c r="G1649" s="5">
        <v>0.86599999999999999</v>
      </c>
      <c r="H1649" s="4">
        <f>77.5/1440</f>
        <v>5.3819444444444448E-2</v>
      </c>
      <c r="I1649" s="5">
        <v>0.13600000000000001</v>
      </c>
      <c r="J1649" s="11" t="s">
        <v>2260</v>
      </c>
    </row>
    <row r="1650" spans="1:10" ht="13.15" customHeight="1" x14ac:dyDescent="0.25">
      <c r="A1650">
        <f t="shared" si="183"/>
        <v>1645</v>
      </c>
      <c r="B1650" t="s">
        <v>2263</v>
      </c>
      <c r="C1650" s="2">
        <v>0.42638888888888887</v>
      </c>
      <c r="D1650" s="4">
        <f t="shared" ref="D1650:D1658" si="186">C1650-E1650</f>
        <v>0.13472222222222219</v>
      </c>
      <c r="E1650" s="6">
        <v>0.29166666666666669</v>
      </c>
      <c r="F1650" s="5">
        <f t="shared" ref="F1650:F1658" si="187">E1650/C1650</f>
        <v>0.68403908794788282</v>
      </c>
      <c r="G1650" s="5">
        <v>0.78600000000000003</v>
      </c>
      <c r="H1650" s="4">
        <f>60.7/1440</f>
        <v>4.2152777777777782E-2</v>
      </c>
      <c r="I1650" s="5">
        <v>0.113</v>
      </c>
      <c r="J1650" s="11" t="s">
        <v>2261</v>
      </c>
    </row>
    <row r="1651" spans="1:10" ht="13.15" customHeight="1" x14ac:dyDescent="0.25">
      <c r="A1651">
        <f t="shared" si="183"/>
        <v>1646</v>
      </c>
      <c r="B1651" t="s">
        <v>2264</v>
      </c>
      <c r="C1651" s="2">
        <v>0.46111111111111114</v>
      </c>
      <c r="D1651" s="4">
        <f t="shared" si="186"/>
        <v>0.14930555555555558</v>
      </c>
      <c r="E1651" s="6">
        <v>0.31180555555555556</v>
      </c>
      <c r="F1651" s="5">
        <f t="shared" si="187"/>
        <v>0.6762048192771084</v>
      </c>
      <c r="G1651" s="5">
        <v>0.81200000000000006</v>
      </c>
      <c r="H1651" s="4">
        <f>63.1/1440</f>
        <v>4.3819444444444446E-2</v>
      </c>
      <c r="I1651" s="5">
        <v>0.114</v>
      </c>
      <c r="J1651" s="11" t="s">
        <v>2261</v>
      </c>
    </row>
    <row r="1652" spans="1:10" ht="13.15" customHeight="1" x14ac:dyDescent="0.25">
      <c r="A1652">
        <f t="shared" si="183"/>
        <v>1647</v>
      </c>
      <c r="B1652" t="s">
        <v>2265</v>
      </c>
      <c r="C1652" s="2">
        <v>0.41319444444444442</v>
      </c>
      <c r="D1652" s="4">
        <f t="shared" si="186"/>
        <v>0.13611111111111107</v>
      </c>
      <c r="E1652" s="6">
        <v>0.27708333333333335</v>
      </c>
      <c r="F1652" s="5">
        <f t="shared" si="187"/>
        <v>0.67058823529411771</v>
      </c>
      <c r="G1652" s="5">
        <v>0.80200000000000005</v>
      </c>
      <c r="H1652" s="4">
        <f>51.8/1440</f>
        <v>3.5972222222222218E-2</v>
      </c>
      <c r="I1652" s="5">
        <v>0.104</v>
      </c>
      <c r="J1652" s="11" t="s">
        <v>2261</v>
      </c>
    </row>
    <row r="1653" spans="1:10" ht="13.15" customHeight="1" x14ac:dyDescent="0.25">
      <c r="A1653">
        <f t="shared" si="183"/>
        <v>1648</v>
      </c>
      <c r="B1653" t="s">
        <v>2266</v>
      </c>
      <c r="C1653" s="2">
        <v>0.39861111111111114</v>
      </c>
      <c r="D1653" s="4">
        <f t="shared" si="186"/>
        <v>0.13194444444444448</v>
      </c>
      <c r="E1653" s="6">
        <v>0.26666666666666666</v>
      </c>
      <c r="F1653" s="5">
        <f t="shared" si="187"/>
        <v>0.66898954703832747</v>
      </c>
      <c r="G1653" s="5">
        <v>0.63700000000000001</v>
      </c>
      <c r="H1653" s="4">
        <f>51/1440</f>
        <v>3.5416666666666666E-2</v>
      </c>
      <c r="I1653" s="5">
        <v>8.4000000000000005E-2</v>
      </c>
      <c r="J1653" s="11" t="s">
        <v>2261</v>
      </c>
    </row>
    <row r="1654" spans="1:10" ht="13.15" customHeight="1" x14ac:dyDescent="0.25">
      <c r="A1654">
        <f t="shared" si="183"/>
        <v>1649</v>
      </c>
      <c r="B1654" t="s">
        <v>2267</v>
      </c>
      <c r="C1654" s="2">
        <v>0.37152777777777779</v>
      </c>
      <c r="D1654" s="4">
        <f t="shared" si="186"/>
        <v>0.10902777777777778</v>
      </c>
      <c r="E1654" s="6">
        <v>0.26250000000000001</v>
      </c>
      <c r="F1654" s="5">
        <f t="shared" si="187"/>
        <v>0.70654205607476639</v>
      </c>
      <c r="G1654" s="5">
        <v>0.78300000000000003</v>
      </c>
      <c r="H1654" s="4">
        <f>68.4/1440</f>
        <v>4.7500000000000001E-2</v>
      </c>
      <c r="I1654" s="5">
        <v>0.14099999999999999</v>
      </c>
      <c r="J1654" s="11" t="s">
        <v>2261</v>
      </c>
    </row>
    <row r="1655" spans="1:10" ht="13.15" customHeight="1" x14ac:dyDescent="0.25">
      <c r="A1655">
        <f t="shared" si="183"/>
        <v>1650</v>
      </c>
      <c r="B1655" t="s">
        <v>2268</v>
      </c>
      <c r="C1655" s="2">
        <v>0.45624999999999999</v>
      </c>
      <c r="D1655" s="4">
        <f t="shared" si="186"/>
        <v>0.14861111111111108</v>
      </c>
      <c r="E1655" s="6">
        <v>0.30763888888888891</v>
      </c>
      <c r="F1655" s="5">
        <f t="shared" si="187"/>
        <v>0.67427701674277019</v>
      </c>
      <c r="G1655" s="5">
        <v>0.8</v>
      </c>
      <c r="H1655" s="4">
        <f>66.7/1440</f>
        <v>4.6319444444444448E-2</v>
      </c>
      <c r="I1655" s="5">
        <v>0.12</v>
      </c>
      <c r="J1655" s="11" t="s">
        <v>2262</v>
      </c>
    </row>
    <row r="1656" spans="1:10" ht="13.15" customHeight="1" x14ac:dyDescent="0.25">
      <c r="A1656">
        <f t="shared" si="183"/>
        <v>1651</v>
      </c>
      <c r="B1656" t="s">
        <v>2269</v>
      </c>
      <c r="C1656" s="2">
        <v>0.46458333333333335</v>
      </c>
      <c r="D1656" s="4">
        <f t="shared" si="186"/>
        <v>0.1423611111111111</v>
      </c>
      <c r="E1656" s="6">
        <v>0.32222222222222224</v>
      </c>
      <c r="F1656" s="5">
        <f t="shared" si="187"/>
        <v>0.69357249626307926</v>
      </c>
      <c r="G1656" s="5">
        <v>0.86</v>
      </c>
      <c r="H1656" s="4">
        <f>86/1440</f>
        <v>5.9722222222222225E-2</v>
      </c>
      <c r="I1656" s="5">
        <v>0.107</v>
      </c>
      <c r="J1656" s="11" t="s">
        <v>2262</v>
      </c>
    </row>
    <row r="1657" spans="1:10" ht="13.15" customHeight="1" x14ac:dyDescent="0.25">
      <c r="A1657">
        <f t="shared" si="183"/>
        <v>1652</v>
      </c>
      <c r="B1657" t="s">
        <v>2270</v>
      </c>
      <c r="C1657" s="2">
        <v>0.45763888888888887</v>
      </c>
      <c r="D1657" s="4">
        <f t="shared" si="186"/>
        <v>0.14861111111111108</v>
      </c>
      <c r="E1657" s="6">
        <v>0.30902777777777779</v>
      </c>
      <c r="F1657" s="5">
        <f t="shared" si="187"/>
        <v>0.67526555386949927</v>
      </c>
      <c r="G1657" s="5">
        <v>0.72199999999999998</v>
      </c>
      <c r="H1657" s="4">
        <f>57.6/1440</f>
        <v>0.04</v>
      </c>
      <c r="I1657" s="5">
        <v>9.2999999999999999E-2</v>
      </c>
      <c r="J1657" s="11" t="s">
        <v>2262</v>
      </c>
    </row>
    <row r="1658" spans="1:10" ht="13.15" customHeight="1" x14ac:dyDescent="0.25">
      <c r="A1658">
        <f t="shared" si="183"/>
        <v>1653</v>
      </c>
      <c r="B1658" t="s">
        <v>2271</v>
      </c>
      <c r="C1658" s="2">
        <v>0.4597222222222222</v>
      </c>
      <c r="D1658" s="4">
        <f t="shared" si="186"/>
        <v>0.13680555555555551</v>
      </c>
      <c r="E1658" s="6">
        <v>0.32291666666666669</v>
      </c>
      <c r="F1658" s="5">
        <f t="shared" si="187"/>
        <v>0.70241691842900311</v>
      </c>
      <c r="G1658" s="5">
        <v>0.86499999999999999</v>
      </c>
      <c r="H1658" s="4">
        <f>69.9/1440</f>
        <v>4.854166666666667E-2</v>
      </c>
      <c r="I1658" s="5">
        <v>0.13</v>
      </c>
      <c r="J1658" s="11" t="s">
        <v>2262</v>
      </c>
    </row>
    <row r="1659" spans="1:10" ht="13.15" customHeight="1" x14ac:dyDescent="0.25">
      <c r="A1659">
        <f t="shared" si="183"/>
        <v>1654</v>
      </c>
      <c r="B1659" t="s">
        <v>2272</v>
      </c>
      <c r="C1659" s="2">
        <v>0.42430555555555555</v>
      </c>
      <c r="D1659" s="4">
        <f t="shared" ref="D1659:D1667" si="188">C1659-E1659</f>
        <v>0.11527777777777776</v>
      </c>
      <c r="E1659" s="6">
        <v>0.30902777777777779</v>
      </c>
      <c r="F1659" s="5">
        <f t="shared" ref="F1659:F1667" si="189">E1659/C1659</f>
        <v>0.72831423895253689</v>
      </c>
      <c r="G1659" s="5">
        <v>0.79700000000000004</v>
      </c>
      <c r="H1659" s="4">
        <f>61.6/1440</f>
        <v>4.2777777777777776E-2</v>
      </c>
      <c r="I1659" s="5">
        <v>0.11</v>
      </c>
      <c r="J1659" s="11" t="s">
        <v>2281</v>
      </c>
    </row>
    <row r="1660" spans="1:10" ht="13.15" customHeight="1" x14ac:dyDescent="0.25">
      <c r="A1660">
        <f t="shared" si="183"/>
        <v>1655</v>
      </c>
      <c r="B1660" t="s">
        <v>2273</v>
      </c>
      <c r="C1660" s="2">
        <v>0.41805555555555557</v>
      </c>
      <c r="D1660" s="4">
        <f t="shared" si="188"/>
        <v>0.11319444444444443</v>
      </c>
      <c r="E1660" s="6">
        <v>0.30486111111111114</v>
      </c>
      <c r="F1660" s="5">
        <f t="shared" si="189"/>
        <v>0.72923588039867115</v>
      </c>
      <c r="G1660" s="5">
        <v>0.82899999999999996</v>
      </c>
      <c r="H1660" s="4">
        <f>66.1/1440</f>
        <v>4.5902777777777772E-2</v>
      </c>
      <c r="I1660" s="5">
        <v>0.125</v>
      </c>
      <c r="J1660" s="11" t="s">
        <v>2281</v>
      </c>
    </row>
    <row r="1661" spans="1:10" ht="13.15" customHeight="1" x14ac:dyDescent="0.25">
      <c r="A1661">
        <f t="shared" si="183"/>
        <v>1656</v>
      </c>
      <c r="B1661" t="s">
        <v>2274</v>
      </c>
      <c r="C1661" s="2">
        <v>0.39930555555555558</v>
      </c>
      <c r="D1661" s="4">
        <f t="shared" si="188"/>
        <v>0.12222222222222223</v>
      </c>
      <c r="E1661" s="6">
        <v>0.27708333333333335</v>
      </c>
      <c r="F1661" s="5">
        <f t="shared" si="189"/>
        <v>0.69391304347826088</v>
      </c>
      <c r="G1661" s="5">
        <v>0.76900000000000002</v>
      </c>
      <c r="H1661" s="4">
        <f>53.9/1440</f>
        <v>3.7430555555555557E-2</v>
      </c>
      <c r="I1661" s="5">
        <v>0.104</v>
      </c>
      <c r="J1661" s="11" t="s">
        <v>2281</v>
      </c>
    </row>
    <row r="1662" spans="1:10" ht="13.15" customHeight="1" x14ac:dyDescent="0.25">
      <c r="A1662">
        <f t="shared" si="183"/>
        <v>1657</v>
      </c>
      <c r="B1662" t="s">
        <v>2275</v>
      </c>
      <c r="C1662" s="2">
        <v>0.43263888888888891</v>
      </c>
      <c r="D1662" s="4">
        <f t="shared" si="188"/>
        <v>0.11805555555555558</v>
      </c>
      <c r="E1662" s="6">
        <v>0.31458333333333333</v>
      </c>
      <c r="F1662" s="5">
        <f t="shared" si="189"/>
        <v>0.72712680577849109</v>
      </c>
      <c r="G1662" s="5">
        <v>0.71499999999999997</v>
      </c>
      <c r="H1662" s="4">
        <f>53.2/1440</f>
        <v>3.6944444444444446E-2</v>
      </c>
      <c r="I1662" s="5">
        <v>8.4000000000000005E-2</v>
      </c>
      <c r="J1662" s="11" t="s">
        <v>2281</v>
      </c>
    </row>
    <row r="1663" spans="1:10" ht="13.15" customHeight="1" x14ac:dyDescent="0.25">
      <c r="A1663">
        <f t="shared" si="183"/>
        <v>1658</v>
      </c>
      <c r="B1663" t="s">
        <v>2276</v>
      </c>
      <c r="C1663" s="2">
        <v>0.41319444444444442</v>
      </c>
      <c r="D1663" s="4">
        <f t="shared" si="188"/>
        <v>9.9305555555555536E-2</v>
      </c>
      <c r="E1663" s="6">
        <v>0.31388888888888888</v>
      </c>
      <c r="F1663" s="5">
        <f t="shared" si="189"/>
        <v>0.75966386554621856</v>
      </c>
      <c r="G1663" s="5">
        <v>0.82399999999999995</v>
      </c>
      <c r="H1663" s="4">
        <f>67/1440</f>
        <v>4.6527777777777779E-2</v>
      </c>
      <c r="I1663" s="5">
        <v>0.122</v>
      </c>
      <c r="J1663" s="11" t="s">
        <v>2281</v>
      </c>
    </row>
    <row r="1664" spans="1:10" ht="13.15" customHeight="1" x14ac:dyDescent="0.25">
      <c r="A1664">
        <f t="shared" si="183"/>
        <v>1659</v>
      </c>
      <c r="B1664" t="s">
        <v>2277</v>
      </c>
      <c r="C1664" s="2">
        <v>0.43541666666666667</v>
      </c>
      <c r="D1664" s="4">
        <f t="shared" si="188"/>
        <v>0.12013888888888891</v>
      </c>
      <c r="E1664" s="6">
        <v>0.31527777777777777</v>
      </c>
      <c r="F1664" s="5">
        <f t="shared" si="189"/>
        <v>0.72408293460925033</v>
      </c>
      <c r="G1664" s="5">
        <v>0.79100000000000004</v>
      </c>
      <c r="H1664" s="4">
        <f>59.8/1440</f>
        <v>4.1527777777777775E-2</v>
      </c>
      <c r="I1664" s="5">
        <v>0.104</v>
      </c>
      <c r="J1664" s="11" t="s">
        <v>2282</v>
      </c>
    </row>
    <row r="1665" spans="1:10" ht="13.15" customHeight="1" x14ac:dyDescent="0.25">
      <c r="A1665">
        <f t="shared" si="183"/>
        <v>1660</v>
      </c>
      <c r="B1665" t="s">
        <v>2278</v>
      </c>
      <c r="C1665" s="2">
        <v>0.46319444444444446</v>
      </c>
      <c r="D1665" s="4">
        <f t="shared" si="188"/>
        <v>0.12152777777777779</v>
      </c>
      <c r="E1665" s="6">
        <v>0.34166666666666667</v>
      </c>
      <c r="F1665" s="5">
        <f t="shared" si="189"/>
        <v>0.73763118440779607</v>
      </c>
      <c r="G1665" s="5">
        <v>0.84599999999999997</v>
      </c>
      <c r="H1665" s="4">
        <f>62.6/1440</f>
        <v>4.3472222222222225E-2</v>
      </c>
      <c r="I1665" s="5">
        <v>0.107</v>
      </c>
      <c r="J1665" s="11" t="s">
        <v>2282</v>
      </c>
    </row>
    <row r="1666" spans="1:10" ht="13.15" customHeight="1" x14ac:dyDescent="0.25">
      <c r="A1666">
        <f t="shared" si="183"/>
        <v>1661</v>
      </c>
      <c r="B1666" t="s">
        <v>2279</v>
      </c>
      <c r="C1666" s="2">
        <v>0.46041666666666664</v>
      </c>
      <c r="D1666" s="4">
        <f t="shared" si="188"/>
        <v>0.12083333333333329</v>
      </c>
      <c r="E1666" s="6">
        <v>0.33958333333333335</v>
      </c>
      <c r="F1666" s="5">
        <f t="shared" si="189"/>
        <v>0.73755656108597289</v>
      </c>
      <c r="G1666" s="5">
        <v>0.77700000000000002</v>
      </c>
      <c r="H1666" s="4">
        <f>62.4/1440</f>
        <v>4.3333333333333335E-2</v>
      </c>
      <c r="I1666" s="5">
        <v>9.9000000000000005E-2</v>
      </c>
      <c r="J1666" s="11" t="s">
        <v>2282</v>
      </c>
    </row>
    <row r="1667" spans="1:10" ht="13.15" customHeight="1" x14ac:dyDescent="0.25">
      <c r="A1667">
        <f t="shared" si="183"/>
        <v>1662</v>
      </c>
      <c r="B1667" t="s">
        <v>2280</v>
      </c>
      <c r="C1667" s="2">
        <v>0.46458333333333335</v>
      </c>
      <c r="D1667" s="4">
        <f t="shared" si="188"/>
        <v>0.12430555555555556</v>
      </c>
      <c r="E1667" s="6">
        <v>0.34027777777777779</v>
      </c>
      <c r="F1667" s="5">
        <f t="shared" si="189"/>
        <v>0.73243647234678622</v>
      </c>
      <c r="G1667" s="5">
        <v>0.86099999999999999</v>
      </c>
      <c r="H1667" s="4">
        <f>72.7/1440</f>
        <v>5.0486111111111114E-2</v>
      </c>
      <c r="I1667" s="5">
        <v>0.128</v>
      </c>
      <c r="J1667" s="11" t="s">
        <v>2282</v>
      </c>
    </row>
    <row r="1668" spans="1:10" ht="13.15" customHeight="1" x14ac:dyDescent="0.25">
      <c r="A1668">
        <f t="shared" si="183"/>
        <v>1663</v>
      </c>
      <c r="B1668" t="s">
        <v>2283</v>
      </c>
      <c r="C1668" s="2">
        <v>0.42152777777777778</v>
      </c>
      <c r="D1668" s="4">
        <f t="shared" ref="D1668:D1676" si="190">C1668-E1668</f>
        <v>0.11458333333333331</v>
      </c>
      <c r="E1668" s="6">
        <v>0.30694444444444446</v>
      </c>
      <c r="F1668" s="5">
        <f t="shared" ref="F1668:F1676" si="191">E1668/C1668</f>
        <v>0.72817133443163107</v>
      </c>
      <c r="G1668" s="5">
        <v>0.80300000000000005</v>
      </c>
      <c r="H1668" s="4">
        <f>60.6/1440</f>
        <v>4.2083333333333334E-2</v>
      </c>
      <c r="I1668" s="5">
        <v>0.11</v>
      </c>
      <c r="J1668" s="11" t="s">
        <v>2292</v>
      </c>
    </row>
    <row r="1669" spans="1:10" ht="13.15" customHeight="1" x14ac:dyDescent="0.25">
      <c r="A1669">
        <f t="shared" si="183"/>
        <v>1664</v>
      </c>
      <c r="B1669" t="s">
        <v>2284</v>
      </c>
      <c r="C1669" s="2">
        <v>0.41180555555555554</v>
      </c>
      <c r="D1669" s="4">
        <f t="shared" si="190"/>
        <v>0.11319444444444443</v>
      </c>
      <c r="E1669" s="6">
        <v>0.2986111111111111</v>
      </c>
      <c r="F1669" s="5">
        <f t="shared" si="191"/>
        <v>0.72512647554806076</v>
      </c>
      <c r="G1669" s="5">
        <v>0.85099999999999998</v>
      </c>
      <c r="H1669" s="4">
        <f>66.9/1440</f>
        <v>4.6458333333333338E-2</v>
      </c>
      <c r="I1669" s="5">
        <v>0.13200000000000001</v>
      </c>
      <c r="J1669" s="11" t="s">
        <v>2292</v>
      </c>
    </row>
    <row r="1670" spans="1:10" ht="13.15" customHeight="1" x14ac:dyDescent="0.25">
      <c r="A1670">
        <f t="shared" si="183"/>
        <v>1665</v>
      </c>
      <c r="B1670" t="s">
        <v>2285</v>
      </c>
      <c r="C1670" s="2">
        <v>0.39861111111111114</v>
      </c>
      <c r="D1670" s="4">
        <f t="shared" si="190"/>
        <v>0.11388888888888893</v>
      </c>
      <c r="E1670" s="6">
        <v>0.28472222222222221</v>
      </c>
      <c r="F1670" s="5">
        <f t="shared" si="191"/>
        <v>0.71428571428571419</v>
      </c>
      <c r="G1670" s="5">
        <v>0.78700000000000003</v>
      </c>
      <c r="H1670" s="4">
        <f>53.2/1440</f>
        <v>3.6944444444444446E-2</v>
      </c>
      <c r="I1670" s="5">
        <v>0.10199999999999999</v>
      </c>
      <c r="J1670" s="11" t="s">
        <v>2292</v>
      </c>
    </row>
    <row r="1671" spans="1:10" ht="13.15" customHeight="1" x14ac:dyDescent="0.25">
      <c r="A1671">
        <f t="shared" si="183"/>
        <v>1666</v>
      </c>
      <c r="B1671" t="s">
        <v>2286</v>
      </c>
      <c r="C1671" s="2">
        <v>0.42152777777777778</v>
      </c>
      <c r="D1671" s="4">
        <f t="shared" si="190"/>
        <v>0.11875000000000002</v>
      </c>
      <c r="E1671" s="6">
        <v>0.30277777777777776</v>
      </c>
      <c r="F1671" s="5">
        <f t="shared" si="191"/>
        <v>0.71828665568369021</v>
      </c>
      <c r="G1671" s="5">
        <v>0.69399999999999995</v>
      </c>
      <c r="H1671" s="4">
        <f>49.8/1440</f>
        <v>3.4583333333333334E-2</v>
      </c>
      <c r="I1671" s="5">
        <v>7.9000000000000001E-2</v>
      </c>
      <c r="J1671" s="11" t="s">
        <v>2292</v>
      </c>
    </row>
    <row r="1672" spans="1:10" ht="13.15" customHeight="1" x14ac:dyDescent="0.25">
      <c r="A1672">
        <f t="shared" si="183"/>
        <v>1667</v>
      </c>
      <c r="B1672" t="s">
        <v>2287</v>
      </c>
      <c r="C1672" s="2">
        <v>0.41180555555555554</v>
      </c>
      <c r="D1672" s="4">
        <f t="shared" si="190"/>
        <v>0.10416666666666663</v>
      </c>
      <c r="E1672" s="6">
        <v>0.30763888888888891</v>
      </c>
      <c r="F1672" s="5">
        <f t="shared" si="191"/>
        <v>0.74704890387858358</v>
      </c>
      <c r="G1672" s="5">
        <v>0.83099999999999996</v>
      </c>
      <c r="H1672" s="4">
        <f>58.4/1440</f>
        <v>4.0555555555555553E-2</v>
      </c>
      <c r="I1672" s="5">
        <v>0.109</v>
      </c>
      <c r="J1672" s="11" t="s">
        <v>2292</v>
      </c>
    </row>
    <row r="1673" spans="1:10" ht="13.15" customHeight="1" x14ac:dyDescent="0.25">
      <c r="A1673">
        <f t="shared" si="183"/>
        <v>1668</v>
      </c>
      <c r="B1673" t="s">
        <v>2288</v>
      </c>
      <c r="C1673" s="2">
        <v>0.43888888888888888</v>
      </c>
      <c r="D1673" s="4">
        <f t="shared" si="190"/>
        <v>0.11875000000000002</v>
      </c>
      <c r="E1673" s="6">
        <v>0.32013888888888886</v>
      </c>
      <c r="F1673" s="5">
        <f t="shared" si="191"/>
        <v>0.72943037974683544</v>
      </c>
      <c r="G1673" s="5">
        <v>0.76500000000000001</v>
      </c>
      <c r="H1673" s="4">
        <f>63.7/1440</f>
        <v>4.4236111111111115E-2</v>
      </c>
      <c r="I1673" s="5">
        <v>0.106</v>
      </c>
      <c r="J1673" s="11" t="s">
        <v>2293</v>
      </c>
    </row>
    <row r="1674" spans="1:10" ht="13.15" customHeight="1" x14ac:dyDescent="0.25">
      <c r="A1674">
        <f t="shared" si="183"/>
        <v>1669</v>
      </c>
      <c r="B1674" t="s">
        <v>2289</v>
      </c>
      <c r="C1674" s="2">
        <v>0.47638888888888886</v>
      </c>
      <c r="D1674" s="4">
        <f t="shared" si="190"/>
        <v>0.12291666666666662</v>
      </c>
      <c r="E1674" s="6">
        <v>0.35347222222222224</v>
      </c>
      <c r="F1674" s="5">
        <f t="shared" si="191"/>
        <v>0.7419825072886298</v>
      </c>
      <c r="G1674" s="5">
        <v>0.83799999999999997</v>
      </c>
      <c r="H1674" s="4">
        <f>61.3/1440</f>
        <v>4.2569444444444444E-2</v>
      </c>
      <c r="I1674" s="5">
        <v>0.10100000000000001</v>
      </c>
      <c r="J1674" s="11" t="s">
        <v>2293</v>
      </c>
    </row>
    <row r="1675" spans="1:10" ht="13.15" customHeight="1" x14ac:dyDescent="0.25">
      <c r="A1675">
        <f t="shared" si="183"/>
        <v>1670</v>
      </c>
      <c r="B1675" t="s">
        <v>2290</v>
      </c>
      <c r="C1675" s="2">
        <v>0.47569444444444442</v>
      </c>
      <c r="D1675" s="4">
        <f t="shared" si="190"/>
        <v>0.12847222222222221</v>
      </c>
      <c r="E1675" s="6">
        <v>0.34722222222222221</v>
      </c>
      <c r="F1675" s="5">
        <f t="shared" si="191"/>
        <v>0.72992700729927007</v>
      </c>
      <c r="G1675" s="5">
        <v>0.80300000000000005</v>
      </c>
      <c r="H1675" s="4">
        <f>59.5/1440</f>
        <v>4.1319444444444443E-2</v>
      </c>
      <c r="I1675" s="5">
        <v>9.5000000000000001E-2</v>
      </c>
      <c r="J1675" s="11" t="s">
        <v>2293</v>
      </c>
    </row>
    <row r="1676" spans="1:10" ht="13.15" customHeight="1" x14ac:dyDescent="0.25">
      <c r="A1676">
        <f t="shared" si="183"/>
        <v>1671</v>
      </c>
      <c r="B1676" t="s">
        <v>2291</v>
      </c>
      <c r="C1676" s="2">
        <v>0.42708333333333331</v>
      </c>
      <c r="D1676" s="4">
        <f t="shared" si="190"/>
        <v>0.10694444444444445</v>
      </c>
      <c r="E1676" s="6">
        <v>0.32013888888888886</v>
      </c>
      <c r="F1676" s="5">
        <f t="shared" si="191"/>
        <v>0.74959349593495928</v>
      </c>
      <c r="G1676" s="5">
        <v>0.876</v>
      </c>
      <c r="H1676" s="4">
        <f>79.5/1440</f>
        <v>5.5208333333333331E-2</v>
      </c>
      <c r="I1676" s="5">
        <v>0.151</v>
      </c>
      <c r="J1676" s="11" t="s">
        <v>2293</v>
      </c>
    </row>
    <row r="1677" spans="1:10" ht="13.15" customHeight="1" x14ac:dyDescent="0.25">
      <c r="A1677">
        <f t="shared" si="183"/>
        <v>1672</v>
      </c>
      <c r="B1677" t="s">
        <v>2294</v>
      </c>
      <c r="C1677" s="2">
        <v>0.52847222222222223</v>
      </c>
      <c r="D1677" s="4">
        <f t="shared" ref="D1677" si="192">C1677-E1677</f>
        <v>0.12569444444444444</v>
      </c>
      <c r="E1677" s="6">
        <v>0.40277777777777779</v>
      </c>
      <c r="F1677" s="5">
        <f t="shared" ref="F1677" si="193">E1677/C1677</f>
        <v>0.76215505913272008</v>
      </c>
      <c r="G1677" s="5">
        <v>0.88</v>
      </c>
      <c r="H1677" s="4">
        <f>69.7/1440</f>
        <v>4.8402777777777781E-2</v>
      </c>
      <c r="I1677" s="5">
        <v>0.106</v>
      </c>
      <c r="J1677" s="11" t="s">
        <v>2304</v>
      </c>
    </row>
    <row r="1678" spans="1:10" ht="13.15" customHeight="1" x14ac:dyDescent="0.25">
      <c r="A1678">
        <f t="shared" si="183"/>
        <v>1673</v>
      </c>
      <c r="B1678" t="s">
        <v>2295</v>
      </c>
      <c r="C1678" s="2">
        <v>0.41944444444444445</v>
      </c>
      <c r="D1678" s="4">
        <f t="shared" ref="D1678:D1722" si="194">C1678-E1678</f>
        <v>0.10625000000000001</v>
      </c>
      <c r="E1678" s="6">
        <v>0.31319444444444444</v>
      </c>
      <c r="F1678" s="5">
        <f t="shared" ref="F1678:F1685" si="195">E1678/C1678</f>
        <v>0.74668874172185429</v>
      </c>
      <c r="G1678" s="5">
        <v>0.80900000000000005</v>
      </c>
      <c r="H1678" s="4">
        <f>62.7/1440</f>
        <v>4.3541666666666666E-2</v>
      </c>
      <c r="I1678" s="5">
        <v>0.112</v>
      </c>
      <c r="J1678" s="11" t="s">
        <v>2305</v>
      </c>
    </row>
    <row r="1679" spans="1:10" ht="13.15" customHeight="1" x14ac:dyDescent="0.25">
      <c r="A1679">
        <f t="shared" si="183"/>
        <v>1674</v>
      </c>
      <c r="B1679" t="s">
        <v>2296</v>
      </c>
      <c r="C1679" s="2">
        <v>0.44374999999999998</v>
      </c>
      <c r="D1679" s="4">
        <f t="shared" si="194"/>
        <v>0.11666666666666664</v>
      </c>
      <c r="E1679" s="6">
        <v>0.32708333333333334</v>
      </c>
      <c r="F1679" s="5">
        <f t="shared" si="195"/>
        <v>0.73708920187793436</v>
      </c>
      <c r="G1679" s="5">
        <v>0.85</v>
      </c>
      <c r="H1679" s="4">
        <f>65.7/1440</f>
        <v>4.5624999999999999E-2</v>
      </c>
      <c r="I1679" s="5">
        <v>0.11799999999999999</v>
      </c>
      <c r="J1679" s="11" t="s">
        <v>2305</v>
      </c>
    </row>
    <row r="1680" spans="1:10" ht="13.15" customHeight="1" x14ac:dyDescent="0.25">
      <c r="A1680">
        <f t="shared" si="183"/>
        <v>1675</v>
      </c>
      <c r="B1680" t="s">
        <v>2297</v>
      </c>
      <c r="C1680" s="2">
        <v>0.38750000000000001</v>
      </c>
      <c r="D1680" s="4">
        <f t="shared" si="194"/>
        <v>0.1027777777777778</v>
      </c>
      <c r="E1680" s="6">
        <v>0.28472222222222221</v>
      </c>
      <c r="F1680" s="5">
        <f t="shared" si="195"/>
        <v>0.73476702508960567</v>
      </c>
      <c r="G1680" s="5">
        <v>0.78700000000000003</v>
      </c>
      <c r="H1680" s="4">
        <f>60.1/1440</f>
        <v>4.1736111111111113E-2</v>
      </c>
      <c r="I1680" s="5">
        <v>0.115</v>
      </c>
      <c r="J1680" s="11" t="s">
        <v>2305</v>
      </c>
    </row>
    <row r="1681" spans="1:10" ht="13.15" customHeight="1" x14ac:dyDescent="0.25">
      <c r="A1681">
        <f t="shared" si="183"/>
        <v>1676</v>
      </c>
      <c r="B1681" t="s">
        <v>2298</v>
      </c>
      <c r="C1681" s="2">
        <v>0.37916666666666665</v>
      </c>
      <c r="D1681" s="4">
        <f t="shared" si="194"/>
        <v>0.1111111111111111</v>
      </c>
      <c r="E1681" s="6">
        <v>0.26805555555555555</v>
      </c>
      <c r="F1681" s="5">
        <f t="shared" si="195"/>
        <v>0.706959706959707</v>
      </c>
      <c r="G1681" s="5">
        <v>0.71099999999999997</v>
      </c>
      <c r="H1681" s="4">
        <f>52.5/1440</f>
        <v>3.6458333333333336E-2</v>
      </c>
      <c r="I1681" s="5">
        <v>9.7000000000000003E-2</v>
      </c>
      <c r="J1681" s="11" t="s">
        <v>2305</v>
      </c>
    </row>
    <row r="1682" spans="1:10" ht="13.15" customHeight="1" x14ac:dyDescent="0.25">
      <c r="A1682">
        <f t="shared" si="183"/>
        <v>1677</v>
      </c>
      <c r="B1682" t="s">
        <v>2299</v>
      </c>
      <c r="C1682" s="2">
        <v>0.42222222222222222</v>
      </c>
      <c r="D1682" s="4">
        <f t="shared" si="194"/>
        <v>0.10138888888888886</v>
      </c>
      <c r="E1682" s="6">
        <v>0.32083333333333336</v>
      </c>
      <c r="F1682" s="5">
        <f t="shared" si="195"/>
        <v>0.75986842105263164</v>
      </c>
      <c r="G1682" s="5">
        <v>0.82099999999999995</v>
      </c>
      <c r="H1682" s="4">
        <f>64.7/1440</f>
        <v>4.4930555555555557E-2</v>
      </c>
      <c r="I1682" s="5">
        <v>0.115</v>
      </c>
      <c r="J1682" s="11" t="s">
        <v>2305</v>
      </c>
    </row>
    <row r="1683" spans="1:10" ht="13.15" customHeight="1" x14ac:dyDescent="0.25">
      <c r="A1683">
        <f t="shared" si="183"/>
        <v>1678</v>
      </c>
      <c r="B1683" t="s">
        <v>2300</v>
      </c>
      <c r="C1683" s="2">
        <v>0.4152777777777778</v>
      </c>
      <c r="D1683" s="4">
        <f t="shared" si="194"/>
        <v>0.12083333333333335</v>
      </c>
      <c r="E1683" s="6">
        <v>0.29444444444444445</v>
      </c>
      <c r="F1683" s="5">
        <f t="shared" si="195"/>
        <v>0.70903010033444813</v>
      </c>
      <c r="G1683" s="5">
        <v>0.78200000000000003</v>
      </c>
      <c r="H1683" s="4">
        <f>56.1/1440</f>
        <v>3.8958333333333331E-2</v>
      </c>
      <c r="I1683" s="5">
        <v>0.10299999999999999</v>
      </c>
      <c r="J1683" s="11" t="s">
        <v>2306</v>
      </c>
    </row>
    <row r="1684" spans="1:10" ht="13.15" customHeight="1" x14ac:dyDescent="0.25">
      <c r="A1684">
        <f t="shared" si="183"/>
        <v>1679</v>
      </c>
      <c r="B1684" t="s">
        <v>2301</v>
      </c>
      <c r="C1684" s="2">
        <v>0.45763888888888887</v>
      </c>
      <c r="D1684" s="4">
        <f t="shared" si="194"/>
        <v>0.1076388888888889</v>
      </c>
      <c r="E1684" s="6">
        <v>0.35</v>
      </c>
      <c r="F1684" s="5">
        <f t="shared" si="195"/>
        <v>0.7647951441578148</v>
      </c>
      <c r="G1684" s="5">
        <v>0.84199999999999997</v>
      </c>
      <c r="H1684" s="4">
        <f>59.1/1440</f>
        <v>4.1041666666666671E-2</v>
      </c>
      <c r="I1684" s="5">
        <v>9.9000000000000005E-2</v>
      </c>
      <c r="J1684" s="11" t="s">
        <v>2306</v>
      </c>
    </row>
    <row r="1685" spans="1:10" ht="13.15" customHeight="1" x14ac:dyDescent="0.25">
      <c r="A1685">
        <f t="shared" si="183"/>
        <v>1680</v>
      </c>
      <c r="B1685" t="s">
        <v>2302</v>
      </c>
      <c r="C1685" s="2">
        <v>0.48749999999999999</v>
      </c>
      <c r="D1685" s="4">
        <f t="shared" si="194"/>
        <v>0.12152777777777779</v>
      </c>
      <c r="E1685" s="6">
        <v>0.3659722222222222</v>
      </c>
      <c r="F1685" s="5">
        <f t="shared" si="195"/>
        <v>0.75071225071225067</v>
      </c>
      <c r="G1685" s="5">
        <v>0.82199999999999995</v>
      </c>
      <c r="H1685" s="4">
        <f>61.6/1440</f>
        <v>4.2777777777777776E-2</v>
      </c>
      <c r="I1685" s="5">
        <v>9.6000000000000002E-2</v>
      </c>
      <c r="J1685" s="11" t="s">
        <v>2306</v>
      </c>
    </row>
    <row r="1686" spans="1:10" ht="13.15" customHeight="1" x14ac:dyDescent="0.25">
      <c r="A1686">
        <f t="shared" si="183"/>
        <v>1681</v>
      </c>
      <c r="B1686" t="s">
        <v>2303</v>
      </c>
      <c r="C1686" s="2">
        <v>0.4548611111111111</v>
      </c>
      <c r="D1686" s="4">
        <f t="shared" si="194"/>
        <v>0.11736111111111108</v>
      </c>
      <c r="E1686" s="6">
        <v>0.33750000000000002</v>
      </c>
      <c r="F1686" s="5">
        <v>0.84499999999999997</v>
      </c>
      <c r="G1686" s="5">
        <v>0.88</v>
      </c>
      <c r="H1686" s="4">
        <f>80.8/1440</f>
        <v>5.6111111111111112E-2</v>
      </c>
      <c r="I1686" s="5">
        <v>0.14000000000000001</v>
      </c>
      <c r="J1686" s="11" t="s">
        <v>2306</v>
      </c>
    </row>
    <row r="1687" spans="1:10" ht="13.15" customHeight="1" x14ac:dyDescent="0.25">
      <c r="A1687">
        <f t="shared" ref="A1687:A1750" si="196">A1686+1</f>
        <v>1682</v>
      </c>
      <c r="B1687" t="s">
        <v>2307</v>
      </c>
      <c r="C1687" s="2">
        <v>0.4236111111111111</v>
      </c>
      <c r="D1687" s="4">
        <f t="shared" si="194"/>
        <v>0.10347222222222224</v>
      </c>
      <c r="E1687" s="6">
        <v>0.32013888888888886</v>
      </c>
      <c r="F1687" s="5">
        <f t="shared" ref="F1687:F1722" si="197">E1687/C1687</f>
        <v>0.75573770491803272</v>
      </c>
      <c r="G1687" s="5">
        <v>0.83299999999999996</v>
      </c>
      <c r="H1687" s="4">
        <f>67.1/1440</f>
        <v>4.659722222222222E-2</v>
      </c>
      <c r="I1687" s="5">
        <v>0.121</v>
      </c>
      <c r="J1687" s="11" t="s">
        <v>2316</v>
      </c>
    </row>
    <row r="1688" spans="1:10" ht="13.15" customHeight="1" x14ac:dyDescent="0.25">
      <c r="A1688">
        <f t="shared" si="196"/>
        <v>1683</v>
      </c>
      <c r="B1688" t="s">
        <v>2308</v>
      </c>
      <c r="C1688" s="2">
        <v>0.44097222222222221</v>
      </c>
      <c r="D1688" s="4">
        <f t="shared" si="194"/>
        <v>9.027777777777779E-2</v>
      </c>
      <c r="E1688" s="6">
        <v>0.35069444444444442</v>
      </c>
      <c r="F1688" s="5">
        <f t="shared" si="197"/>
        <v>0.79527559055118102</v>
      </c>
      <c r="G1688" s="5">
        <v>0.85499999999999998</v>
      </c>
      <c r="H1688" s="4">
        <f>77.6/1440</f>
        <v>5.3888888888888882E-2</v>
      </c>
      <c r="I1688" s="5">
        <v>0.13100000000000001</v>
      </c>
      <c r="J1688" s="11" t="s">
        <v>2316</v>
      </c>
    </row>
    <row r="1689" spans="1:10" ht="13.15" customHeight="1" x14ac:dyDescent="0.25">
      <c r="A1689">
        <f t="shared" si="196"/>
        <v>1684</v>
      </c>
      <c r="B1689" t="s">
        <v>2309</v>
      </c>
      <c r="C1689" s="2">
        <v>0.41666666666666669</v>
      </c>
      <c r="D1689" s="4">
        <f t="shared" si="194"/>
        <v>0.1111111111111111</v>
      </c>
      <c r="E1689" s="6">
        <v>0.30555555555555558</v>
      </c>
      <c r="F1689" s="5">
        <f t="shared" si="197"/>
        <v>0.73333333333333339</v>
      </c>
      <c r="G1689" s="5">
        <v>0.82299999999999995</v>
      </c>
      <c r="H1689" s="4">
        <f>59/1440</f>
        <v>4.0972222222222222E-2</v>
      </c>
      <c r="I1689" s="5">
        <v>0.11</v>
      </c>
      <c r="J1689" s="11" t="s">
        <v>2316</v>
      </c>
    </row>
    <row r="1690" spans="1:10" ht="13.15" customHeight="1" x14ac:dyDescent="0.25">
      <c r="A1690">
        <f t="shared" si="196"/>
        <v>1685</v>
      </c>
      <c r="B1690" t="s">
        <v>2310</v>
      </c>
      <c r="C1690" s="2">
        <v>0.3527777777777778</v>
      </c>
      <c r="D1690" s="4">
        <f t="shared" si="194"/>
        <v>0.10069444444444448</v>
      </c>
      <c r="E1690" s="6">
        <v>0.25208333333333333</v>
      </c>
      <c r="F1690" s="5">
        <f t="shared" si="197"/>
        <v>0.71456692913385822</v>
      </c>
      <c r="G1690" s="5">
        <v>0.77200000000000002</v>
      </c>
      <c r="H1690" s="4">
        <f>54.4/1440</f>
        <v>3.7777777777777778E-2</v>
      </c>
      <c r="I1690" s="5">
        <v>0.115</v>
      </c>
      <c r="J1690" s="11" t="s">
        <v>2316</v>
      </c>
    </row>
    <row r="1691" spans="1:10" ht="13.15" customHeight="1" x14ac:dyDescent="0.25">
      <c r="A1691">
        <f t="shared" si="196"/>
        <v>1686</v>
      </c>
      <c r="B1691" t="s">
        <v>2311</v>
      </c>
      <c r="C1691" s="2">
        <v>0.45208333333333334</v>
      </c>
      <c r="D1691" s="4">
        <f t="shared" si="194"/>
        <v>0.10694444444444445</v>
      </c>
      <c r="E1691" s="6">
        <v>0.34513888888888888</v>
      </c>
      <c r="F1691" s="5">
        <f t="shared" si="197"/>
        <v>0.76344086021505375</v>
      </c>
      <c r="G1691" s="5">
        <v>0.84899999999999998</v>
      </c>
      <c r="H1691" s="4">
        <f>65.3/1440</f>
        <v>4.5347222222222219E-2</v>
      </c>
      <c r="I1691" s="5">
        <v>0.111</v>
      </c>
      <c r="J1691" s="11" t="s">
        <v>2316</v>
      </c>
    </row>
    <row r="1692" spans="1:10" ht="13.15" customHeight="1" x14ac:dyDescent="0.25">
      <c r="A1692">
        <f t="shared" si="196"/>
        <v>1687</v>
      </c>
      <c r="B1692" t="s">
        <v>2312</v>
      </c>
      <c r="C1692" s="2">
        <v>0.45347222222222222</v>
      </c>
      <c r="D1692" s="4">
        <f t="shared" si="194"/>
        <v>0.12638888888888888</v>
      </c>
      <c r="E1692" s="6">
        <v>0.32708333333333334</v>
      </c>
      <c r="F1692" s="5">
        <f t="shared" si="197"/>
        <v>0.72128637059724354</v>
      </c>
      <c r="G1692" s="5">
        <v>0.81599999999999995</v>
      </c>
      <c r="H1692" s="4">
        <f>65.3/1440</f>
        <v>4.5347222222222219E-2</v>
      </c>
      <c r="I1692" s="5">
        <v>0.113</v>
      </c>
      <c r="J1692" s="11" t="s">
        <v>2317</v>
      </c>
    </row>
    <row r="1693" spans="1:10" ht="13.15" customHeight="1" x14ac:dyDescent="0.25">
      <c r="A1693">
        <f t="shared" si="196"/>
        <v>1688</v>
      </c>
      <c r="B1693" t="s">
        <v>2313</v>
      </c>
      <c r="C1693" s="2">
        <v>0.40694444444444444</v>
      </c>
      <c r="D1693" s="4">
        <f t="shared" si="194"/>
        <v>9.0972222222222232E-2</v>
      </c>
      <c r="E1693" s="6">
        <v>0.31597222222222221</v>
      </c>
      <c r="F1693" s="5">
        <f t="shared" si="197"/>
        <v>0.7764505119453925</v>
      </c>
      <c r="G1693" s="5">
        <v>0.86299999999999999</v>
      </c>
      <c r="H1693" s="4">
        <f>69.2/1440</f>
        <v>4.805555555555556E-2</v>
      </c>
      <c r="I1693" s="5">
        <v>0.13100000000000001</v>
      </c>
      <c r="J1693" s="11" t="s">
        <v>2317</v>
      </c>
    </row>
    <row r="1694" spans="1:10" ht="13.15" customHeight="1" x14ac:dyDescent="0.25">
      <c r="A1694">
        <f t="shared" si="196"/>
        <v>1689</v>
      </c>
      <c r="B1694" t="s">
        <v>2314</v>
      </c>
      <c r="C1694" s="2">
        <v>0.47708333333333336</v>
      </c>
      <c r="D1694" s="4">
        <f t="shared" si="194"/>
        <v>0.10416666666666669</v>
      </c>
      <c r="E1694" s="6">
        <v>0.37291666666666667</v>
      </c>
      <c r="F1694" s="5">
        <f t="shared" si="197"/>
        <v>0.78165938864628814</v>
      </c>
      <c r="G1694" s="5">
        <v>0.89</v>
      </c>
      <c r="H1694" s="4">
        <f>71.6/1440</f>
        <v>4.9722222222222216E-2</v>
      </c>
      <c r="I1694" s="5">
        <v>0.11799999999999999</v>
      </c>
      <c r="J1694" s="11" t="s">
        <v>2317</v>
      </c>
    </row>
    <row r="1695" spans="1:10" ht="13.15" customHeight="1" x14ac:dyDescent="0.25">
      <c r="A1695">
        <f t="shared" si="196"/>
        <v>1690</v>
      </c>
      <c r="B1695" t="s">
        <v>2315</v>
      </c>
      <c r="C1695" s="2">
        <v>0.39930555555555558</v>
      </c>
      <c r="D1695" s="4">
        <f t="shared" si="194"/>
        <v>8.1250000000000044E-2</v>
      </c>
      <c r="E1695" s="6">
        <v>0.31805555555555554</v>
      </c>
      <c r="F1695" s="5">
        <f t="shared" si="197"/>
        <v>0.79652173913043467</v>
      </c>
      <c r="G1695" s="5">
        <v>0.83799999999999997</v>
      </c>
      <c r="H1695" s="4">
        <f>84/1440</f>
        <v>5.8333333333333334E-2</v>
      </c>
      <c r="I1695" s="5">
        <v>0.154</v>
      </c>
      <c r="J1695" s="11" t="s">
        <v>2317</v>
      </c>
    </row>
    <row r="1696" spans="1:10" ht="13.15" customHeight="1" x14ac:dyDescent="0.25">
      <c r="A1696">
        <f t="shared" si="196"/>
        <v>1691</v>
      </c>
      <c r="B1696" t="s">
        <v>2318</v>
      </c>
      <c r="C1696" s="2">
        <v>0.36458333333333331</v>
      </c>
      <c r="D1696" s="4">
        <f t="shared" si="194"/>
        <v>0.13958333333333331</v>
      </c>
      <c r="E1696" s="6">
        <v>0.22500000000000001</v>
      </c>
      <c r="F1696" s="5">
        <f t="shared" si="197"/>
        <v>0.61714285714285722</v>
      </c>
      <c r="G1696" s="5">
        <v>0.755</v>
      </c>
      <c r="H1696" s="4">
        <f>54.3/1440</f>
        <v>3.770833333333333E-2</v>
      </c>
      <c r="I1696" s="5">
        <v>0.126</v>
      </c>
      <c r="J1696" s="11" t="s">
        <v>2327</v>
      </c>
    </row>
    <row r="1697" spans="1:10" ht="13.15" customHeight="1" x14ac:dyDescent="0.25">
      <c r="A1697">
        <f t="shared" si="196"/>
        <v>1692</v>
      </c>
      <c r="B1697" t="s">
        <v>2319</v>
      </c>
      <c r="C1697" s="2">
        <v>0.40694444444444444</v>
      </c>
      <c r="D1697" s="4">
        <f t="shared" si="194"/>
        <v>0.16666666666666666</v>
      </c>
      <c r="E1697" s="6">
        <v>0.24027777777777778</v>
      </c>
      <c r="F1697" s="5">
        <f t="shared" si="197"/>
        <v>0.59044368600682595</v>
      </c>
      <c r="G1697" s="5">
        <v>0.82499999999999996</v>
      </c>
      <c r="H1697" s="4">
        <f>63.5/1440</f>
        <v>4.4097222222222225E-2</v>
      </c>
      <c r="I1697" s="5">
        <v>0.151</v>
      </c>
      <c r="J1697" s="11" t="s">
        <v>2327</v>
      </c>
    </row>
    <row r="1698" spans="1:10" ht="13.15" customHeight="1" x14ac:dyDescent="0.25">
      <c r="A1698">
        <f t="shared" si="196"/>
        <v>1693</v>
      </c>
      <c r="B1698" t="s">
        <v>2320</v>
      </c>
      <c r="C1698" s="2">
        <v>0.38263888888888886</v>
      </c>
      <c r="D1698" s="4">
        <f t="shared" si="194"/>
        <v>0.16666666666666663</v>
      </c>
      <c r="E1698" s="6">
        <v>0.21597222222222223</v>
      </c>
      <c r="F1698" s="5">
        <f t="shared" si="197"/>
        <v>0.56442831215970968</v>
      </c>
      <c r="G1698" s="5">
        <v>0.69099999999999995</v>
      </c>
      <c r="H1698" s="4">
        <f>43.5/1440</f>
        <v>3.0208333333333334E-2</v>
      </c>
      <c r="I1698" s="5">
        <v>9.6000000000000002E-2</v>
      </c>
      <c r="J1698" s="11" t="s">
        <v>2327</v>
      </c>
    </row>
    <row r="1699" spans="1:10" ht="13.15" customHeight="1" x14ac:dyDescent="0.25">
      <c r="A1699">
        <f t="shared" si="196"/>
        <v>1694</v>
      </c>
      <c r="B1699" t="s">
        <v>2321</v>
      </c>
      <c r="C1699" s="2">
        <v>0.28888888888888886</v>
      </c>
      <c r="D1699" s="4">
        <f t="shared" si="194"/>
        <v>0.11319444444444443</v>
      </c>
      <c r="E1699" s="6">
        <v>0.17569444444444443</v>
      </c>
      <c r="F1699" s="5">
        <f t="shared" si="197"/>
        <v>0.60817307692307698</v>
      </c>
      <c r="G1699" s="5">
        <v>0.64</v>
      </c>
      <c r="H1699" s="4">
        <f>43.4/1440</f>
        <v>3.0138888888888889E-2</v>
      </c>
      <c r="I1699" s="5">
        <v>0.11</v>
      </c>
      <c r="J1699" s="11" t="s">
        <v>2327</v>
      </c>
    </row>
    <row r="1700" spans="1:10" ht="13.15" customHeight="1" x14ac:dyDescent="0.25">
      <c r="A1700">
        <f t="shared" si="196"/>
        <v>1695</v>
      </c>
      <c r="B1700" t="s">
        <v>2322</v>
      </c>
      <c r="C1700" s="2">
        <v>0.3840277777777778</v>
      </c>
      <c r="D1700" s="4">
        <f t="shared" si="194"/>
        <v>8.6111111111111138E-2</v>
      </c>
      <c r="E1700" s="6">
        <v>0.29791666666666666</v>
      </c>
      <c r="F1700" s="5">
        <f t="shared" si="197"/>
        <v>0.77576853526220613</v>
      </c>
      <c r="G1700" s="5">
        <v>0.91</v>
      </c>
      <c r="H1700" s="4">
        <f>54.2/1440</f>
        <v>3.7638888888888888E-2</v>
      </c>
      <c r="I1700" s="5">
        <v>0.115</v>
      </c>
      <c r="J1700" s="11" t="s">
        <v>2327</v>
      </c>
    </row>
    <row r="1701" spans="1:10" ht="13.15" customHeight="1" x14ac:dyDescent="0.25">
      <c r="A1701">
        <f t="shared" si="196"/>
        <v>1696</v>
      </c>
      <c r="B1701" t="s">
        <v>2323</v>
      </c>
      <c r="C1701" s="2">
        <v>0.37986111111111109</v>
      </c>
      <c r="D1701" s="4">
        <f t="shared" si="194"/>
        <v>0.13749999999999998</v>
      </c>
      <c r="E1701" s="6">
        <v>0.24236111111111111</v>
      </c>
      <c r="F1701" s="5">
        <f t="shared" si="197"/>
        <v>0.63802559414990867</v>
      </c>
      <c r="G1701" s="5">
        <v>0.71</v>
      </c>
      <c r="H1701" s="4">
        <f>68.8/1440</f>
        <v>4.7777777777777773E-2</v>
      </c>
      <c r="I1701" s="5">
        <v>0.14000000000000001</v>
      </c>
      <c r="J1701" s="11" t="s">
        <v>2328</v>
      </c>
    </row>
    <row r="1702" spans="1:10" ht="13.15" customHeight="1" x14ac:dyDescent="0.25">
      <c r="A1702">
        <f t="shared" si="196"/>
        <v>1697</v>
      </c>
      <c r="B1702" t="s">
        <v>2324</v>
      </c>
      <c r="C1702" s="2">
        <v>0.32500000000000001</v>
      </c>
      <c r="D1702" s="4">
        <f t="shared" si="194"/>
        <v>0.12916666666666668</v>
      </c>
      <c r="E1702" s="6">
        <v>0.19583333333333333</v>
      </c>
      <c r="F1702" s="5">
        <f t="shared" si="197"/>
        <v>0.60256410256410253</v>
      </c>
      <c r="G1702" s="5">
        <v>0.71</v>
      </c>
      <c r="H1702" s="4">
        <f>45.2/1440</f>
        <v>3.138888888888889E-2</v>
      </c>
      <c r="I1702" s="5">
        <v>0.114</v>
      </c>
      <c r="J1702" s="11" t="s">
        <v>2328</v>
      </c>
    </row>
    <row r="1703" spans="1:10" ht="13.15" customHeight="1" x14ac:dyDescent="0.25">
      <c r="A1703">
        <f t="shared" si="196"/>
        <v>1698</v>
      </c>
      <c r="B1703" t="s">
        <v>2325</v>
      </c>
      <c r="C1703" s="2">
        <v>0.36388888888888887</v>
      </c>
      <c r="D1703" s="4">
        <f t="shared" si="194"/>
        <v>0.1472222222222222</v>
      </c>
      <c r="E1703" s="6">
        <v>0.21666666666666667</v>
      </c>
      <c r="F1703" s="5">
        <f t="shared" si="197"/>
        <v>0.59541984732824427</v>
      </c>
      <c r="G1703" s="5">
        <v>0.67500000000000004</v>
      </c>
      <c r="H1703" s="4">
        <f>47.8/1440</f>
        <v>3.3194444444444443E-2</v>
      </c>
      <c r="I1703" s="5">
        <v>0.10299999999999999</v>
      </c>
      <c r="J1703" s="11" t="s">
        <v>2328</v>
      </c>
    </row>
    <row r="1704" spans="1:10" ht="13.15" customHeight="1" x14ac:dyDescent="0.25">
      <c r="A1704">
        <f t="shared" si="196"/>
        <v>1699</v>
      </c>
      <c r="B1704" t="s">
        <v>2326</v>
      </c>
      <c r="C1704" s="2">
        <v>0.46111111111111114</v>
      </c>
      <c r="D1704" s="4">
        <f t="shared" si="194"/>
        <v>0.17500000000000004</v>
      </c>
      <c r="E1704" s="6">
        <v>0.28611111111111109</v>
      </c>
      <c r="F1704" s="5">
        <f t="shared" si="197"/>
        <v>0.62048192771084332</v>
      </c>
      <c r="G1704" s="5">
        <v>0.89900000000000002</v>
      </c>
      <c r="H1704" s="4">
        <f>80.4/1440</f>
        <v>5.5833333333333339E-2</v>
      </c>
      <c r="I1704" s="5">
        <v>0.17499999999999999</v>
      </c>
      <c r="J1704" s="11" t="s">
        <v>2328</v>
      </c>
    </row>
    <row r="1705" spans="1:10" ht="13.15" customHeight="1" x14ac:dyDescent="0.25">
      <c r="A1705">
        <f t="shared" si="196"/>
        <v>1700</v>
      </c>
      <c r="B1705" t="s">
        <v>2329</v>
      </c>
      <c r="C1705" s="2">
        <v>0.39097222222222222</v>
      </c>
      <c r="D1705" s="4">
        <f t="shared" si="194"/>
        <v>0.10347222222222224</v>
      </c>
      <c r="E1705" s="6">
        <v>0.28749999999999998</v>
      </c>
      <c r="F1705" s="5">
        <f t="shared" si="197"/>
        <v>0.73534635879218468</v>
      </c>
      <c r="G1705" s="5">
        <v>0.78</v>
      </c>
      <c r="H1705" s="4">
        <f>58.3/1440</f>
        <v>4.0486111111111112E-2</v>
      </c>
      <c r="I1705" s="5">
        <v>0.11</v>
      </c>
      <c r="J1705" s="11" t="s">
        <v>2338</v>
      </c>
    </row>
    <row r="1706" spans="1:10" ht="13.15" customHeight="1" x14ac:dyDescent="0.25">
      <c r="A1706">
        <f t="shared" si="196"/>
        <v>1701</v>
      </c>
      <c r="B1706" t="s">
        <v>2330</v>
      </c>
      <c r="C1706" s="2">
        <v>0.44166666666666665</v>
      </c>
      <c r="D1706" s="4">
        <f t="shared" si="194"/>
        <v>0.11458333333333331</v>
      </c>
      <c r="E1706" s="6">
        <v>0.32708333333333334</v>
      </c>
      <c r="F1706" s="5">
        <f t="shared" si="197"/>
        <v>0.74056603773584906</v>
      </c>
      <c r="G1706" s="5">
        <v>0.77400000000000002</v>
      </c>
      <c r="H1706" s="4">
        <f>60.7/1440</f>
        <v>4.2152777777777782E-2</v>
      </c>
      <c r="I1706" s="5">
        <v>0.1</v>
      </c>
      <c r="J1706" s="11" t="s">
        <v>2338</v>
      </c>
    </row>
    <row r="1707" spans="1:10" ht="13.15" customHeight="1" x14ac:dyDescent="0.25">
      <c r="A1707">
        <f t="shared" si="196"/>
        <v>1702</v>
      </c>
      <c r="B1707" t="s">
        <v>2331</v>
      </c>
      <c r="C1707" s="2">
        <v>0.34930555555555554</v>
      </c>
      <c r="D1707" s="4">
        <f t="shared" si="194"/>
        <v>0.10347222222222222</v>
      </c>
      <c r="E1707" s="6">
        <v>0.24583333333333332</v>
      </c>
      <c r="F1707" s="5">
        <f t="shared" si="197"/>
        <v>0.70377733598409542</v>
      </c>
      <c r="G1707" s="5">
        <v>0.65200000000000002</v>
      </c>
      <c r="H1707" s="4">
        <f>63.5/1440</f>
        <v>4.4097222222222225E-2</v>
      </c>
      <c r="I1707" s="5">
        <v>0.11700000000000001</v>
      </c>
      <c r="J1707" s="11" t="s">
        <v>2338</v>
      </c>
    </row>
    <row r="1708" spans="1:10" ht="13.15" customHeight="1" x14ac:dyDescent="0.25">
      <c r="A1708">
        <f t="shared" si="196"/>
        <v>1703</v>
      </c>
      <c r="B1708" t="s">
        <v>2332</v>
      </c>
      <c r="C1708" s="2">
        <v>0.40763888888888888</v>
      </c>
      <c r="D1708" s="4">
        <f t="shared" si="194"/>
        <v>0.12708333333333333</v>
      </c>
      <c r="E1708" s="6">
        <v>0.28055555555555556</v>
      </c>
      <c r="F1708" s="5">
        <f t="shared" si="197"/>
        <v>0.68824531516183984</v>
      </c>
      <c r="G1708" s="5">
        <v>0.71399999999999997</v>
      </c>
      <c r="H1708" s="4">
        <f>50.5/1440</f>
        <v>3.5069444444444445E-2</v>
      </c>
      <c r="I1708" s="5">
        <v>8.8999999999999996E-2</v>
      </c>
      <c r="J1708" s="11" t="s">
        <v>2338</v>
      </c>
    </row>
    <row r="1709" spans="1:10" ht="13.15" customHeight="1" x14ac:dyDescent="0.25">
      <c r="A1709">
        <f t="shared" si="196"/>
        <v>1704</v>
      </c>
      <c r="B1709" t="s">
        <v>2333</v>
      </c>
      <c r="C1709" s="2">
        <v>0.35138888888888886</v>
      </c>
      <c r="D1709" s="4">
        <f t="shared" si="194"/>
        <v>8.4722222222222199E-2</v>
      </c>
      <c r="E1709" s="6">
        <v>0.26666666666666666</v>
      </c>
      <c r="F1709" s="5">
        <f t="shared" si="197"/>
        <v>0.75889328063241113</v>
      </c>
      <c r="G1709" s="5">
        <v>0.81599999999999995</v>
      </c>
      <c r="H1709" s="4">
        <f>54.3/1440</f>
        <v>3.770833333333333E-2</v>
      </c>
      <c r="I1709" s="5">
        <v>0.115</v>
      </c>
      <c r="J1709" s="11" t="s">
        <v>2338</v>
      </c>
    </row>
    <row r="1710" spans="1:10" ht="13.15" customHeight="1" x14ac:dyDescent="0.25">
      <c r="A1710">
        <f t="shared" si="196"/>
        <v>1705</v>
      </c>
      <c r="B1710" t="s">
        <v>2334</v>
      </c>
      <c r="C1710" s="2">
        <v>0.37847222222222221</v>
      </c>
      <c r="D1710" s="4">
        <f t="shared" si="194"/>
        <v>0.11180555555555555</v>
      </c>
      <c r="E1710" s="6">
        <v>0.26666666666666666</v>
      </c>
      <c r="F1710" s="5">
        <f t="shared" si="197"/>
        <v>0.70458715596330279</v>
      </c>
      <c r="G1710" s="5">
        <v>0.79700000000000004</v>
      </c>
      <c r="H1710" s="4">
        <f>55.7/1440</f>
        <v>3.8680555555555558E-2</v>
      </c>
      <c r="I1710" s="5">
        <v>0.115</v>
      </c>
      <c r="J1710" s="11" t="s">
        <v>2339</v>
      </c>
    </row>
    <row r="1711" spans="1:10" ht="13.15" customHeight="1" x14ac:dyDescent="0.25">
      <c r="A1711">
        <f t="shared" si="196"/>
        <v>1706</v>
      </c>
      <c r="B1711" t="s">
        <v>2335</v>
      </c>
      <c r="C1711" s="2">
        <v>0.47847222222222224</v>
      </c>
      <c r="D1711" s="4">
        <f t="shared" si="194"/>
        <v>0.13750000000000001</v>
      </c>
      <c r="E1711" s="6">
        <v>0.34097222222222223</v>
      </c>
      <c r="F1711" s="5">
        <f t="shared" si="197"/>
        <v>0.71262699564586351</v>
      </c>
      <c r="G1711" s="5">
        <v>0.92800000000000005</v>
      </c>
      <c r="H1711" s="4">
        <f>57.4/1440</f>
        <v>3.9861111111111111E-2</v>
      </c>
      <c r="I1711" s="5">
        <v>0.108</v>
      </c>
      <c r="J1711" s="11" t="s">
        <v>2339</v>
      </c>
    </row>
    <row r="1712" spans="1:10" ht="13.15" customHeight="1" x14ac:dyDescent="0.25">
      <c r="A1712">
        <f t="shared" si="196"/>
        <v>1707</v>
      </c>
      <c r="B1712" t="s">
        <v>2336</v>
      </c>
      <c r="C1712" s="2">
        <v>0.47430555555555554</v>
      </c>
      <c r="D1712" s="4">
        <f t="shared" si="194"/>
        <v>0.12361111111111112</v>
      </c>
      <c r="E1712" s="6">
        <v>0.35069444444444442</v>
      </c>
      <c r="F1712" s="5">
        <f t="shared" si="197"/>
        <v>0.73938506588579789</v>
      </c>
      <c r="G1712" s="5">
        <v>0.877</v>
      </c>
      <c r="H1712" s="4">
        <f>60.2/1440</f>
        <v>4.1805555555555554E-2</v>
      </c>
      <c r="I1712" s="5">
        <v>0.104</v>
      </c>
      <c r="J1712" s="11" t="s">
        <v>2339</v>
      </c>
    </row>
    <row r="1713" spans="1:10" ht="13.15" customHeight="1" x14ac:dyDescent="0.25">
      <c r="A1713">
        <f t="shared" si="196"/>
        <v>1708</v>
      </c>
      <c r="B1713" t="s">
        <v>2337</v>
      </c>
      <c r="C1713" s="2">
        <v>0.40069444444444446</v>
      </c>
      <c r="D1713" s="4">
        <f t="shared" si="194"/>
        <v>7.9166666666666663E-2</v>
      </c>
      <c r="E1713" s="6">
        <v>0.3215277777777778</v>
      </c>
      <c r="F1713" s="5">
        <f t="shared" si="197"/>
        <v>0.8024263431542461</v>
      </c>
      <c r="G1713" s="5">
        <v>0.85699999999999998</v>
      </c>
      <c r="H1713" s="4">
        <f>73.2/1440</f>
        <v>5.0833333333333335E-2</v>
      </c>
      <c r="I1713" s="5">
        <v>0.13500000000000001</v>
      </c>
      <c r="J1713" s="11" t="s">
        <v>2339</v>
      </c>
    </row>
    <row r="1714" spans="1:10" ht="13.15" customHeight="1" x14ac:dyDescent="0.25">
      <c r="A1714">
        <f t="shared" si="196"/>
        <v>1709</v>
      </c>
      <c r="B1714" t="s">
        <v>2340</v>
      </c>
      <c r="C1714" s="2">
        <v>0.41111111111111109</v>
      </c>
      <c r="D1714" s="4">
        <f t="shared" si="194"/>
        <v>0.10624999999999996</v>
      </c>
      <c r="E1714" s="6">
        <v>0.30486111111111114</v>
      </c>
      <c r="F1714" s="5">
        <f t="shared" si="197"/>
        <v>0.74155405405405417</v>
      </c>
      <c r="G1714" s="5">
        <v>0.79600000000000004</v>
      </c>
      <c r="H1714" s="4">
        <f>60.3/1440</f>
        <v>4.1874999999999996E-2</v>
      </c>
      <c r="I1714" s="5">
        <v>0.109</v>
      </c>
      <c r="J1714" s="11" t="s">
        <v>2349</v>
      </c>
    </row>
    <row r="1715" spans="1:10" ht="13.15" customHeight="1" x14ac:dyDescent="0.25">
      <c r="A1715">
        <f t="shared" si="196"/>
        <v>1710</v>
      </c>
      <c r="B1715" t="s">
        <v>2341</v>
      </c>
      <c r="C1715" s="2">
        <v>0.41944444444444445</v>
      </c>
      <c r="D1715" s="4">
        <f t="shared" si="194"/>
        <v>0.1111111111111111</v>
      </c>
      <c r="E1715" s="6">
        <v>0.30833333333333335</v>
      </c>
      <c r="F1715" s="5">
        <f t="shared" si="197"/>
        <v>0.73509933774834435</v>
      </c>
      <c r="G1715" s="5">
        <v>0.84799999999999998</v>
      </c>
      <c r="H1715" s="4">
        <f>68.3/1440</f>
        <v>4.7430555555555552E-2</v>
      </c>
      <c r="I1715" s="5">
        <v>0.13</v>
      </c>
      <c r="J1715" s="11" t="s">
        <v>2349</v>
      </c>
    </row>
    <row r="1716" spans="1:10" ht="13.15" customHeight="1" x14ac:dyDescent="0.25">
      <c r="A1716">
        <f t="shared" si="196"/>
        <v>1711</v>
      </c>
      <c r="B1716" t="s">
        <v>2342</v>
      </c>
      <c r="C1716" s="2">
        <v>0.38333333333333336</v>
      </c>
      <c r="D1716" s="4">
        <f t="shared" si="194"/>
        <v>0.1027777777777778</v>
      </c>
      <c r="E1716" s="6">
        <v>0.28055555555555556</v>
      </c>
      <c r="F1716" s="5">
        <f t="shared" si="197"/>
        <v>0.73188405797101441</v>
      </c>
      <c r="G1716" s="5">
        <v>0.755</v>
      </c>
      <c r="H1716" s="4">
        <f>51.3/1440</f>
        <v>3.5624999999999997E-2</v>
      </c>
      <c r="I1716" s="5">
        <v>9.6000000000000002E-2</v>
      </c>
      <c r="J1716" s="11" t="s">
        <v>2349</v>
      </c>
    </row>
    <row r="1717" spans="1:10" ht="13.15" customHeight="1" x14ac:dyDescent="0.25">
      <c r="A1717">
        <f t="shared" si="196"/>
        <v>1712</v>
      </c>
      <c r="B1717" t="s">
        <v>2343</v>
      </c>
      <c r="C1717" s="2">
        <v>0.37916666666666665</v>
      </c>
      <c r="D1717" s="4">
        <f t="shared" si="194"/>
        <v>9.9999999999999978E-2</v>
      </c>
      <c r="E1717" s="6">
        <v>0.27916666666666667</v>
      </c>
      <c r="F1717" s="5">
        <f t="shared" si="197"/>
        <v>0.73626373626373631</v>
      </c>
      <c r="G1717" s="5">
        <v>0.70599999999999996</v>
      </c>
      <c r="H1717" s="4">
        <f>51.2/1440</f>
        <v>3.5555555555555556E-2</v>
      </c>
      <c r="I1717" s="5">
        <v>0.09</v>
      </c>
      <c r="J1717" s="11" t="s">
        <v>2349</v>
      </c>
    </row>
    <row r="1718" spans="1:10" ht="13.15" customHeight="1" x14ac:dyDescent="0.25">
      <c r="A1718">
        <f t="shared" si="196"/>
        <v>1713</v>
      </c>
      <c r="B1718" t="s">
        <v>2344</v>
      </c>
      <c r="C1718" s="2">
        <v>0.41111111111111109</v>
      </c>
      <c r="D1718" s="4">
        <f t="shared" si="194"/>
        <v>0.10138888888888886</v>
      </c>
      <c r="E1718" s="6">
        <v>0.30972222222222223</v>
      </c>
      <c r="F1718" s="5">
        <f t="shared" si="197"/>
        <v>0.7533783783783784</v>
      </c>
      <c r="G1718" s="5">
        <v>0.81799999999999995</v>
      </c>
      <c r="H1718" s="4">
        <f>62/1440</f>
        <v>4.3055555555555555E-2</v>
      </c>
      <c r="I1718" s="5">
        <v>0.114</v>
      </c>
      <c r="J1718" s="11" t="s">
        <v>2349</v>
      </c>
    </row>
    <row r="1719" spans="1:10" ht="13.15" customHeight="1" x14ac:dyDescent="0.25">
      <c r="A1719">
        <f t="shared" si="196"/>
        <v>1714</v>
      </c>
      <c r="B1719" t="s">
        <v>2345</v>
      </c>
      <c r="C1719" s="2">
        <v>0.40833333333333333</v>
      </c>
      <c r="D1719" s="4">
        <f t="shared" si="194"/>
        <v>0.10555555555555557</v>
      </c>
      <c r="E1719" s="6">
        <v>0.30277777777777776</v>
      </c>
      <c r="F1719" s="5">
        <f t="shared" si="197"/>
        <v>0.74149659863945572</v>
      </c>
      <c r="G1719" s="5">
        <v>0.79500000000000004</v>
      </c>
      <c r="H1719" s="4">
        <f>57.4/1440</f>
        <v>3.9861111111111111E-2</v>
      </c>
      <c r="I1719" s="5">
        <v>0.104</v>
      </c>
      <c r="J1719" s="11" t="s">
        <v>2350</v>
      </c>
    </row>
    <row r="1720" spans="1:10" ht="13.15" customHeight="1" x14ac:dyDescent="0.25">
      <c r="A1720">
        <f t="shared" si="196"/>
        <v>1715</v>
      </c>
      <c r="B1720" t="s">
        <v>2346</v>
      </c>
      <c r="C1720" s="2">
        <v>0.47499999999999998</v>
      </c>
      <c r="D1720" s="4">
        <f t="shared" si="194"/>
        <v>0.12013888888888885</v>
      </c>
      <c r="E1720" s="6">
        <v>0.35486111111111113</v>
      </c>
      <c r="F1720" s="5">
        <f t="shared" si="197"/>
        <v>0.74707602339181289</v>
      </c>
      <c r="G1720" s="5">
        <v>0.82099999999999995</v>
      </c>
      <c r="H1720" s="4">
        <f>60.4/1440</f>
        <v>4.1944444444444444E-2</v>
      </c>
      <c r="I1720" s="5">
        <v>9.7000000000000003E-2</v>
      </c>
      <c r="J1720" s="11" t="s">
        <v>2350</v>
      </c>
    </row>
    <row r="1721" spans="1:10" ht="13.15" customHeight="1" x14ac:dyDescent="0.25">
      <c r="A1721">
        <f t="shared" si="196"/>
        <v>1716</v>
      </c>
      <c r="B1721" t="s">
        <v>2347</v>
      </c>
      <c r="C1721" s="2">
        <v>0.46319444444444446</v>
      </c>
      <c r="D1721" s="4">
        <f t="shared" si="194"/>
        <v>0.125</v>
      </c>
      <c r="E1721" s="6">
        <v>0.33819444444444446</v>
      </c>
      <c r="F1721" s="5">
        <f t="shared" si="197"/>
        <v>0.73013493253373318</v>
      </c>
      <c r="G1721" s="5">
        <v>0.80300000000000005</v>
      </c>
      <c r="H1721" s="4">
        <f>58.6/1440</f>
        <v>4.0694444444444443E-2</v>
      </c>
      <c r="I1721" s="5">
        <v>9.7000000000000003E-2</v>
      </c>
      <c r="J1721" s="11" t="s">
        <v>2350</v>
      </c>
    </row>
    <row r="1722" spans="1:10" ht="13.15" customHeight="1" x14ac:dyDescent="0.25">
      <c r="A1722">
        <f t="shared" si="196"/>
        <v>1717</v>
      </c>
      <c r="B1722" t="s">
        <v>2348</v>
      </c>
      <c r="C1722" s="2">
        <v>0.43333333333333335</v>
      </c>
      <c r="D1722" s="4">
        <f t="shared" si="194"/>
        <v>0.10208333333333336</v>
      </c>
      <c r="E1722" s="6">
        <v>0.33124999999999999</v>
      </c>
      <c r="F1722" s="5">
        <f t="shared" si="197"/>
        <v>0.76442307692307687</v>
      </c>
      <c r="G1722" s="5">
        <v>0.84199999999999997</v>
      </c>
      <c r="H1722" s="4">
        <f>77.6/1440</f>
        <v>5.3888888888888882E-2</v>
      </c>
      <c r="I1722" s="5">
        <v>0.13700000000000001</v>
      </c>
      <c r="J1722" s="11" t="s">
        <v>2350</v>
      </c>
    </row>
    <row r="1723" spans="1:10" ht="13.15" customHeight="1" x14ac:dyDescent="0.25">
      <c r="A1723">
        <f t="shared" si="196"/>
        <v>1718</v>
      </c>
      <c r="B1723" t="s">
        <v>2351</v>
      </c>
      <c r="C1723" s="2">
        <v>0.43125000000000002</v>
      </c>
      <c r="D1723" s="4">
        <f t="shared" ref="D1723:D1731" si="198">C1723-E1723</f>
        <v>0.10555555555555557</v>
      </c>
      <c r="E1723" s="6">
        <v>0.32569444444444445</v>
      </c>
      <c r="F1723" s="5">
        <f t="shared" ref="F1723:F1731" si="199">E1723/C1723</f>
        <v>0.75523349436392917</v>
      </c>
      <c r="G1723" s="5">
        <v>0.81200000000000006</v>
      </c>
      <c r="H1723" s="4">
        <f>59.8/1440</f>
        <v>4.1527777777777775E-2</v>
      </c>
      <c r="I1723" s="5">
        <v>0.10299999999999999</v>
      </c>
      <c r="J1723" s="11" t="s">
        <v>2360</v>
      </c>
    </row>
    <row r="1724" spans="1:10" ht="13.15" customHeight="1" x14ac:dyDescent="0.25">
      <c r="A1724">
        <f t="shared" si="196"/>
        <v>1719</v>
      </c>
      <c r="B1724" t="s">
        <v>2352</v>
      </c>
      <c r="C1724" s="2">
        <v>0.44097222222222221</v>
      </c>
      <c r="D1724" s="4">
        <f t="shared" si="198"/>
        <v>9.3055555555555558E-2</v>
      </c>
      <c r="E1724" s="6">
        <v>0.34791666666666665</v>
      </c>
      <c r="F1724" s="5">
        <f t="shared" si="199"/>
        <v>0.78897637795275588</v>
      </c>
      <c r="G1724" s="5">
        <v>0.84399999999999997</v>
      </c>
      <c r="H1724" s="4">
        <f>64.5/1440</f>
        <v>4.4791666666666667E-2</v>
      </c>
      <c r="I1724" s="5">
        <v>0.109</v>
      </c>
      <c r="J1724" s="11" t="s">
        <v>2360</v>
      </c>
    </row>
    <row r="1725" spans="1:10" ht="13.15" customHeight="1" x14ac:dyDescent="0.25">
      <c r="A1725">
        <f t="shared" si="196"/>
        <v>1720</v>
      </c>
      <c r="B1725" t="s">
        <v>2353</v>
      </c>
      <c r="C1725" s="2">
        <v>0.40138888888888891</v>
      </c>
      <c r="D1725" s="4">
        <f t="shared" si="198"/>
        <v>0.10486111111111113</v>
      </c>
      <c r="E1725" s="6">
        <v>0.29652777777777778</v>
      </c>
      <c r="F1725" s="5">
        <f t="shared" si="199"/>
        <v>0.73875432525951557</v>
      </c>
      <c r="G1725" s="5">
        <v>0.78800000000000003</v>
      </c>
      <c r="H1725" s="4">
        <f>52.5/1440</f>
        <v>3.6458333333333336E-2</v>
      </c>
      <c r="I1725" s="5">
        <v>9.7000000000000003E-2</v>
      </c>
      <c r="J1725" s="11" t="s">
        <v>2360</v>
      </c>
    </row>
    <row r="1726" spans="1:10" ht="13.15" customHeight="1" x14ac:dyDescent="0.25">
      <c r="A1726">
        <f t="shared" si="196"/>
        <v>1721</v>
      </c>
      <c r="B1726" t="s">
        <v>2354</v>
      </c>
      <c r="C1726" s="2">
        <v>0.40555555555555556</v>
      </c>
      <c r="D1726" s="4">
        <f t="shared" si="198"/>
        <v>0.10833333333333334</v>
      </c>
      <c r="E1726" s="6">
        <v>0.29722222222222222</v>
      </c>
      <c r="F1726" s="5">
        <f t="shared" si="199"/>
        <v>0.73287671232876717</v>
      </c>
      <c r="G1726" s="5">
        <v>0.72899999999999998</v>
      </c>
      <c r="H1726" s="4">
        <f>50.4/1440</f>
        <v>3.4999999999999996E-2</v>
      </c>
      <c r="I1726" s="5">
        <v>8.5999999999999993E-2</v>
      </c>
      <c r="J1726" s="11" t="s">
        <v>2360</v>
      </c>
    </row>
    <row r="1727" spans="1:10" ht="13.15" customHeight="1" x14ac:dyDescent="0.25">
      <c r="A1727">
        <f t="shared" si="196"/>
        <v>1722</v>
      </c>
      <c r="B1727" t="s">
        <v>2355</v>
      </c>
      <c r="C1727" s="2">
        <v>0.41180555555555554</v>
      </c>
      <c r="D1727" s="4">
        <f t="shared" si="198"/>
        <v>9.9305555555555536E-2</v>
      </c>
      <c r="E1727" s="6">
        <v>0.3125</v>
      </c>
      <c r="F1727" s="5">
        <f t="shared" si="199"/>
        <v>0.75885328836424959</v>
      </c>
      <c r="G1727" s="5">
        <v>0.83299999999999996</v>
      </c>
      <c r="H1727" s="4">
        <f>63.8/1440</f>
        <v>4.4305555555555556E-2</v>
      </c>
      <c r="I1727" s="5">
        <v>0.11799999999999999</v>
      </c>
      <c r="J1727" s="11" t="s">
        <v>2360</v>
      </c>
    </row>
    <row r="1728" spans="1:10" ht="13.15" customHeight="1" x14ac:dyDescent="0.25">
      <c r="A1728">
        <f t="shared" si="196"/>
        <v>1723</v>
      </c>
      <c r="B1728" t="s">
        <v>2356</v>
      </c>
      <c r="C1728" s="2">
        <v>0.44374999999999998</v>
      </c>
      <c r="D1728" s="4">
        <f t="shared" si="198"/>
        <v>0.11388888888888887</v>
      </c>
      <c r="E1728" s="6">
        <v>0.3298611111111111</v>
      </c>
      <c r="F1728" s="5">
        <f t="shared" si="199"/>
        <v>0.74334898278560257</v>
      </c>
      <c r="G1728" s="5">
        <v>0.83399999999999996</v>
      </c>
      <c r="H1728" s="4">
        <f>63.1/1440</f>
        <v>4.3819444444444446E-2</v>
      </c>
      <c r="I1728" s="5">
        <v>0.111</v>
      </c>
      <c r="J1728" s="11" t="s">
        <v>2361</v>
      </c>
    </row>
    <row r="1729" spans="1:10" ht="13.15" customHeight="1" x14ac:dyDescent="0.25">
      <c r="A1729">
        <f t="shared" si="196"/>
        <v>1724</v>
      </c>
      <c r="B1729" t="s">
        <v>2357</v>
      </c>
      <c r="C1729" s="2">
        <v>0.48680555555555555</v>
      </c>
      <c r="D1729" s="4">
        <f t="shared" si="198"/>
        <v>0.11805555555555552</v>
      </c>
      <c r="E1729" s="6">
        <v>0.36875000000000002</v>
      </c>
      <c r="F1729" s="5">
        <f t="shared" si="199"/>
        <v>0.75748930099857348</v>
      </c>
      <c r="G1729" s="5">
        <v>0.83799999999999997</v>
      </c>
      <c r="H1729" s="4">
        <f>62.6/1440</f>
        <v>4.3472222222222225E-2</v>
      </c>
      <c r="I1729" s="5">
        <v>9.9000000000000005E-2</v>
      </c>
      <c r="J1729" s="11" t="s">
        <v>2361</v>
      </c>
    </row>
    <row r="1730" spans="1:10" ht="13.15" customHeight="1" x14ac:dyDescent="0.25">
      <c r="A1730">
        <f t="shared" si="196"/>
        <v>1725</v>
      </c>
      <c r="B1730" t="s">
        <v>2358</v>
      </c>
      <c r="C1730" s="2">
        <v>0.4548611111111111</v>
      </c>
      <c r="D1730" s="4">
        <f t="shared" si="198"/>
        <v>0.10486111111111113</v>
      </c>
      <c r="E1730" s="6">
        <v>0.35</v>
      </c>
      <c r="F1730" s="5">
        <f t="shared" si="199"/>
        <v>0.76946564885496183</v>
      </c>
      <c r="G1730" s="5">
        <v>0.84199999999999997</v>
      </c>
      <c r="H1730" s="4">
        <f>64.5/1440</f>
        <v>4.4791666666666667E-2</v>
      </c>
      <c r="I1730" s="5">
        <v>0.108</v>
      </c>
      <c r="J1730" s="11" t="s">
        <v>2361</v>
      </c>
    </row>
    <row r="1731" spans="1:10" ht="13.15" customHeight="1" x14ac:dyDescent="0.25">
      <c r="A1731">
        <f t="shared" si="196"/>
        <v>1726</v>
      </c>
      <c r="B1731" t="s">
        <v>2359</v>
      </c>
      <c r="C1731" s="2">
        <v>0.48541666666666666</v>
      </c>
      <c r="D1731" s="4">
        <f t="shared" si="198"/>
        <v>0.11666666666666664</v>
      </c>
      <c r="E1731" s="6">
        <v>0.36875000000000002</v>
      </c>
      <c r="F1731" s="5">
        <f t="shared" si="199"/>
        <v>0.75965665236051505</v>
      </c>
      <c r="G1731" s="5">
        <v>0.84499999999999997</v>
      </c>
      <c r="H1731" s="4">
        <f>67.1/1440</f>
        <v>4.659722222222222E-2</v>
      </c>
      <c r="I1731" s="5">
        <v>0.107</v>
      </c>
      <c r="J1731" s="11" t="s">
        <v>2361</v>
      </c>
    </row>
    <row r="1732" spans="1:10" ht="13.15" customHeight="1" x14ac:dyDescent="0.25">
      <c r="A1732">
        <f t="shared" si="196"/>
        <v>1727</v>
      </c>
      <c r="B1732" t="s">
        <v>2362</v>
      </c>
      <c r="C1732" s="2">
        <v>0.41319444444444442</v>
      </c>
      <c r="D1732" s="4">
        <f t="shared" ref="D1732:D1740" si="200">C1732-E1732</f>
        <v>0.10972222222222222</v>
      </c>
      <c r="E1732" s="6">
        <v>0.3034722222222222</v>
      </c>
      <c r="F1732" s="5">
        <f t="shared" ref="F1732:F1740" si="201">E1732/C1732</f>
        <v>0.73445378151260499</v>
      </c>
      <c r="G1732" s="5">
        <v>0.76</v>
      </c>
      <c r="H1732" s="4">
        <f>57.5/1440</f>
        <v>3.9930555555555552E-2</v>
      </c>
      <c r="I1732" s="5">
        <v>0.1</v>
      </c>
      <c r="J1732" s="11" t="s">
        <v>2371</v>
      </c>
    </row>
    <row r="1733" spans="1:10" ht="13.15" customHeight="1" x14ac:dyDescent="0.25">
      <c r="A1733">
        <f t="shared" si="196"/>
        <v>1728</v>
      </c>
      <c r="B1733" t="s">
        <v>2363</v>
      </c>
      <c r="C1733" s="2">
        <v>0.42708333333333331</v>
      </c>
      <c r="D1733" s="4">
        <f t="shared" si="200"/>
        <v>0.1076388888888889</v>
      </c>
      <c r="E1733" s="6">
        <v>0.31944444444444442</v>
      </c>
      <c r="F1733" s="5">
        <f t="shared" si="201"/>
        <v>0.74796747967479671</v>
      </c>
      <c r="G1733" s="5">
        <v>0.78700000000000003</v>
      </c>
      <c r="H1733" s="4">
        <f>63.4/1440</f>
        <v>4.4027777777777777E-2</v>
      </c>
      <c r="I1733" s="5">
        <v>0.108</v>
      </c>
      <c r="J1733" s="11" t="s">
        <v>2371</v>
      </c>
    </row>
    <row r="1734" spans="1:10" ht="13.15" customHeight="1" x14ac:dyDescent="0.25">
      <c r="A1734">
        <f t="shared" si="196"/>
        <v>1729</v>
      </c>
      <c r="B1734" t="s">
        <v>2364</v>
      </c>
      <c r="C1734" s="2">
        <v>0.38819444444444445</v>
      </c>
      <c r="D1734" s="4">
        <f t="shared" si="200"/>
        <v>0.11041666666666666</v>
      </c>
      <c r="E1734" s="6">
        <v>0.27777777777777779</v>
      </c>
      <c r="F1734" s="5">
        <f t="shared" si="201"/>
        <v>0.7155635062611807</v>
      </c>
      <c r="G1734" s="5">
        <v>0.73799999999999999</v>
      </c>
      <c r="H1734" s="4">
        <f>51.3/1440</f>
        <v>3.5624999999999997E-2</v>
      </c>
      <c r="I1734" s="5">
        <v>9.4E-2</v>
      </c>
      <c r="J1734" s="11" t="s">
        <v>2371</v>
      </c>
    </row>
    <row r="1735" spans="1:10" ht="13.15" customHeight="1" x14ac:dyDescent="0.25">
      <c r="A1735">
        <f t="shared" si="196"/>
        <v>1730</v>
      </c>
      <c r="B1735" t="s">
        <v>2365</v>
      </c>
      <c r="C1735" s="2">
        <v>0.39097222222222222</v>
      </c>
      <c r="D1735" s="4">
        <f t="shared" si="200"/>
        <v>0.11041666666666666</v>
      </c>
      <c r="E1735" s="6">
        <v>0.28055555555555556</v>
      </c>
      <c r="F1735" s="5">
        <f t="shared" si="201"/>
        <v>0.71758436944937831</v>
      </c>
      <c r="G1735" s="5">
        <v>0.72299999999999998</v>
      </c>
      <c r="H1735" s="4">
        <f>49.7/1440</f>
        <v>3.4513888888888893E-2</v>
      </c>
      <c r="I1735" s="5">
        <v>8.8999999999999996E-2</v>
      </c>
      <c r="J1735" s="11" t="s">
        <v>2371</v>
      </c>
    </row>
    <row r="1736" spans="1:10" ht="13.15" customHeight="1" x14ac:dyDescent="0.25">
      <c r="A1736">
        <f t="shared" si="196"/>
        <v>1731</v>
      </c>
      <c r="B1736" t="s">
        <v>2366</v>
      </c>
      <c r="C1736" s="2">
        <v>0.43472222222222223</v>
      </c>
      <c r="D1736" s="4">
        <f t="shared" si="200"/>
        <v>0.10416666666666669</v>
      </c>
      <c r="E1736" s="6">
        <v>0.33055555555555555</v>
      </c>
      <c r="F1736" s="5">
        <f t="shared" si="201"/>
        <v>0.76038338658146964</v>
      </c>
      <c r="G1736" s="5">
        <v>0.751</v>
      </c>
      <c r="H1736" s="4">
        <f>64.7/1440</f>
        <v>4.4930555555555557E-2</v>
      </c>
      <c r="I1736" s="5">
        <v>0.10199999999999999</v>
      </c>
      <c r="J1736" s="11" t="s">
        <v>2371</v>
      </c>
    </row>
    <row r="1737" spans="1:10" ht="13.15" customHeight="1" x14ac:dyDescent="0.25">
      <c r="A1737">
        <f t="shared" si="196"/>
        <v>1732</v>
      </c>
      <c r="B1737" t="s">
        <v>2367</v>
      </c>
      <c r="C1737" s="2">
        <v>0.42499999999999999</v>
      </c>
      <c r="D1737" s="4">
        <f t="shared" si="200"/>
        <v>0.13611111111111113</v>
      </c>
      <c r="E1737" s="6">
        <v>0.28888888888888886</v>
      </c>
      <c r="F1737" s="5">
        <f t="shared" si="201"/>
        <v>0.67973856209150318</v>
      </c>
      <c r="G1737" s="5">
        <v>0.73499999999999999</v>
      </c>
      <c r="H1737" s="4">
        <f>61/1440</f>
        <v>4.2361111111111113E-2</v>
      </c>
      <c r="I1737" s="5">
        <v>0.108</v>
      </c>
      <c r="J1737" s="11" t="s">
        <v>2372</v>
      </c>
    </row>
    <row r="1738" spans="1:10" ht="13.15" customHeight="1" x14ac:dyDescent="0.25">
      <c r="A1738">
        <f t="shared" si="196"/>
        <v>1733</v>
      </c>
      <c r="B1738" t="s">
        <v>2368</v>
      </c>
      <c r="C1738" s="2">
        <v>0.4152777777777778</v>
      </c>
      <c r="D1738" s="4">
        <f t="shared" si="200"/>
        <v>0.10833333333333334</v>
      </c>
      <c r="E1738" s="6">
        <v>0.30694444444444446</v>
      </c>
      <c r="F1738" s="5">
        <f t="shared" si="201"/>
        <v>0.73913043478260865</v>
      </c>
      <c r="G1738" s="5">
        <v>0.82199999999999995</v>
      </c>
      <c r="H1738" s="4">
        <f>57.2/1440</f>
        <v>3.9722222222222221E-2</v>
      </c>
      <c r="I1738" s="5">
        <v>0.106</v>
      </c>
      <c r="J1738" s="11" t="s">
        <v>2372</v>
      </c>
    </row>
    <row r="1739" spans="1:10" ht="13.15" customHeight="1" x14ac:dyDescent="0.25">
      <c r="A1739">
        <f t="shared" si="196"/>
        <v>1734</v>
      </c>
      <c r="B1739" t="s">
        <v>2369</v>
      </c>
      <c r="C1739" s="2">
        <v>0.44444444444444442</v>
      </c>
      <c r="D1739" s="4">
        <f t="shared" si="200"/>
        <v>0.1381944444444444</v>
      </c>
      <c r="E1739" s="6">
        <v>0.30625000000000002</v>
      </c>
      <c r="F1739" s="5">
        <f t="shared" si="201"/>
        <v>0.68906250000000013</v>
      </c>
      <c r="G1739" s="5">
        <v>0.752</v>
      </c>
      <c r="H1739" s="4">
        <f>53.1/1440</f>
        <v>3.6874999999999998E-2</v>
      </c>
      <c r="I1739" s="5">
        <v>0.09</v>
      </c>
      <c r="J1739" s="11" t="s">
        <v>2372</v>
      </c>
    </row>
    <row r="1740" spans="1:10" ht="13.15" customHeight="1" x14ac:dyDescent="0.25">
      <c r="A1740">
        <f t="shared" si="196"/>
        <v>1735</v>
      </c>
      <c r="B1740" t="s">
        <v>2370</v>
      </c>
      <c r="C1740" s="2">
        <v>0.48541666666666666</v>
      </c>
      <c r="D1740" s="4">
        <f t="shared" si="200"/>
        <v>0.11041666666666666</v>
      </c>
      <c r="E1740" s="6">
        <v>0.375</v>
      </c>
      <c r="F1740" s="5">
        <f t="shared" si="201"/>
        <v>0.77253218884120167</v>
      </c>
      <c r="G1740" s="5">
        <v>0.79800000000000004</v>
      </c>
      <c r="H1740" s="4">
        <f>62.3/1440</f>
        <v>4.3263888888888886E-2</v>
      </c>
      <c r="I1740" s="5">
        <v>9.1999999999999998E-2</v>
      </c>
      <c r="J1740" s="11" t="s">
        <v>2372</v>
      </c>
    </row>
    <row r="1741" spans="1:10" ht="13.15" customHeight="1" x14ac:dyDescent="0.25">
      <c r="A1741">
        <f t="shared" si="196"/>
        <v>1736</v>
      </c>
      <c r="B1741" t="s">
        <v>2373</v>
      </c>
      <c r="C1741" s="2">
        <v>0.44166666666666665</v>
      </c>
      <c r="D1741" s="4">
        <f t="shared" ref="D1741:D1749" si="202">C1741-E1741</f>
        <v>0.10972222222222222</v>
      </c>
      <c r="E1741" s="6">
        <v>0.33194444444444443</v>
      </c>
      <c r="F1741" s="5">
        <f t="shared" ref="F1741:F1749" si="203">E1741/C1741</f>
        <v>0.7515723270440251</v>
      </c>
      <c r="G1741" s="5">
        <v>0.81</v>
      </c>
      <c r="H1741" s="4">
        <f>57.8/1440</f>
        <v>4.0138888888888884E-2</v>
      </c>
      <c r="I1741" s="5">
        <v>9.8000000000000004E-2</v>
      </c>
      <c r="J1741" s="11" t="s">
        <v>2374</v>
      </c>
    </row>
    <row r="1742" spans="1:10" ht="13.15" customHeight="1" x14ac:dyDescent="0.25">
      <c r="A1742">
        <f t="shared" si="196"/>
        <v>1737</v>
      </c>
      <c r="B1742" t="s">
        <v>2375</v>
      </c>
      <c r="C1742" s="2">
        <v>0.4513888888888889</v>
      </c>
      <c r="D1742" s="4">
        <f t="shared" si="202"/>
        <v>0.10208333333333336</v>
      </c>
      <c r="E1742" s="6">
        <v>0.34930555555555554</v>
      </c>
      <c r="F1742" s="5">
        <f t="shared" si="203"/>
        <v>0.77384615384615374</v>
      </c>
      <c r="G1742" s="5">
        <v>0.873</v>
      </c>
      <c r="H1742" s="4">
        <f>60.9/1440</f>
        <v>4.2291666666666665E-2</v>
      </c>
      <c r="I1742" s="5">
        <v>0.105</v>
      </c>
      <c r="J1742" s="11" t="s">
        <v>2374</v>
      </c>
    </row>
    <row r="1743" spans="1:10" ht="13.15" customHeight="1" x14ac:dyDescent="0.25">
      <c r="A1743">
        <f t="shared" si="196"/>
        <v>1738</v>
      </c>
      <c r="B1743" t="s">
        <v>2376</v>
      </c>
      <c r="C1743" s="2">
        <v>0.41458333333333336</v>
      </c>
      <c r="D1743" s="4">
        <f t="shared" si="202"/>
        <v>0.1118055555555556</v>
      </c>
      <c r="E1743" s="6">
        <v>0.30277777777777776</v>
      </c>
      <c r="F1743" s="5">
        <f t="shared" si="203"/>
        <v>0.73031825795644878</v>
      </c>
      <c r="G1743" s="5">
        <v>0.76</v>
      </c>
      <c r="H1743" s="4">
        <f>51.4/1440</f>
        <v>3.5694444444444445E-2</v>
      </c>
      <c r="I1743" s="5">
        <v>0.09</v>
      </c>
      <c r="J1743" s="11" t="s">
        <v>2374</v>
      </c>
    </row>
    <row r="1744" spans="1:10" ht="13.15" customHeight="1" x14ac:dyDescent="0.25">
      <c r="A1744">
        <f t="shared" si="196"/>
        <v>1739</v>
      </c>
      <c r="B1744" t="s">
        <v>2377</v>
      </c>
      <c r="C1744" s="2">
        <v>0.38263888888888886</v>
      </c>
      <c r="D1744" s="4">
        <f t="shared" si="202"/>
        <v>9.722222222222221E-2</v>
      </c>
      <c r="E1744" s="6">
        <v>0.28541666666666665</v>
      </c>
      <c r="F1744" s="5">
        <f t="shared" si="203"/>
        <v>0.74591651542649728</v>
      </c>
      <c r="G1744" s="5">
        <v>0.74399999999999999</v>
      </c>
      <c r="H1744" s="4">
        <f>55.1/1440</f>
        <v>3.8263888888888889E-2</v>
      </c>
      <c r="I1744" s="5">
        <v>0.1</v>
      </c>
      <c r="J1744" s="11" t="s">
        <v>2374</v>
      </c>
    </row>
    <row r="1745" spans="1:10" ht="13.15" customHeight="1" x14ac:dyDescent="0.25">
      <c r="A1745">
        <f t="shared" si="196"/>
        <v>1740</v>
      </c>
      <c r="B1745" t="s">
        <v>2378</v>
      </c>
      <c r="C1745" s="2">
        <v>0.43819444444444444</v>
      </c>
      <c r="D1745" s="4">
        <f t="shared" si="202"/>
        <v>9.0972222222222232E-2</v>
      </c>
      <c r="E1745" s="6">
        <v>0.34722222222222221</v>
      </c>
      <c r="F1745" s="5">
        <f t="shared" si="203"/>
        <v>0.79239302694136293</v>
      </c>
      <c r="G1745" s="5">
        <v>0.81799999999999995</v>
      </c>
      <c r="H1745" s="4">
        <f>60.3/1440</f>
        <v>4.1874999999999996E-2</v>
      </c>
      <c r="I1745" s="5">
        <v>9.9000000000000005E-2</v>
      </c>
      <c r="J1745" s="11" t="s">
        <v>2374</v>
      </c>
    </row>
    <row r="1746" spans="1:10" ht="13.15" customHeight="1" x14ac:dyDescent="0.25">
      <c r="A1746">
        <f t="shared" si="196"/>
        <v>1741</v>
      </c>
      <c r="B1746" t="s">
        <v>2379</v>
      </c>
      <c r="C1746" s="2">
        <v>0.47569444444444442</v>
      </c>
      <c r="D1746" s="4">
        <f t="shared" si="202"/>
        <v>0.12569444444444444</v>
      </c>
      <c r="E1746" s="6">
        <v>0.35</v>
      </c>
      <c r="F1746" s="5">
        <f t="shared" si="203"/>
        <v>0.73576642335766418</v>
      </c>
      <c r="G1746" s="5">
        <v>0.81399999999999995</v>
      </c>
      <c r="H1746" s="4">
        <f>56.6/1440</f>
        <v>3.9305555555555559E-2</v>
      </c>
      <c r="I1746" s="5">
        <v>9.0999999999999998E-2</v>
      </c>
      <c r="J1746" s="11" t="s">
        <v>2380</v>
      </c>
    </row>
    <row r="1747" spans="1:10" ht="13.15" customHeight="1" x14ac:dyDescent="0.25">
      <c r="A1747">
        <f t="shared" si="196"/>
        <v>1742</v>
      </c>
      <c r="B1747" t="s">
        <v>2381</v>
      </c>
      <c r="C1747" s="2">
        <v>0.46944444444444444</v>
      </c>
      <c r="D1747" s="4">
        <f t="shared" si="202"/>
        <v>0.13055555555555554</v>
      </c>
      <c r="E1747" s="6">
        <v>0.33888888888888891</v>
      </c>
      <c r="F1747" s="5">
        <f t="shared" si="203"/>
        <v>0.72189349112426038</v>
      </c>
      <c r="G1747" s="5">
        <v>0.871</v>
      </c>
      <c r="H1747" s="4">
        <f>63.9/1440</f>
        <v>4.4374999999999998E-2</v>
      </c>
      <c r="I1747" s="5">
        <v>0.114</v>
      </c>
      <c r="J1747" s="11" t="s">
        <v>2380</v>
      </c>
    </row>
    <row r="1748" spans="1:10" ht="13.15" customHeight="1" x14ac:dyDescent="0.25">
      <c r="A1748">
        <f t="shared" si="196"/>
        <v>1743</v>
      </c>
      <c r="B1748" t="s">
        <v>2382</v>
      </c>
      <c r="C1748" s="2">
        <v>0.5395833333333333</v>
      </c>
      <c r="D1748" s="4">
        <f t="shared" si="202"/>
        <v>0.11944444444444441</v>
      </c>
      <c r="E1748" s="6">
        <v>0.4201388888888889</v>
      </c>
      <c r="F1748" s="5">
        <f t="shared" si="203"/>
        <v>0.77863577863577871</v>
      </c>
      <c r="G1748" s="5">
        <v>0.85</v>
      </c>
      <c r="H1748" s="4">
        <f>62/1440</f>
        <v>4.3055555555555555E-2</v>
      </c>
      <c r="I1748" s="5">
        <v>8.6999999999999994E-2</v>
      </c>
      <c r="J1748" s="11" t="s">
        <v>2380</v>
      </c>
    </row>
    <row r="1749" spans="1:10" ht="13.15" customHeight="1" x14ac:dyDescent="0.25">
      <c r="A1749">
        <f t="shared" si="196"/>
        <v>1744</v>
      </c>
      <c r="B1749" t="s">
        <v>2383</v>
      </c>
      <c r="C1749" s="2">
        <v>0.55000000000000004</v>
      </c>
      <c r="D1749" s="4">
        <f t="shared" si="202"/>
        <v>0.15902777777777782</v>
      </c>
      <c r="E1749" s="6">
        <v>0.39097222222222222</v>
      </c>
      <c r="F1749" s="5">
        <f t="shared" si="203"/>
        <v>0.71085858585858575</v>
      </c>
      <c r="G1749" s="5">
        <v>0.81599999999999995</v>
      </c>
      <c r="H1749" s="4">
        <f>56.9/1440</f>
        <v>3.951388888888889E-2</v>
      </c>
      <c r="I1749" s="5">
        <v>8.2000000000000003E-2</v>
      </c>
      <c r="J1749" s="11" t="s">
        <v>2380</v>
      </c>
    </row>
    <row r="1750" spans="1:10" ht="13.15" customHeight="1" x14ac:dyDescent="0.25">
      <c r="A1750">
        <f t="shared" si="196"/>
        <v>1745</v>
      </c>
      <c r="B1750" t="s">
        <v>2384</v>
      </c>
      <c r="C1750" s="2">
        <v>0.38541666666666669</v>
      </c>
      <c r="D1750" s="4">
        <f t="shared" ref="D1750:D1758" si="204">C1750-E1750</f>
        <v>9.4444444444444442E-2</v>
      </c>
      <c r="E1750" s="6">
        <v>0.29097222222222224</v>
      </c>
      <c r="F1750" s="5">
        <f t="shared" ref="F1750:F1758" si="205">E1750/C1750</f>
        <v>0.75495495495495502</v>
      </c>
      <c r="G1750" s="5">
        <v>0.77800000000000002</v>
      </c>
      <c r="H1750" s="4">
        <f>60.8/1440</f>
        <v>4.2222222222222223E-2</v>
      </c>
      <c r="I1750" s="5">
        <v>0.113</v>
      </c>
      <c r="J1750" s="11" t="s">
        <v>2393</v>
      </c>
    </row>
    <row r="1751" spans="1:10" ht="13.15" customHeight="1" x14ac:dyDescent="0.25">
      <c r="A1751">
        <f t="shared" ref="A1751:A1814" si="206">A1750+1</f>
        <v>1746</v>
      </c>
      <c r="B1751" t="s">
        <v>2385</v>
      </c>
      <c r="C1751" s="2">
        <v>0.375</v>
      </c>
      <c r="D1751" s="4">
        <f t="shared" si="204"/>
        <v>8.8888888888888906E-2</v>
      </c>
      <c r="E1751" s="6">
        <v>0.28611111111111109</v>
      </c>
      <c r="F1751" s="5">
        <f t="shared" si="205"/>
        <v>0.76296296296296295</v>
      </c>
      <c r="G1751" s="5">
        <v>0.83099999999999996</v>
      </c>
      <c r="H1751" s="4">
        <f>67.7/1440</f>
        <v>4.701388888888889E-2</v>
      </c>
      <c r="I1751" s="5">
        <v>0.13600000000000001</v>
      </c>
      <c r="J1751" s="11" t="s">
        <v>2393</v>
      </c>
    </row>
    <row r="1752" spans="1:10" ht="13.15" customHeight="1" x14ac:dyDescent="0.25">
      <c r="A1752">
        <f t="shared" si="206"/>
        <v>1747</v>
      </c>
      <c r="B1752" t="s">
        <v>2386</v>
      </c>
      <c r="C1752" s="2">
        <v>0.37361111111111112</v>
      </c>
      <c r="D1752" s="4">
        <f t="shared" si="204"/>
        <v>0.10138888888888892</v>
      </c>
      <c r="E1752" s="6">
        <v>0.2722222222222222</v>
      </c>
      <c r="F1752" s="5">
        <f t="shared" si="205"/>
        <v>0.72862453531598503</v>
      </c>
      <c r="G1752" s="5">
        <v>0.74199999999999999</v>
      </c>
      <c r="H1752" s="4">
        <f>55/1440</f>
        <v>3.8194444444444448E-2</v>
      </c>
      <c r="I1752" s="5">
        <v>0.104</v>
      </c>
      <c r="J1752" s="11" t="s">
        <v>2393</v>
      </c>
    </row>
    <row r="1753" spans="1:10" ht="13.15" customHeight="1" x14ac:dyDescent="0.25">
      <c r="A1753">
        <f t="shared" si="206"/>
        <v>1748</v>
      </c>
      <c r="B1753" t="s">
        <v>2387</v>
      </c>
      <c r="C1753" s="2">
        <v>0.3576388888888889</v>
      </c>
      <c r="D1753" s="4">
        <f t="shared" si="204"/>
        <v>9.4444444444444442E-2</v>
      </c>
      <c r="E1753" s="6">
        <v>0.26319444444444445</v>
      </c>
      <c r="F1753" s="5">
        <f t="shared" si="205"/>
        <v>0.73592233009708741</v>
      </c>
      <c r="G1753" s="5">
        <v>0.65800000000000003</v>
      </c>
      <c r="H1753" s="4">
        <f>50.7/1440</f>
        <v>3.5208333333333335E-2</v>
      </c>
      <c r="I1753" s="5">
        <v>8.7999999999999995E-2</v>
      </c>
      <c r="J1753" s="11" t="s">
        <v>2393</v>
      </c>
    </row>
    <row r="1754" spans="1:10" ht="13.15" customHeight="1" x14ac:dyDescent="0.25">
      <c r="A1754">
        <f t="shared" si="206"/>
        <v>1749</v>
      </c>
      <c r="B1754" t="s">
        <v>2388</v>
      </c>
      <c r="C1754" s="2">
        <v>0.37777777777777777</v>
      </c>
      <c r="D1754" s="4">
        <f t="shared" si="204"/>
        <v>7.8472222222222221E-2</v>
      </c>
      <c r="E1754" s="6">
        <v>0.29930555555555555</v>
      </c>
      <c r="F1754" s="5">
        <f t="shared" si="205"/>
        <v>0.79227941176470584</v>
      </c>
      <c r="G1754" s="5">
        <v>0.81299999999999994</v>
      </c>
      <c r="H1754" s="4">
        <f>61.3/1440</f>
        <v>4.2569444444444444E-2</v>
      </c>
      <c r="I1754" s="5">
        <v>0.11600000000000001</v>
      </c>
      <c r="J1754" s="11" t="s">
        <v>2393</v>
      </c>
    </row>
    <row r="1755" spans="1:10" ht="13.15" customHeight="1" x14ac:dyDescent="0.25">
      <c r="A1755">
        <f t="shared" si="206"/>
        <v>1750</v>
      </c>
      <c r="B1755" t="s">
        <v>2389</v>
      </c>
      <c r="C1755" s="2">
        <v>0.37986111111111109</v>
      </c>
      <c r="D1755" s="4">
        <f t="shared" si="204"/>
        <v>0.10347222222222219</v>
      </c>
      <c r="E1755" s="6">
        <v>0.27638888888888891</v>
      </c>
      <c r="F1755" s="5">
        <f t="shared" si="205"/>
        <v>0.7276051188299818</v>
      </c>
      <c r="G1755" s="5">
        <v>0.76100000000000001</v>
      </c>
      <c r="H1755" s="4">
        <f>57.1/1440</f>
        <v>3.965277777777778E-2</v>
      </c>
      <c r="I1755" s="5">
        <v>0.109</v>
      </c>
      <c r="J1755" s="11" t="s">
        <v>2394</v>
      </c>
    </row>
    <row r="1756" spans="1:10" ht="13.15" customHeight="1" x14ac:dyDescent="0.25">
      <c r="A1756">
        <f t="shared" si="206"/>
        <v>1751</v>
      </c>
      <c r="B1756" t="s">
        <v>2390</v>
      </c>
      <c r="C1756" s="2">
        <v>0.4548611111111111</v>
      </c>
      <c r="D1756" s="4">
        <f t="shared" si="204"/>
        <v>0.1111111111111111</v>
      </c>
      <c r="E1756" s="6">
        <v>0.34375</v>
      </c>
      <c r="F1756" s="5">
        <f t="shared" si="205"/>
        <v>0.75572519083969469</v>
      </c>
      <c r="G1756" s="5">
        <v>0.81299999999999994</v>
      </c>
      <c r="H1756" s="4">
        <f>63.4/1440</f>
        <v>4.4027777777777777E-2</v>
      </c>
      <c r="I1756" s="5">
        <v>0.104</v>
      </c>
      <c r="J1756" s="11" t="s">
        <v>2394</v>
      </c>
    </row>
    <row r="1757" spans="1:10" ht="13.15" customHeight="1" x14ac:dyDescent="0.25">
      <c r="A1757">
        <f t="shared" si="206"/>
        <v>1752</v>
      </c>
      <c r="B1757" t="s">
        <v>2391</v>
      </c>
      <c r="C1757" s="2">
        <v>0.43055555555555558</v>
      </c>
      <c r="D1757" s="4">
        <f t="shared" si="204"/>
        <v>0.11319444444444449</v>
      </c>
      <c r="E1757" s="6">
        <v>0.31736111111111109</v>
      </c>
      <c r="F1757" s="5">
        <f t="shared" si="205"/>
        <v>0.73709677419354835</v>
      </c>
      <c r="G1757" s="5">
        <v>0.76300000000000001</v>
      </c>
      <c r="H1757" s="4">
        <f>54.9/1440</f>
        <v>3.8124999999999999E-2</v>
      </c>
      <c r="I1757" s="5">
        <v>9.1999999999999998E-2</v>
      </c>
      <c r="J1757" s="11" t="s">
        <v>2394</v>
      </c>
    </row>
    <row r="1758" spans="1:10" ht="13.15" customHeight="1" x14ac:dyDescent="0.25">
      <c r="A1758">
        <f t="shared" si="206"/>
        <v>1753</v>
      </c>
      <c r="B1758" t="s">
        <v>2392</v>
      </c>
      <c r="C1758" s="2">
        <v>0.43680555555555556</v>
      </c>
      <c r="D1758" s="4">
        <f t="shared" si="204"/>
        <v>0.10416666666666669</v>
      </c>
      <c r="E1758" s="6">
        <v>0.33263888888888887</v>
      </c>
      <c r="F1758" s="5">
        <f t="shared" si="205"/>
        <v>0.76152623211446735</v>
      </c>
      <c r="G1758" s="5">
        <v>0.86799999999999999</v>
      </c>
      <c r="H1758" s="4">
        <f>76.7/1440</f>
        <v>5.3263888888888888E-2</v>
      </c>
      <c r="I1758" s="5">
        <v>0.13900000000000001</v>
      </c>
      <c r="J1758" s="11" t="s">
        <v>2394</v>
      </c>
    </row>
    <row r="1759" spans="1:10" ht="13.15" customHeight="1" x14ac:dyDescent="0.25">
      <c r="A1759">
        <f t="shared" si="206"/>
        <v>1754</v>
      </c>
      <c r="B1759" t="s">
        <v>2397</v>
      </c>
      <c r="C1759" s="2">
        <v>0.47847222222222224</v>
      </c>
      <c r="D1759" s="4">
        <f t="shared" ref="D1759:D1767" si="207">C1759-E1759</f>
        <v>0.1076388888888889</v>
      </c>
      <c r="E1759" s="6">
        <v>0.37083333333333335</v>
      </c>
      <c r="F1759" s="5">
        <f t="shared" ref="F1759:F1767" si="208">E1759/C1759</f>
        <v>0.77503628447024675</v>
      </c>
      <c r="G1759" s="5">
        <v>0.84399999999999997</v>
      </c>
      <c r="H1759" s="4">
        <f>67.7/1440</f>
        <v>4.701388888888889E-2</v>
      </c>
      <c r="I1759" s="5">
        <v>0.107</v>
      </c>
      <c r="J1759" s="11" t="s">
        <v>2395</v>
      </c>
    </row>
    <row r="1760" spans="1:10" ht="13.15" customHeight="1" x14ac:dyDescent="0.25">
      <c r="A1760">
        <f t="shared" si="206"/>
        <v>1755</v>
      </c>
      <c r="B1760" t="s">
        <v>2398</v>
      </c>
      <c r="C1760" s="2">
        <v>0.49027777777777776</v>
      </c>
      <c r="D1760" s="4">
        <f t="shared" si="207"/>
        <v>0.12361111111111112</v>
      </c>
      <c r="E1760" s="6">
        <v>0.36666666666666664</v>
      </c>
      <c r="F1760" s="5">
        <f t="shared" si="208"/>
        <v>0.74787535410764872</v>
      </c>
      <c r="G1760" s="5">
        <v>0.874</v>
      </c>
      <c r="H1760" s="4">
        <f>76.8/1440</f>
        <v>5.333333333333333E-2</v>
      </c>
      <c r="I1760" s="5">
        <v>0.127</v>
      </c>
      <c r="J1760" s="11" t="s">
        <v>2395</v>
      </c>
    </row>
    <row r="1761" spans="1:10" ht="13.15" customHeight="1" x14ac:dyDescent="0.25">
      <c r="A1761">
        <f t="shared" si="206"/>
        <v>1756</v>
      </c>
      <c r="B1761" t="s">
        <v>2399</v>
      </c>
      <c r="C1761" s="2">
        <v>0.44583333333333336</v>
      </c>
      <c r="D1761" s="4">
        <f t="shared" si="207"/>
        <v>0.10555555555555557</v>
      </c>
      <c r="E1761" s="6">
        <v>0.34027777777777779</v>
      </c>
      <c r="F1761" s="5">
        <f t="shared" si="208"/>
        <v>0.76323987538940807</v>
      </c>
      <c r="G1761" s="5">
        <v>0.84299999999999997</v>
      </c>
      <c r="H1761" s="4">
        <f>59.8/1440</f>
        <v>4.1527777777777775E-2</v>
      </c>
      <c r="I1761" s="5">
        <v>0.10299999999999999</v>
      </c>
      <c r="J1761" s="11" t="s">
        <v>2395</v>
      </c>
    </row>
    <row r="1762" spans="1:10" ht="13.15" customHeight="1" x14ac:dyDescent="0.25">
      <c r="A1762">
        <f t="shared" si="206"/>
        <v>1757</v>
      </c>
      <c r="B1762" t="s">
        <v>2400</v>
      </c>
      <c r="C1762" s="2">
        <v>0.47569444444444442</v>
      </c>
      <c r="D1762" s="4">
        <f t="shared" si="207"/>
        <v>0.12013888888888885</v>
      </c>
      <c r="E1762" s="6">
        <v>0.35555555555555557</v>
      </c>
      <c r="F1762" s="5">
        <f t="shared" si="208"/>
        <v>0.74744525547445262</v>
      </c>
      <c r="G1762" s="5">
        <v>0.85699999999999998</v>
      </c>
      <c r="H1762" s="4">
        <f>49.4/1440</f>
        <v>3.4305555555555554E-2</v>
      </c>
      <c r="I1762" s="5">
        <v>8.3000000000000004E-2</v>
      </c>
      <c r="J1762" s="11" t="s">
        <v>2395</v>
      </c>
    </row>
    <row r="1763" spans="1:10" ht="13.15" customHeight="1" x14ac:dyDescent="0.25">
      <c r="A1763">
        <f t="shared" si="206"/>
        <v>1758</v>
      </c>
      <c r="B1763" t="s">
        <v>2401</v>
      </c>
      <c r="C1763" s="2">
        <v>0.43194444444444446</v>
      </c>
      <c r="D1763" s="4">
        <f t="shared" si="207"/>
        <v>8.6111111111111138E-2</v>
      </c>
      <c r="E1763" s="6">
        <v>0.34583333333333333</v>
      </c>
      <c r="F1763" s="5">
        <f t="shared" si="208"/>
        <v>0.80064308681672025</v>
      </c>
      <c r="G1763" s="5">
        <v>0.80700000000000005</v>
      </c>
      <c r="H1763" s="4">
        <f>72.1/1440</f>
        <v>5.0069444444444437E-2</v>
      </c>
      <c r="I1763" s="5">
        <v>0.11700000000000001</v>
      </c>
      <c r="J1763" s="11" t="s">
        <v>2395</v>
      </c>
    </row>
    <row r="1764" spans="1:10" ht="13.15" customHeight="1" x14ac:dyDescent="0.25">
      <c r="A1764">
        <f t="shared" si="206"/>
        <v>1759</v>
      </c>
      <c r="B1764" t="s">
        <v>2402</v>
      </c>
      <c r="C1764" s="2">
        <v>0.45416666666666666</v>
      </c>
      <c r="D1764" s="4">
        <f t="shared" si="207"/>
        <v>9.9305555555555536E-2</v>
      </c>
      <c r="E1764" s="6">
        <v>0.35486111111111113</v>
      </c>
      <c r="F1764" s="5">
        <f t="shared" si="208"/>
        <v>0.78134556574923553</v>
      </c>
      <c r="G1764" s="5">
        <v>0.79700000000000004</v>
      </c>
      <c r="H1764" s="4">
        <f>76.6/1440</f>
        <v>5.319444444444444E-2</v>
      </c>
      <c r="I1764" s="5">
        <v>0.11899999999999999</v>
      </c>
      <c r="J1764" s="11" t="s">
        <v>2396</v>
      </c>
    </row>
    <row r="1765" spans="1:10" ht="13.15" customHeight="1" x14ac:dyDescent="0.25">
      <c r="A1765">
        <f t="shared" si="206"/>
        <v>1760</v>
      </c>
      <c r="B1765" t="s">
        <v>2403</v>
      </c>
      <c r="C1765" s="2">
        <v>0.44930555555555557</v>
      </c>
      <c r="D1765" s="4">
        <f t="shared" si="207"/>
        <v>8.0555555555555547E-2</v>
      </c>
      <c r="E1765" s="6">
        <v>0.36875000000000002</v>
      </c>
      <c r="F1765" s="5">
        <f t="shared" si="208"/>
        <v>0.82071097372488411</v>
      </c>
      <c r="G1765" s="5">
        <v>0.86699999999999999</v>
      </c>
      <c r="H1765" s="4">
        <f>57.1/1440</f>
        <v>3.965277777777778E-2</v>
      </c>
      <c r="I1765" s="5">
        <v>9.2999999999999999E-2</v>
      </c>
      <c r="J1765" s="11" t="s">
        <v>2396</v>
      </c>
    </row>
    <row r="1766" spans="1:10" ht="13.15" customHeight="1" x14ac:dyDescent="0.25">
      <c r="A1766">
        <f t="shared" si="206"/>
        <v>1761</v>
      </c>
      <c r="B1766" t="s">
        <v>2404</v>
      </c>
      <c r="C1766" s="2">
        <v>0.54583333333333328</v>
      </c>
      <c r="D1766" s="4">
        <f t="shared" si="207"/>
        <v>0.10486111111111107</v>
      </c>
      <c r="E1766" s="6">
        <v>0.44097222222222221</v>
      </c>
      <c r="F1766" s="5">
        <f t="shared" si="208"/>
        <v>0.80788804071246823</v>
      </c>
      <c r="G1766" s="5">
        <v>0.88600000000000001</v>
      </c>
      <c r="H1766" s="4">
        <f>86.8/1440</f>
        <v>6.0277777777777777E-2</v>
      </c>
      <c r="I1766" s="5">
        <v>0.121</v>
      </c>
      <c r="J1766" s="11" t="s">
        <v>2396</v>
      </c>
    </row>
    <row r="1767" spans="1:10" ht="13.15" customHeight="1" x14ac:dyDescent="0.25">
      <c r="A1767">
        <f t="shared" si="206"/>
        <v>1762</v>
      </c>
      <c r="B1767" t="s">
        <v>2405</v>
      </c>
      <c r="C1767" s="2">
        <v>0.47569444444444442</v>
      </c>
      <c r="D1767" s="4">
        <f t="shared" si="207"/>
        <v>8.2638888888888873E-2</v>
      </c>
      <c r="E1767" s="6">
        <v>0.39305555555555555</v>
      </c>
      <c r="F1767" s="5">
        <f t="shared" si="208"/>
        <v>0.82627737226277376</v>
      </c>
      <c r="G1767" s="5">
        <v>0.83199999999999996</v>
      </c>
      <c r="H1767" s="4">
        <f>70.9/1440</f>
        <v>4.9236111111111112E-2</v>
      </c>
      <c r="I1767" s="5">
        <v>0.104</v>
      </c>
      <c r="J1767" s="11" t="s">
        <v>2396</v>
      </c>
    </row>
    <row r="1768" spans="1:10" ht="13.15" customHeight="1" x14ac:dyDescent="0.25">
      <c r="A1768">
        <f t="shared" si="206"/>
        <v>1763</v>
      </c>
      <c r="B1768" t="s">
        <v>2406</v>
      </c>
      <c r="C1768" s="2">
        <v>0.40277777777777779</v>
      </c>
      <c r="D1768" s="4">
        <f t="shared" ref="D1768:D1776" si="209">C1768-E1768</f>
        <v>0.10555555555555557</v>
      </c>
      <c r="E1768" s="6">
        <v>0.29722222222222222</v>
      </c>
      <c r="F1768" s="5">
        <f t="shared" ref="F1768:F1776" si="210">E1768/C1768</f>
        <v>0.73793103448275854</v>
      </c>
      <c r="G1768" s="5">
        <v>0.75600000000000001</v>
      </c>
      <c r="H1768" s="4">
        <f>56.3/1440</f>
        <v>3.9097222222222221E-2</v>
      </c>
      <c r="I1768" s="5">
        <v>9.9000000000000005E-2</v>
      </c>
      <c r="J1768" s="11" t="s">
        <v>2415</v>
      </c>
    </row>
    <row r="1769" spans="1:10" ht="13.15" customHeight="1" x14ac:dyDescent="0.25">
      <c r="A1769">
        <f t="shared" si="206"/>
        <v>1764</v>
      </c>
      <c r="B1769" t="s">
        <v>2407</v>
      </c>
      <c r="C1769" s="2">
        <v>0.42152777777777778</v>
      </c>
      <c r="D1769" s="4">
        <f t="shared" si="209"/>
        <v>0.10347222222222224</v>
      </c>
      <c r="E1769" s="6">
        <v>0.31805555555555554</v>
      </c>
      <c r="F1769" s="5">
        <f t="shared" si="210"/>
        <v>0.7545304777594728</v>
      </c>
      <c r="G1769" s="5">
        <v>0.79600000000000004</v>
      </c>
      <c r="H1769" s="4">
        <f>59.9/1440</f>
        <v>4.1597222222222223E-2</v>
      </c>
      <c r="I1769" s="5">
        <v>0.104</v>
      </c>
      <c r="J1769" s="11" t="s">
        <v>2415</v>
      </c>
    </row>
    <row r="1770" spans="1:10" ht="13.15" customHeight="1" x14ac:dyDescent="0.25">
      <c r="A1770">
        <f t="shared" si="206"/>
        <v>1765</v>
      </c>
      <c r="B1770" t="s">
        <v>2408</v>
      </c>
      <c r="C1770" s="2">
        <v>0.41319444444444442</v>
      </c>
      <c r="D1770" s="4">
        <f t="shared" si="209"/>
        <v>0.10972222222222222</v>
      </c>
      <c r="E1770" s="6">
        <v>0.3034722222222222</v>
      </c>
      <c r="F1770" s="5">
        <f t="shared" si="210"/>
        <v>0.73445378151260499</v>
      </c>
      <c r="G1770" s="5">
        <v>0.74099999999999999</v>
      </c>
      <c r="H1770" s="4">
        <f>51.9/1440</f>
        <v>3.6041666666666666E-2</v>
      </c>
      <c r="I1770" s="5">
        <v>8.7999999999999995E-2</v>
      </c>
      <c r="J1770" s="11" t="s">
        <v>2415</v>
      </c>
    </row>
    <row r="1771" spans="1:10" ht="13.15" customHeight="1" x14ac:dyDescent="0.25">
      <c r="A1771">
        <f t="shared" si="206"/>
        <v>1766</v>
      </c>
      <c r="B1771" t="s">
        <v>2409</v>
      </c>
      <c r="C1771" s="2">
        <v>0.40902777777777777</v>
      </c>
      <c r="D1771" s="4">
        <f t="shared" si="209"/>
        <v>0.11041666666666666</v>
      </c>
      <c r="E1771" s="6">
        <v>0.2986111111111111</v>
      </c>
      <c r="F1771" s="5">
        <f t="shared" si="210"/>
        <v>0.7300509337860781</v>
      </c>
      <c r="G1771" s="5">
        <v>0.67500000000000004</v>
      </c>
      <c r="H1771" s="4">
        <f>48.4/1440</f>
        <v>3.3611111111111112E-2</v>
      </c>
      <c r="I1771" s="5">
        <v>7.5999999999999998E-2</v>
      </c>
      <c r="J1771" s="11" t="s">
        <v>2415</v>
      </c>
    </row>
    <row r="1772" spans="1:10" ht="13.15" customHeight="1" x14ac:dyDescent="0.25">
      <c r="A1772">
        <f t="shared" si="206"/>
        <v>1767</v>
      </c>
      <c r="B1772" t="s">
        <v>2410</v>
      </c>
      <c r="C1772" s="2">
        <v>0.45347222222222222</v>
      </c>
      <c r="D1772" s="4">
        <f t="shared" si="209"/>
        <v>0.11180555555555555</v>
      </c>
      <c r="E1772" s="6">
        <v>0.34166666666666667</v>
      </c>
      <c r="F1772" s="5">
        <f t="shared" si="210"/>
        <v>0.75344563552833077</v>
      </c>
      <c r="G1772" s="5">
        <v>0.82</v>
      </c>
      <c r="H1772" s="4">
        <f>71.4/1440</f>
        <v>4.958333333333334E-2</v>
      </c>
      <c r="I1772" s="5">
        <v>0.11899999999999999</v>
      </c>
      <c r="J1772" s="11" t="s">
        <v>2415</v>
      </c>
    </row>
    <row r="1773" spans="1:10" ht="13.15" customHeight="1" x14ac:dyDescent="0.25">
      <c r="A1773">
        <f t="shared" si="206"/>
        <v>1768</v>
      </c>
      <c r="B1773" t="s">
        <v>2411</v>
      </c>
      <c r="C1773" s="2">
        <v>0.40694444444444444</v>
      </c>
      <c r="D1773" s="4">
        <f t="shared" si="209"/>
        <v>0.11041666666666666</v>
      </c>
      <c r="E1773" s="6">
        <v>0.29652777777777778</v>
      </c>
      <c r="F1773" s="5">
        <f t="shared" si="210"/>
        <v>0.72866894197952214</v>
      </c>
      <c r="G1773" s="5">
        <v>0.78</v>
      </c>
      <c r="H1773" s="4">
        <f>57.3/1440</f>
        <v>3.9791666666666663E-2</v>
      </c>
      <c r="I1773" s="5">
        <v>0.105</v>
      </c>
      <c r="J1773" s="11" t="s">
        <v>2416</v>
      </c>
    </row>
    <row r="1774" spans="1:10" ht="13.15" customHeight="1" x14ac:dyDescent="0.25">
      <c r="A1774">
        <f t="shared" si="206"/>
        <v>1769</v>
      </c>
      <c r="B1774" t="s">
        <v>2412</v>
      </c>
      <c r="C1774" s="2">
        <v>0.37083333333333335</v>
      </c>
      <c r="D1774" s="4">
        <f t="shared" si="209"/>
        <v>9.7916666666666707E-2</v>
      </c>
      <c r="E1774" s="6">
        <v>0.27291666666666664</v>
      </c>
      <c r="F1774" s="5">
        <f t="shared" si="210"/>
        <v>0.73595505617977519</v>
      </c>
      <c r="G1774" s="5">
        <v>0.81</v>
      </c>
      <c r="H1774" s="4">
        <f>54.1/1440</f>
        <v>3.7569444444444447E-2</v>
      </c>
      <c r="I1774" s="5">
        <v>0.111</v>
      </c>
      <c r="J1774" s="11" t="s">
        <v>2416</v>
      </c>
    </row>
    <row r="1775" spans="1:10" ht="13.15" customHeight="1" x14ac:dyDescent="0.25">
      <c r="A1775">
        <f t="shared" si="206"/>
        <v>1770</v>
      </c>
      <c r="B1775" t="s">
        <v>2413</v>
      </c>
      <c r="C1775" s="2">
        <v>0.51388888888888884</v>
      </c>
      <c r="D1775" s="4">
        <f t="shared" si="209"/>
        <v>0.1333333333333333</v>
      </c>
      <c r="E1775" s="6">
        <v>0.38055555555555554</v>
      </c>
      <c r="F1775" s="5">
        <f t="shared" si="210"/>
        <v>0.74054054054054053</v>
      </c>
      <c r="G1775" s="5">
        <v>0.68700000000000006</v>
      </c>
      <c r="H1775" s="4">
        <f>51.8/1440</f>
        <v>3.5972222222222218E-2</v>
      </c>
      <c r="I1775" s="5">
        <v>6.5000000000000002E-2</v>
      </c>
      <c r="J1775" s="11" t="s">
        <v>2416</v>
      </c>
    </row>
    <row r="1776" spans="1:10" ht="13.15" customHeight="1" x14ac:dyDescent="0.25">
      <c r="A1776">
        <f t="shared" si="206"/>
        <v>1771</v>
      </c>
      <c r="B1776" t="s">
        <v>2414</v>
      </c>
      <c r="C1776" s="2">
        <v>0.50138888888888888</v>
      </c>
      <c r="D1776" s="4">
        <f t="shared" si="209"/>
        <v>0.11180555555555555</v>
      </c>
      <c r="E1776" s="6">
        <v>0.38958333333333334</v>
      </c>
      <c r="F1776" s="5">
        <f t="shared" si="210"/>
        <v>0.7770083102493075</v>
      </c>
      <c r="G1776" s="5">
        <v>0.79300000000000004</v>
      </c>
      <c r="H1776" s="4">
        <f>77.4/1440</f>
        <v>5.3750000000000006E-2</v>
      </c>
      <c r="I1776" s="5">
        <v>0.109</v>
      </c>
      <c r="J1776" s="11" t="s">
        <v>2416</v>
      </c>
    </row>
    <row r="1777" spans="1:10" ht="13.15" customHeight="1" x14ac:dyDescent="0.25">
      <c r="A1777">
        <f t="shared" si="206"/>
        <v>1772</v>
      </c>
      <c r="B1777" t="s">
        <v>2417</v>
      </c>
      <c r="C1777" s="2">
        <v>0.44722222222222224</v>
      </c>
      <c r="D1777" s="4">
        <f t="shared" ref="D1777:D1785" si="211">C1777-E1777</f>
        <v>0.13333333333333336</v>
      </c>
      <c r="E1777" s="6">
        <v>0.31388888888888888</v>
      </c>
      <c r="F1777" s="5">
        <f t="shared" ref="F1777:F1785" si="212">E1777/C1777</f>
        <v>0.70186335403726707</v>
      </c>
      <c r="G1777" s="5">
        <v>0.84199999999999997</v>
      </c>
      <c r="H1777" s="4">
        <f>62.6/1440</f>
        <v>4.3472222222222225E-2</v>
      </c>
      <c r="I1777" s="5">
        <v>0.11600000000000001</v>
      </c>
      <c r="J1777" s="11" t="s">
        <v>2426</v>
      </c>
    </row>
    <row r="1778" spans="1:10" ht="13.15" customHeight="1" x14ac:dyDescent="0.25">
      <c r="A1778">
        <f t="shared" si="206"/>
        <v>1773</v>
      </c>
      <c r="B1778" t="s">
        <v>2418</v>
      </c>
      <c r="C1778" s="2">
        <v>0.39097222222222222</v>
      </c>
      <c r="D1778" s="4">
        <f t="shared" si="211"/>
        <v>0.1076388888888889</v>
      </c>
      <c r="E1778" s="6">
        <v>0.28333333333333333</v>
      </c>
      <c r="F1778" s="5">
        <f t="shared" si="212"/>
        <v>0.72468916518650084</v>
      </c>
      <c r="G1778" s="5">
        <v>0.86199999999999999</v>
      </c>
      <c r="H1778" s="4">
        <f>62.7/1440</f>
        <v>4.3541666666666666E-2</v>
      </c>
      <c r="I1778" s="5">
        <v>0.13300000000000001</v>
      </c>
      <c r="J1778" s="11" t="s">
        <v>2426</v>
      </c>
    </row>
    <row r="1779" spans="1:10" ht="13.15" customHeight="1" x14ac:dyDescent="0.25">
      <c r="A1779">
        <f t="shared" si="206"/>
        <v>1774</v>
      </c>
      <c r="B1779" t="s">
        <v>2419</v>
      </c>
      <c r="C1779" s="2">
        <v>0.45694444444444443</v>
      </c>
      <c r="D1779" s="4">
        <f t="shared" si="211"/>
        <v>0.13194444444444442</v>
      </c>
      <c r="E1779" s="6">
        <v>0.32500000000000001</v>
      </c>
      <c r="F1779" s="5">
        <f t="shared" si="212"/>
        <v>0.71124620060790278</v>
      </c>
      <c r="G1779" s="5">
        <v>0.85799999999999998</v>
      </c>
      <c r="H1779" s="4">
        <f>64.1/1440</f>
        <v>4.4513888888888888E-2</v>
      </c>
      <c r="I1779" s="5">
        <v>0.11700000000000001</v>
      </c>
      <c r="J1779" s="11" t="s">
        <v>2426</v>
      </c>
    </row>
    <row r="1780" spans="1:10" ht="13.15" customHeight="1" x14ac:dyDescent="0.25">
      <c r="A1780">
        <f t="shared" si="206"/>
        <v>1775</v>
      </c>
      <c r="B1780" t="s">
        <v>2420</v>
      </c>
      <c r="C1780" s="2">
        <v>0.39374999999999999</v>
      </c>
      <c r="D1780" s="4">
        <f t="shared" si="211"/>
        <v>0.10486111111111113</v>
      </c>
      <c r="E1780" s="6">
        <v>0.28888888888888886</v>
      </c>
      <c r="F1780" s="5">
        <f t="shared" si="212"/>
        <v>0.73368606701940031</v>
      </c>
      <c r="G1780" s="5">
        <v>0.75600000000000001</v>
      </c>
      <c r="H1780" s="4">
        <f>59.3/1440</f>
        <v>4.1180555555555554E-2</v>
      </c>
      <c r="I1780" s="5">
        <v>0.107</v>
      </c>
      <c r="J1780" s="11" t="s">
        <v>2426</v>
      </c>
    </row>
    <row r="1781" spans="1:10" ht="13.15" customHeight="1" x14ac:dyDescent="0.25">
      <c r="A1781">
        <f t="shared" si="206"/>
        <v>1776</v>
      </c>
      <c r="B1781" t="s">
        <v>2421</v>
      </c>
      <c r="C1781" s="2">
        <v>0.43819444444444444</v>
      </c>
      <c r="D1781" s="4">
        <f t="shared" si="211"/>
        <v>8.9583333333333348E-2</v>
      </c>
      <c r="E1781" s="6">
        <v>0.34861111111111109</v>
      </c>
      <c r="F1781" s="5">
        <f t="shared" si="212"/>
        <v>0.79556259904912829</v>
      </c>
      <c r="G1781" s="5">
        <v>0.77300000000000002</v>
      </c>
      <c r="H1781" s="4">
        <f>68.7/1440</f>
        <v>4.7708333333333339E-2</v>
      </c>
      <c r="I1781" s="5">
        <v>0.106</v>
      </c>
      <c r="J1781" s="11" t="s">
        <v>2426</v>
      </c>
    </row>
    <row r="1782" spans="1:10" ht="13.15" customHeight="1" x14ac:dyDescent="0.25">
      <c r="A1782">
        <f t="shared" si="206"/>
        <v>1777</v>
      </c>
      <c r="B1782" t="s">
        <v>2422</v>
      </c>
      <c r="C1782" s="2">
        <v>0.4861111111111111</v>
      </c>
      <c r="D1782" s="4">
        <f t="shared" si="211"/>
        <v>0.12638888888888888</v>
      </c>
      <c r="E1782" s="6">
        <v>0.35972222222222222</v>
      </c>
      <c r="F1782" s="5">
        <f t="shared" si="212"/>
        <v>0.74</v>
      </c>
      <c r="G1782" s="5">
        <v>0.84299999999999997</v>
      </c>
      <c r="H1782" s="4">
        <f>58.2/1440</f>
        <v>4.041666666666667E-2</v>
      </c>
      <c r="I1782" s="5">
        <v>9.5000000000000001E-2</v>
      </c>
      <c r="J1782" s="11" t="s">
        <v>2427</v>
      </c>
    </row>
    <row r="1783" spans="1:10" ht="13.15" customHeight="1" x14ac:dyDescent="0.25">
      <c r="A1783">
        <f t="shared" si="206"/>
        <v>1778</v>
      </c>
      <c r="B1783" t="s">
        <v>2423</v>
      </c>
      <c r="C1783" s="2">
        <v>0.51180555555555551</v>
      </c>
      <c r="D1783" s="4">
        <f t="shared" si="211"/>
        <v>0.12361111111111106</v>
      </c>
      <c r="E1783" s="6">
        <v>0.38819444444444445</v>
      </c>
      <c r="F1783" s="5">
        <f t="shared" si="212"/>
        <v>0.75848032564450485</v>
      </c>
      <c r="G1783" s="5">
        <v>0.85899999999999999</v>
      </c>
      <c r="H1783" s="4">
        <f>64.3/1440</f>
        <v>4.4652777777777777E-2</v>
      </c>
      <c r="I1783" s="5">
        <v>9.9000000000000005E-2</v>
      </c>
      <c r="J1783" s="11" t="s">
        <v>2427</v>
      </c>
    </row>
    <row r="1784" spans="1:10" ht="13.15" customHeight="1" x14ac:dyDescent="0.25">
      <c r="A1784">
        <f t="shared" si="206"/>
        <v>1779</v>
      </c>
      <c r="B1784" t="s">
        <v>2424</v>
      </c>
      <c r="C1784" s="2">
        <v>0.52986111111111112</v>
      </c>
      <c r="D1784" s="4">
        <f t="shared" si="211"/>
        <v>0.15763888888888888</v>
      </c>
      <c r="E1784" s="6">
        <v>0.37222222222222223</v>
      </c>
      <c r="F1784" s="5">
        <f t="shared" si="212"/>
        <v>0.70249017038007866</v>
      </c>
      <c r="G1784" s="5">
        <v>0.93700000000000006</v>
      </c>
      <c r="H1784" s="4">
        <f>73.1/1440</f>
        <v>5.0763888888888886E-2</v>
      </c>
      <c r="I1784" s="5">
        <v>0.128</v>
      </c>
      <c r="J1784" s="11" t="s">
        <v>2427</v>
      </c>
    </row>
    <row r="1785" spans="1:10" ht="13.15" customHeight="1" x14ac:dyDescent="0.25">
      <c r="A1785">
        <f t="shared" si="206"/>
        <v>1780</v>
      </c>
      <c r="B1785" t="s">
        <v>2425</v>
      </c>
      <c r="C1785" s="2">
        <v>0.47291666666666665</v>
      </c>
      <c r="D1785" s="4">
        <f t="shared" si="211"/>
        <v>0.14583333333333331</v>
      </c>
      <c r="E1785" s="6">
        <v>0.32708333333333334</v>
      </c>
      <c r="F1785" s="5">
        <f t="shared" si="212"/>
        <v>0.69162995594713661</v>
      </c>
      <c r="G1785" s="5">
        <v>0.86699999999999999</v>
      </c>
      <c r="H1785" s="4">
        <f>48.7/1440</f>
        <v>3.3819444444444444E-2</v>
      </c>
      <c r="I1785" s="5">
        <v>0.09</v>
      </c>
      <c r="J1785" s="11" t="s">
        <v>2427</v>
      </c>
    </row>
    <row r="1786" spans="1:10" ht="13.15" customHeight="1" x14ac:dyDescent="0.25">
      <c r="A1786">
        <f t="shared" si="206"/>
        <v>1781</v>
      </c>
      <c r="B1786" t="s">
        <v>2428</v>
      </c>
      <c r="C1786" s="2">
        <v>0.37986111111111109</v>
      </c>
      <c r="D1786" s="4">
        <f t="shared" ref="D1786:D1794" si="213">C1786-E1786</f>
        <v>0.11319444444444443</v>
      </c>
      <c r="E1786" s="6">
        <v>0.26666666666666666</v>
      </c>
      <c r="F1786" s="5">
        <f t="shared" ref="F1786:F1794" si="214">E1786/C1786</f>
        <v>0.70201096892138937</v>
      </c>
      <c r="G1786" s="5">
        <v>0.80400000000000005</v>
      </c>
      <c r="H1786" s="4">
        <f>57.2/1440</f>
        <v>3.9722222222222221E-2</v>
      </c>
      <c r="I1786" s="5">
        <v>0.12</v>
      </c>
      <c r="J1786" s="11" t="s">
        <v>2437</v>
      </c>
    </row>
    <row r="1787" spans="1:10" ht="13.15" customHeight="1" x14ac:dyDescent="0.25">
      <c r="A1787">
        <f t="shared" si="206"/>
        <v>1782</v>
      </c>
      <c r="B1787" t="s">
        <v>2429</v>
      </c>
      <c r="C1787" s="2">
        <v>0.40069444444444446</v>
      </c>
      <c r="D1787" s="4">
        <f t="shared" si="213"/>
        <v>0.14375000000000004</v>
      </c>
      <c r="E1787" s="6">
        <v>0.25694444444444442</v>
      </c>
      <c r="F1787" s="5">
        <f t="shared" si="214"/>
        <v>0.64124783362218363</v>
      </c>
      <c r="G1787" s="5">
        <v>0.74</v>
      </c>
      <c r="H1787" s="4">
        <f>62.1/1440</f>
        <v>4.3125000000000004E-2</v>
      </c>
      <c r="I1787" s="5">
        <v>0.124</v>
      </c>
      <c r="J1787" s="11" t="s">
        <v>2437</v>
      </c>
    </row>
    <row r="1788" spans="1:10" ht="13.15" customHeight="1" x14ac:dyDescent="0.25">
      <c r="A1788">
        <f t="shared" si="206"/>
        <v>1783</v>
      </c>
      <c r="B1788" t="s">
        <v>2430</v>
      </c>
      <c r="C1788" s="2">
        <v>0.40555555555555556</v>
      </c>
      <c r="D1788" s="4">
        <f t="shared" si="213"/>
        <v>0.12777777777777777</v>
      </c>
      <c r="E1788" s="6">
        <v>0.27777777777777779</v>
      </c>
      <c r="F1788" s="5">
        <f t="shared" si="214"/>
        <v>0.68493150684931514</v>
      </c>
      <c r="G1788" s="5">
        <v>0.75600000000000001</v>
      </c>
      <c r="H1788" s="4">
        <f>56.3/1440</f>
        <v>3.9097222222222221E-2</v>
      </c>
      <c r="I1788" s="5">
        <v>0.106</v>
      </c>
      <c r="J1788" s="11" t="s">
        <v>2437</v>
      </c>
    </row>
    <row r="1789" spans="1:10" ht="13.15" customHeight="1" x14ac:dyDescent="0.25">
      <c r="A1789">
        <f t="shared" si="206"/>
        <v>1784</v>
      </c>
      <c r="B1789" t="s">
        <v>2431</v>
      </c>
      <c r="C1789" s="2">
        <v>0.32847222222222222</v>
      </c>
      <c r="D1789" s="4">
        <f t="shared" si="213"/>
        <v>0.10069444444444445</v>
      </c>
      <c r="E1789" s="6">
        <v>0.22777777777777777</v>
      </c>
      <c r="F1789" s="5">
        <f t="shared" si="214"/>
        <v>0.69344608879492597</v>
      </c>
      <c r="G1789" s="5">
        <v>0.77700000000000002</v>
      </c>
      <c r="H1789" s="4">
        <f>43.2/1440</f>
        <v>3.0000000000000002E-2</v>
      </c>
      <c r="I1789" s="5">
        <v>0.10199999999999999</v>
      </c>
      <c r="J1789" s="11" t="s">
        <v>2437</v>
      </c>
    </row>
    <row r="1790" spans="1:10" ht="13.15" customHeight="1" x14ac:dyDescent="0.25">
      <c r="A1790">
        <f t="shared" si="206"/>
        <v>1785</v>
      </c>
      <c r="B1790" t="s">
        <v>2432</v>
      </c>
      <c r="C1790" s="2">
        <v>0.34236111111111112</v>
      </c>
      <c r="D1790" s="4">
        <f t="shared" si="213"/>
        <v>9.5138888888888884E-2</v>
      </c>
      <c r="E1790" s="6">
        <v>0.24722222222222223</v>
      </c>
      <c r="F1790" s="5">
        <f t="shared" si="214"/>
        <v>0.72210953346855988</v>
      </c>
      <c r="G1790" s="5">
        <v>0.878</v>
      </c>
      <c r="H1790" s="4">
        <f>68.1/1440</f>
        <v>4.7291666666666662E-2</v>
      </c>
      <c r="I1790" s="5">
        <v>0.16800000000000001</v>
      </c>
      <c r="J1790" s="11" t="s">
        <v>2437</v>
      </c>
    </row>
    <row r="1791" spans="1:10" ht="13.15" customHeight="1" x14ac:dyDescent="0.25">
      <c r="A1791">
        <f t="shared" si="206"/>
        <v>1786</v>
      </c>
      <c r="B1791" t="s">
        <v>2433</v>
      </c>
      <c r="C1791" s="2">
        <v>0.41597222222222224</v>
      </c>
      <c r="D1791" s="4">
        <f t="shared" si="213"/>
        <v>0.11041666666666666</v>
      </c>
      <c r="E1791" s="6">
        <v>0.30555555555555558</v>
      </c>
      <c r="F1791" s="5">
        <f t="shared" si="214"/>
        <v>0.73455759599332227</v>
      </c>
      <c r="G1791" s="5">
        <v>0.83899999999999997</v>
      </c>
      <c r="H1791" s="4">
        <f>53.6/1440</f>
        <v>3.7222222222222226E-2</v>
      </c>
      <c r="I1791" s="5">
        <v>0.10199999999999999</v>
      </c>
      <c r="J1791" s="11" t="s">
        <v>2438</v>
      </c>
    </row>
    <row r="1792" spans="1:10" ht="13.15" customHeight="1" x14ac:dyDescent="0.25">
      <c r="A1792">
        <f t="shared" si="206"/>
        <v>1787</v>
      </c>
      <c r="B1792" t="s">
        <v>2434</v>
      </c>
      <c r="C1792" s="2">
        <v>0.4152777777777778</v>
      </c>
      <c r="D1792" s="4">
        <f t="shared" si="213"/>
        <v>0.11875000000000002</v>
      </c>
      <c r="E1792" s="6">
        <v>0.29652777777777778</v>
      </c>
      <c r="F1792" s="5">
        <f t="shared" si="214"/>
        <v>0.71404682274247488</v>
      </c>
      <c r="G1792" s="5">
        <v>0.83399999999999996</v>
      </c>
      <c r="H1792" s="4">
        <f>51.6/1440</f>
        <v>3.5833333333333335E-2</v>
      </c>
      <c r="I1792" s="5">
        <v>0.10100000000000001</v>
      </c>
      <c r="J1792" s="11" t="s">
        <v>2438</v>
      </c>
    </row>
    <row r="1793" spans="1:10" ht="13.15" customHeight="1" x14ac:dyDescent="0.25">
      <c r="A1793">
        <f t="shared" si="206"/>
        <v>1788</v>
      </c>
      <c r="B1793" t="s">
        <v>2435</v>
      </c>
      <c r="C1793" s="2">
        <v>0.41875000000000001</v>
      </c>
      <c r="D1793" s="4">
        <f t="shared" si="213"/>
        <v>0.10486111111111113</v>
      </c>
      <c r="E1793" s="6">
        <v>0.31388888888888888</v>
      </c>
      <c r="F1793" s="5">
        <f t="shared" si="214"/>
        <v>0.74958540630182413</v>
      </c>
      <c r="G1793" s="5">
        <v>0.82799999999999996</v>
      </c>
      <c r="H1793" s="4">
        <f>67.6/1440</f>
        <v>4.6944444444444441E-2</v>
      </c>
      <c r="I1793" s="5">
        <v>0.124</v>
      </c>
      <c r="J1793" s="11" t="s">
        <v>2438</v>
      </c>
    </row>
    <row r="1794" spans="1:10" ht="13.15" customHeight="1" x14ac:dyDescent="0.25">
      <c r="A1794">
        <f t="shared" si="206"/>
        <v>1789</v>
      </c>
      <c r="B1794" t="s">
        <v>2436</v>
      </c>
      <c r="C1794" s="2">
        <v>0.51249999999999996</v>
      </c>
      <c r="D1794" s="4">
        <f t="shared" si="213"/>
        <v>0.16666666666666663</v>
      </c>
      <c r="E1794" s="6">
        <v>0.34583333333333333</v>
      </c>
      <c r="F1794" s="5">
        <f t="shared" si="214"/>
        <v>0.67479674796747968</v>
      </c>
      <c r="G1794" s="5">
        <v>0.87</v>
      </c>
      <c r="H1794" s="4">
        <f>75.5/1440</f>
        <v>5.2430555555555557E-2</v>
      </c>
      <c r="I1794" s="5">
        <v>0.13200000000000001</v>
      </c>
      <c r="J1794" s="11" t="s">
        <v>2438</v>
      </c>
    </row>
    <row r="1795" spans="1:10" ht="13.15" customHeight="1" x14ac:dyDescent="0.25">
      <c r="A1795">
        <f t="shared" si="206"/>
        <v>1790</v>
      </c>
      <c r="B1795" t="s">
        <v>2439</v>
      </c>
      <c r="C1795" s="2">
        <v>0.40625</v>
      </c>
      <c r="D1795" s="4">
        <f t="shared" ref="D1795:D1803" si="215">C1795-E1795</f>
        <v>0.10486111111111113</v>
      </c>
      <c r="E1795" s="6">
        <v>0.30138888888888887</v>
      </c>
      <c r="F1795" s="5">
        <f t="shared" ref="F1795:F1803" si="216">E1795/C1795</f>
        <v>0.7418803418803418</v>
      </c>
      <c r="G1795" s="5">
        <v>0.81399999999999995</v>
      </c>
      <c r="H1795" s="4">
        <f>61.3/1440</f>
        <v>4.2569444444444444E-2</v>
      </c>
      <c r="I1795" s="5">
        <v>0.115</v>
      </c>
      <c r="J1795" s="11" t="s">
        <v>2448</v>
      </c>
    </row>
    <row r="1796" spans="1:10" ht="13.15" customHeight="1" x14ac:dyDescent="0.25">
      <c r="A1796">
        <f t="shared" si="206"/>
        <v>1791</v>
      </c>
      <c r="B1796" t="s">
        <v>2440</v>
      </c>
      <c r="C1796" s="2">
        <v>0.41388888888888886</v>
      </c>
      <c r="D1796" s="4">
        <f t="shared" si="215"/>
        <v>0.1020833333333333</v>
      </c>
      <c r="E1796" s="6">
        <v>0.31180555555555556</v>
      </c>
      <c r="F1796" s="5">
        <f t="shared" si="216"/>
        <v>0.75335570469798663</v>
      </c>
      <c r="G1796" s="5">
        <v>0.84599999999999997</v>
      </c>
      <c r="H1796" s="4">
        <f>68.9/1440</f>
        <v>4.7847222222222228E-2</v>
      </c>
      <c r="I1796" s="5">
        <v>0.13</v>
      </c>
      <c r="J1796" s="11" t="s">
        <v>2448</v>
      </c>
    </row>
    <row r="1797" spans="1:10" ht="13.15" customHeight="1" x14ac:dyDescent="0.25">
      <c r="A1797">
        <f t="shared" si="206"/>
        <v>1792</v>
      </c>
      <c r="B1797" t="s">
        <v>2441</v>
      </c>
      <c r="C1797" s="2">
        <v>0.40902777777777777</v>
      </c>
      <c r="D1797" s="4">
        <f t="shared" si="215"/>
        <v>0.11388888888888887</v>
      </c>
      <c r="E1797" s="6">
        <v>0.2951388888888889</v>
      </c>
      <c r="F1797" s="5">
        <f t="shared" si="216"/>
        <v>0.72156196943972839</v>
      </c>
      <c r="G1797" s="5">
        <v>0.77800000000000002</v>
      </c>
      <c r="H1797" s="4">
        <f>57.3/1440</f>
        <v>3.9791666666666663E-2</v>
      </c>
      <c r="I1797" s="5">
        <v>0.105</v>
      </c>
      <c r="J1797" s="11" t="s">
        <v>2448</v>
      </c>
    </row>
    <row r="1798" spans="1:10" ht="13.15" customHeight="1" x14ac:dyDescent="0.25">
      <c r="A1798">
        <f t="shared" si="206"/>
        <v>1793</v>
      </c>
      <c r="B1798" t="s">
        <v>2442</v>
      </c>
      <c r="C1798" s="2">
        <v>0.36944444444444446</v>
      </c>
      <c r="D1798" s="4">
        <f t="shared" si="215"/>
        <v>0.10625000000000001</v>
      </c>
      <c r="E1798" s="6">
        <v>0.26319444444444445</v>
      </c>
      <c r="F1798" s="5">
        <f t="shared" si="216"/>
        <v>0.71240601503759393</v>
      </c>
      <c r="G1798" s="5">
        <v>0.73899999999999999</v>
      </c>
      <c r="H1798" s="4">
        <f>49.5/1440</f>
        <v>3.4375000000000003E-2</v>
      </c>
      <c r="I1798" s="5">
        <v>9.6000000000000002E-2</v>
      </c>
      <c r="J1798" s="11" t="s">
        <v>2448</v>
      </c>
    </row>
    <row r="1799" spans="1:10" ht="13.15" customHeight="1" x14ac:dyDescent="0.25">
      <c r="A1799">
        <f t="shared" si="206"/>
        <v>1794</v>
      </c>
      <c r="B1799" t="s">
        <v>2443</v>
      </c>
      <c r="C1799" s="2">
        <v>0.40138888888888891</v>
      </c>
      <c r="D1799" s="4">
        <f t="shared" si="215"/>
        <v>9.1666666666666674E-2</v>
      </c>
      <c r="E1799" s="6">
        <v>0.30972222222222223</v>
      </c>
      <c r="F1799" s="5">
        <f t="shared" si="216"/>
        <v>0.77162629757785461</v>
      </c>
      <c r="G1799" s="5">
        <v>0.82899999999999996</v>
      </c>
      <c r="H1799" s="4">
        <f>59.4/1440</f>
        <v>4.1250000000000002E-2</v>
      </c>
      <c r="I1799" s="5">
        <v>0.11</v>
      </c>
      <c r="J1799" s="11" t="s">
        <v>2448</v>
      </c>
    </row>
    <row r="1800" spans="1:10" ht="13.15" customHeight="1" x14ac:dyDescent="0.25">
      <c r="A1800">
        <f t="shared" si="206"/>
        <v>1795</v>
      </c>
      <c r="B1800" t="s">
        <v>2444</v>
      </c>
      <c r="C1800" s="2">
        <v>0.41180555555555554</v>
      </c>
      <c r="D1800" s="4">
        <f t="shared" si="215"/>
        <v>0.12013888888888885</v>
      </c>
      <c r="E1800" s="6">
        <v>0.29166666666666669</v>
      </c>
      <c r="F1800" s="5">
        <f t="shared" si="216"/>
        <v>0.70826306913996639</v>
      </c>
      <c r="G1800" s="5">
        <v>0.80100000000000005</v>
      </c>
      <c r="H1800" s="4">
        <f>58.2/1440</f>
        <v>4.041666666666667E-2</v>
      </c>
      <c r="I1800" s="5">
        <v>0.111</v>
      </c>
      <c r="J1800" s="11" t="s">
        <v>2449</v>
      </c>
    </row>
    <row r="1801" spans="1:10" ht="13.15" customHeight="1" x14ac:dyDescent="0.25">
      <c r="A1801">
        <f t="shared" si="206"/>
        <v>1796</v>
      </c>
      <c r="B1801" t="s">
        <v>2445</v>
      </c>
      <c r="C1801" s="2">
        <v>0.40347222222222223</v>
      </c>
      <c r="D1801" s="4">
        <f t="shared" si="215"/>
        <v>0.1027777777777778</v>
      </c>
      <c r="E1801" s="6">
        <v>0.30069444444444443</v>
      </c>
      <c r="F1801" s="5">
        <f t="shared" si="216"/>
        <v>0.74526678141135971</v>
      </c>
      <c r="G1801" s="5">
        <v>0.86899999999999999</v>
      </c>
      <c r="H1801" s="4">
        <f>66.5/1440</f>
        <v>4.6180555555555558E-2</v>
      </c>
      <c r="I1801" s="5">
        <v>0.13300000000000001</v>
      </c>
      <c r="J1801" s="11" t="s">
        <v>2449</v>
      </c>
    </row>
    <row r="1802" spans="1:10" ht="13.15" customHeight="1" x14ac:dyDescent="0.25">
      <c r="A1802">
        <f t="shared" si="206"/>
        <v>1797</v>
      </c>
      <c r="B1802" t="s">
        <v>2446</v>
      </c>
      <c r="C1802" s="2">
        <v>0.45624999999999999</v>
      </c>
      <c r="D1802" s="4">
        <f t="shared" si="215"/>
        <v>0.11249999999999999</v>
      </c>
      <c r="E1802" s="6">
        <v>0.34375</v>
      </c>
      <c r="F1802" s="5">
        <f t="shared" si="216"/>
        <v>0.75342465753424659</v>
      </c>
      <c r="G1802" s="5">
        <v>0.83399999999999996</v>
      </c>
      <c r="H1802" s="4">
        <f>58/1440</f>
        <v>4.027777777777778E-2</v>
      </c>
      <c r="I1802" s="5">
        <v>9.8000000000000004E-2</v>
      </c>
      <c r="J1802" s="11" t="s">
        <v>2449</v>
      </c>
    </row>
    <row r="1803" spans="1:10" ht="13.15" customHeight="1" x14ac:dyDescent="0.25">
      <c r="A1803">
        <f t="shared" si="206"/>
        <v>1798</v>
      </c>
      <c r="B1803" t="s">
        <v>2447</v>
      </c>
      <c r="C1803" s="2">
        <v>0.44097222222222221</v>
      </c>
      <c r="D1803" s="4">
        <f t="shared" si="215"/>
        <v>0.12430555555555556</v>
      </c>
      <c r="E1803" s="6">
        <v>0.31666666666666665</v>
      </c>
      <c r="F1803" s="5">
        <f t="shared" si="216"/>
        <v>0.71811023622047243</v>
      </c>
      <c r="G1803" s="5">
        <v>0.8</v>
      </c>
      <c r="H1803" s="4">
        <f>62.7/1440</f>
        <v>4.3541666666666666E-2</v>
      </c>
      <c r="I1803" s="5">
        <v>0.11</v>
      </c>
      <c r="J1803" s="11" t="s">
        <v>2449</v>
      </c>
    </row>
    <row r="1804" spans="1:10" ht="13.15" customHeight="1" x14ac:dyDescent="0.25">
      <c r="A1804">
        <f t="shared" si="206"/>
        <v>1799</v>
      </c>
      <c r="B1804" t="s">
        <v>2450</v>
      </c>
      <c r="C1804" s="2">
        <v>0.42638888888888887</v>
      </c>
      <c r="D1804" s="4">
        <f t="shared" ref="D1804:D1812" si="217">C1804-E1804</f>
        <v>0.10277777777777775</v>
      </c>
      <c r="E1804" s="6">
        <v>0.32361111111111113</v>
      </c>
      <c r="F1804" s="5">
        <f t="shared" ref="F1804:F1812" si="218">E1804/C1804</f>
        <v>0.75895765472312715</v>
      </c>
      <c r="G1804" s="5">
        <v>0.81599999999999995</v>
      </c>
      <c r="H1804" s="4">
        <f>61.6/1440</f>
        <v>4.2777777777777776E-2</v>
      </c>
      <c r="I1804" s="5">
        <v>0.108</v>
      </c>
      <c r="J1804" s="11" t="s">
        <v>2459</v>
      </c>
    </row>
    <row r="1805" spans="1:10" ht="13.15" customHeight="1" x14ac:dyDescent="0.25">
      <c r="A1805">
        <f t="shared" si="206"/>
        <v>1800</v>
      </c>
      <c r="B1805" t="s">
        <v>2451</v>
      </c>
      <c r="C1805" s="2">
        <v>0.44166666666666665</v>
      </c>
      <c r="D1805" s="4">
        <f t="shared" si="217"/>
        <v>0.10277777777777775</v>
      </c>
      <c r="E1805" s="6">
        <v>0.33888888888888891</v>
      </c>
      <c r="F1805" s="5">
        <f t="shared" si="218"/>
        <v>0.76729559748427678</v>
      </c>
      <c r="G1805" s="5">
        <v>0.87</v>
      </c>
      <c r="H1805" s="4">
        <f>63.3/1440</f>
        <v>4.3958333333333328E-2</v>
      </c>
      <c r="I1805" s="5">
        <v>0.113</v>
      </c>
      <c r="J1805" s="11" t="s">
        <v>2459</v>
      </c>
    </row>
    <row r="1806" spans="1:10" ht="13.15" customHeight="1" x14ac:dyDescent="0.25">
      <c r="A1806">
        <f t="shared" si="206"/>
        <v>1801</v>
      </c>
      <c r="B1806" t="s">
        <v>2452</v>
      </c>
      <c r="C1806" s="2">
        <v>0.38055555555555554</v>
      </c>
      <c r="D1806" s="4">
        <f t="shared" si="217"/>
        <v>9.6527777777777768E-2</v>
      </c>
      <c r="E1806" s="6">
        <v>0.28402777777777777</v>
      </c>
      <c r="F1806" s="5">
        <f t="shared" si="218"/>
        <v>0.74635036496350371</v>
      </c>
      <c r="G1806" s="5">
        <v>0.82299999999999995</v>
      </c>
      <c r="H1806" s="4">
        <f>55.3/1440</f>
        <v>3.8402777777777779E-2</v>
      </c>
      <c r="I1806" s="5">
        <v>0.111</v>
      </c>
      <c r="J1806" s="11" t="s">
        <v>2459</v>
      </c>
    </row>
    <row r="1807" spans="1:10" ht="13.15" customHeight="1" x14ac:dyDescent="0.25">
      <c r="A1807">
        <f t="shared" si="206"/>
        <v>1802</v>
      </c>
      <c r="B1807" t="s">
        <v>2453</v>
      </c>
      <c r="C1807" s="2">
        <v>0.42708333333333331</v>
      </c>
      <c r="D1807" s="4">
        <f t="shared" si="217"/>
        <v>0.10486111111111107</v>
      </c>
      <c r="E1807" s="6">
        <v>0.32222222222222224</v>
      </c>
      <c r="F1807" s="5">
        <f t="shared" si="218"/>
        <v>0.7544715447154472</v>
      </c>
      <c r="G1807" s="5">
        <v>0.73399999999999999</v>
      </c>
      <c r="H1807" s="4">
        <f>49.4/1440</f>
        <v>3.4305555555555554E-2</v>
      </c>
      <c r="I1807" s="5">
        <v>7.8E-2</v>
      </c>
      <c r="J1807" s="11" t="s">
        <v>2459</v>
      </c>
    </row>
    <row r="1808" spans="1:10" ht="13.15" customHeight="1" x14ac:dyDescent="0.25">
      <c r="A1808">
        <f t="shared" si="206"/>
        <v>1803</v>
      </c>
      <c r="B1808" t="s">
        <v>2454</v>
      </c>
      <c r="C1808" s="2">
        <v>0.38958333333333334</v>
      </c>
      <c r="D1808" s="4">
        <f t="shared" si="217"/>
        <v>8.5416666666666696E-2</v>
      </c>
      <c r="E1808" s="6">
        <v>0.30416666666666664</v>
      </c>
      <c r="F1808" s="5">
        <f t="shared" si="218"/>
        <v>0.78074866310160418</v>
      </c>
      <c r="G1808" s="5">
        <v>0.71099999999999997</v>
      </c>
      <c r="H1808" s="4">
        <f>73.1/1440</f>
        <v>5.0763888888888886E-2</v>
      </c>
      <c r="I1808" s="5">
        <v>0.11899999999999999</v>
      </c>
      <c r="J1808" s="11" t="s">
        <v>2459</v>
      </c>
    </row>
    <row r="1809" spans="1:10" ht="13.15" customHeight="1" x14ac:dyDescent="0.25">
      <c r="A1809">
        <f t="shared" si="206"/>
        <v>1804</v>
      </c>
      <c r="B1809" t="s">
        <v>2455</v>
      </c>
      <c r="C1809" s="2">
        <v>0.48958333333333331</v>
      </c>
      <c r="D1809" s="4">
        <f t="shared" si="217"/>
        <v>0.13055555555555554</v>
      </c>
      <c r="E1809" s="6">
        <v>0.35902777777777778</v>
      </c>
      <c r="F1809" s="5">
        <f t="shared" si="218"/>
        <v>0.73333333333333339</v>
      </c>
      <c r="G1809" s="5">
        <v>0.78300000000000003</v>
      </c>
      <c r="H1809" s="4">
        <f>66.6/1440</f>
        <v>4.6249999999999999E-2</v>
      </c>
      <c r="I1809" s="5">
        <v>0.10100000000000001</v>
      </c>
      <c r="J1809" s="11" t="s">
        <v>2460</v>
      </c>
    </row>
    <row r="1810" spans="1:10" ht="13.15" customHeight="1" x14ac:dyDescent="0.25">
      <c r="A1810">
        <f t="shared" si="206"/>
        <v>1805</v>
      </c>
      <c r="B1810" t="s">
        <v>2456</v>
      </c>
      <c r="C1810" s="2">
        <v>0.47708333333333336</v>
      </c>
      <c r="D1810" s="4">
        <f t="shared" si="217"/>
        <v>0.1118055555555556</v>
      </c>
      <c r="E1810" s="6">
        <v>0.36527777777777776</v>
      </c>
      <c r="F1810" s="5">
        <f t="shared" si="218"/>
        <v>0.76564774381368261</v>
      </c>
      <c r="G1810" s="5">
        <v>0.872</v>
      </c>
      <c r="H1810" s="4">
        <f>63.8/1440</f>
        <v>4.4305555555555556E-2</v>
      </c>
      <c r="I1810" s="5">
        <v>0.106</v>
      </c>
      <c r="J1810" s="11" t="s">
        <v>2460</v>
      </c>
    </row>
    <row r="1811" spans="1:10" ht="13.15" customHeight="1" x14ac:dyDescent="0.25">
      <c r="A1811">
        <f t="shared" si="206"/>
        <v>1806</v>
      </c>
      <c r="B1811" t="s">
        <v>2457</v>
      </c>
      <c r="C1811" s="2">
        <v>0.46944444444444444</v>
      </c>
      <c r="D1811" s="4">
        <f t="shared" si="217"/>
        <v>0.12291666666666667</v>
      </c>
      <c r="E1811" s="6">
        <v>0.34652777777777777</v>
      </c>
      <c r="F1811" s="5">
        <f t="shared" si="218"/>
        <v>0.73816568047337272</v>
      </c>
      <c r="G1811" s="5">
        <v>0.86399999999999999</v>
      </c>
      <c r="H1811" s="4">
        <f>60.5/1440</f>
        <v>4.2013888888888892E-2</v>
      </c>
      <c r="I1811" s="5">
        <v>0.105</v>
      </c>
      <c r="J1811" s="11" t="s">
        <v>2460</v>
      </c>
    </row>
    <row r="1812" spans="1:10" ht="13.15" customHeight="1" x14ac:dyDescent="0.25">
      <c r="A1812">
        <f t="shared" si="206"/>
        <v>1807</v>
      </c>
      <c r="B1812" t="s">
        <v>2458</v>
      </c>
      <c r="C1812" s="2">
        <v>0.46250000000000002</v>
      </c>
      <c r="D1812" s="4">
        <f t="shared" si="217"/>
        <v>0.11111111111111116</v>
      </c>
      <c r="E1812" s="6">
        <v>0.35138888888888886</v>
      </c>
      <c r="F1812" s="5">
        <f t="shared" si="218"/>
        <v>0.75975975975975962</v>
      </c>
      <c r="G1812" s="5">
        <v>0.88900000000000001</v>
      </c>
      <c r="H1812" s="4">
        <f>58.2/1440</f>
        <v>4.041666666666667E-2</v>
      </c>
      <c r="I1812" s="5">
        <v>0.10199999999999999</v>
      </c>
      <c r="J1812" s="11" t="s">
        <v>2460</v>
      </c>
    </row>
    <row r="1813" spans="1:10" ht="13.15" customHeight="1" x14ac:dyDescent="0.25">
      <c r="A1813">
        <f t="shared" si="206"/>
        <v>1808</v>
      </c>
      <c r="B1813" t="s">
        <v>2461</v>
      </c>
      <c r="C1813" s="2">
        <v>0.4201388888888889</v>
      </c>
      <c r="D1813" s="4">
        <f t="shared" ref="D1813:D1821" si="219">C1813-E1813</f>
        <v>0.10972222222222222</v>
      </c>
      <c r="E1813" s="6">
        <v>0.31041666666666667</v>
      </c>
      <c r="F1813" s="5">
        <f t="shared" ref="F1813:F1821" si="220">E1813/C1813</f>
        <v>0.73884297520661157</v>
      </c>
      <c r="G1813" s="5">
        <v>0.78700000000000003</v>
      </c>
      <c r="H1813" s="4">
        <f>56.3/1440</f>
        <v>3.9097222222222221E-2</v>
      </c>
      <c r="I1813" s="5">
        <v>9.9000000000000005E-2</v>
      </c>
      <c r="J1813" s="11" t="s">
        <v>2462</v>
      </c>
    </row>
    <row r="1814" spans="1:10" ht="13.15" customHeight="1" x14ac:dyDescent="0.25">
      <c r="A1814">
        <f t="shared" si="206"/>
        <v>1809</v>
      </c>
      <c r="B1814" t="s">
        <v>2463</v>
      </c>
      <c r="C1814" s="2">
        <v>0.42499999999999999</v>
      </c>
      <c r="D1814" s="4">
        <f t="shared" si="219"/>
        <v>0.10486111111111113</v>
      </c>
      <c r="E1814" s="6">
        <v>0.32013888888888886</v>
      </c>
      <c r="F1814" s="5">
        <f t="shared" si="220"/>
        <v>0.75326797385620914</v>
      </c>
      <c r="G1814" s="5">
        <v>0.83899999999999997</v>
      </c>
      <c r="H1814" s="4">
        <f>57.8/1440</f>
        <v>4.0138888888888884E-2</v>
      </c>
      <c r="I1814" s="5">
        <v>0.105</v>
      </c>
      <c r="J1814" s="11" t="s">
        <v>2462</v>
      </c>
    </row>
    <row r="1815" spans="1:10" ht="13.15" customHeight="1" x14ac:dyDescent="0.25">
      <c r="A1815">
        <f t="shared" ref="A1815:A1878" si="221">A1814+1</f>
        <v>1810</v>
      </c>
      <c r="B1815" t="s">
        <v>2464</v>
      </c>
      <c r="C1815" s="2">
        <v>0.41319444444444442</v>
      </c>
      <c r="D1815" s="4">
        <f t="shared" si="219"/>
        <v>0.11319444444444443</v>
      </c>
      <c r="E1815" s="6">
        <v>0.3</v>
      </c>
      <c r="F1815" s="5">
        <f t="shared" si="220"/>
        <v>0.7260504201680672</v>
      </c>
      <c r="G1815" s="5">
        <v>0.753</v>
      </c>
      <c r="H1815" s="4">
        <f>54/1440</f>
        <v>3.7499999999999999E-2</v>
      </c>
      <c r="I1815" s="5">
        <v>9.4E-2</v>
      </c>
      <c r="J1815" s="11" t="s">
        <v>2462</v>
      </c>
    </row>
    <row r="1816" spans="1:10" ht="13.15" customHeight="1" x14ac:dyDescent="0.25">
      <c r="A1816">
        <f t="shared" si="221"/>
        <v>1811</v>
      </c>
      <c r="B1816" t="s">
        <v>2465</v>
      </c>
      <c r="C1816" s="2">
        <v>0.40277777777777779</v>
      </c>
      <c r="D1816" s="4">
        <f t="shared" si="219"/>
        <v>0.11527777777777781</v>
      </c>
      <c r="E1816" s="6">
        <v>0.28749999999999998</v>
      </c>
      <c r="F1816" s="5">
        <f t="shared" si="220"/>
        <v>0.71379310344827573</v>
      </c>
      <c r="G1816" s="5">
        <v>0.67500000000000004</v>
      </c>
      <c r="H1816" s="4">
        <f>50.8/1440</f>
        <v>3.5277777777777776E-2</v>
      </c>
      <c r="I1816" s="5">
        <v>8.3000000000000004E-2</v>
      </c>
      <c r="J1816" s="11" t="s">
        <v>2462</v>
      </c>
    </row>
    <row r="1817" spans="1:10" ht="13.15" customHeight="1" x14ac:dyDescent="0.25">
      <c r="A1817">
        <f t="shared" si="221"/>
        <v>1812</v>
      </c>
      <c r="B1817" t="s">
        <v>2466</v>
      </c>
      <c r="C1817" s="2">
        <v>0.3923611111111111</v>
      </c>
      <c r="D1817" s="4">
        <f t="shared" si="219"/>
        <v>0.10277777777777775</v>
      </c>
      <c r="E1817" s="6">
        <v>0.28958333333333336</v>
      </c>
      <c r="F1817" s="5">
        <f t="shared" si="220"/>
        <v>0.7380530973451328</v>
      </c>
      <c r="G1817" s="5">
        <v>0.79500000000000004</v>
      </c>
      <c r="H1817" s="4">
        <f>61.1/1440</f>
        <v>4.2430555555555555E-2</v>
      </c>
      <c r="I1817" s="5">
        <v>0.11600000000000001</v>
      </c>
      <c r="J1817" s="11" t="s">
        <v>2462</v>
      </c>
    </row>
    <row r="1818" spans="1:10" ht="13.15" customHeight="1" x14ac:dyDescent="0.25">
      <c r="A1818">
        <f t="shared" si="221"/>
        <v>1813</v>
      </c>
      <c r="B1818" t="s">
        <v>2467</v>
      </c>
      <c r="C1818" s="2">
        <v>0.41944444444444445</v>
      </c>
      <c r="D1818" s="4">
        <f t="shared" si="219"/>
        <v>0.1111111111111111</v>
      </c>
      <c r="E1818" s="6">
        <v>0.30833333333333335</v>
      </c>
      <c r="F1818" s="5">
        <f t="shared" si="220"/>
        <v>0.73509933774834435</v>
      </c>
      <c r="G1818" s="5">
        <v>0.78500000000000003</v>
      </c>
      <c r="H1818" s="4">
        <f>50.1/1440</f>
        <v>3.4791666666666665E-2</v>
      </c>
      <c r="I1818" s="5">
        <v>8.7999999999999995E-2</v>
      </c>
      <c r="J1818" s="11" t="s">
        <v>2468</v>
      </c>
    </row>
    <row r="1819" spans="1:10" ht="13.15" customHeight="1" x14ac:dyDescent="0.25">
      <c r="A1819">
        <f t="shared" si="221"/>
        <v>1814</v>
      </c>
      <c r="B1819" t="s">
        <v>2469</v>
      </c>
      <c r="C1819" s="2">
        <v>0.4375</v>
      </c>
      <c r="D1819" s="4">
        <f t="shared" si="219"/>
        <v>0.11458333333333331</v>
      </c>
      <c r="E1819" s="6">
        <v>0.32291666666666669</v>
      </c>
      <c r="F1819" s="5">
        <f t="shared" si="220"/>
        <v>0.73809523809523814</v>
      </c>
      <c r="G1819" s="5">
        <v>0.81200000000000006</v>
      </c>
      <c r="H1819" s="4">
        <f>52.9/1440</f>
        <v>3.6736111111111108E-2</v>
      </c>
      <c r="I1819" s="5">
        <v>9.1999999999999998E-2</v>
      </c>
      <c r="J1819" s="11" t="s">
        <v>2468</v>
      </c>
    </row>
    <row r="1820" spans="1:10" ht="13.15" customHeight="1" x14ac:dyDescent="0.25">
      <c r="A1820">
        <f t="shared" si="221"/>
        <v>1815</v>
      </c>
      <c r="B1820" t="s">
        <v>2470</v>
      </c>
      <c r="C1820" s="2">
        <v>0.48194444444444445</v>
      </c>
      <c r="D1820" s="4">
        <f t="shared" si="219"/>
        <v>0.1166666666666667</v>
      </c>
      <c r="E1820" s="6">
        <v>0.36527777777777776</v>
      </c>
      <c r="F1820" s="5">
        <f t="shared" si="220"/>
        <v>0.75792507204610948</v>
      </c>
      <c r="G1820" s="5">
        <v>0.83199999999999996</v>
      </c>
      <c r="H1820" s="4">
        <f>55.7/1440</f>
        <v>3.8680555555555558E-2</v>
      </c>
      <c r="I1820" s="5">
        <v>8.7999999999999995E-2</v>
      </c>
      <c r="J1820" s="11" t="s">
        <v>2468</v>
      </c>
    </row>
    <row r="1821" spans="1:10" ht="13.15" customHeight="1" x14ac:dyDescent="0.25">
      <c r="A1821">
        <f t="shared" si="221"/>
        <v>1816</v>
      </c>
      <c r="B1821" t="s">
        <v>2471</v>
      </c>
      <c r="C1821" s="2">
        <v>0.49166666666666664</v>
      </c>
      <c r="D1821" s="4">
        <f t="shared" si="219"/>
        <v>0.12013888888888885</v>
      </c>
      <c r="E1821" s="6">
        <v>0.37152777777777779</v>
      </c>
      <c r="F1821" s="5">
        <f t="shared" si="220"/>
        <v>0.75564971751412435</v>
      </c>
      <c r="G1821" s="5">
        <v>0.87</v>
      </c>
      <c r="H1821" s="4">
        <f>72.5/1440</f>
        <v>5.0347222222222224E-2</v>
      </c>
      <c r="I1821" s="5">
        <v>0.11799999999999999</v>
      </c>
      <c r="J1821" s="11" t="s">
        <v>2468</v>
      </c>
    </row>
    <row r="1822" spans="1:10" ht="13.15" customHeight="1" x14ac:dyDescent="0.25">
      <c r="A1822">
        <f t="shared" si="221"/>
        <v>1817</v>
      </c>
      <c r="B1822" t="s">
        <v>2474</v>
      </c>
      <c r="C1822" s="2">
        <v>0.42777777777777776</v>
      </c>
      <c r="D1822" s="4">
        <f t="shared" ref="D1822:D1830" si="222">C1822-E1822</f>
        <v>0.10555555555555551</v>
      </c>
      <c r="E1822" s="6">
        <v>0.32222222222222224</v>
      </c>
      <c r="F1822" s="5">
        <f t="shared" ref="F1822:F1830" si="223">E1822/C1822</f>
        <v>0.75324675324675339</v>
      </c>
      <c r="G1822" s="5">
        <v>0.80700000000000005</v>
      </c>
      <c r="H1822" s="4">
        <f>61.7/1440</f>
        <v>4.2847222222222224E-2</v>
      </c>
      <c r="I1822" s="5">
        <v>0.107</v>
      </c>
      <c r="J1822" s="11" t="s">
        <v>2472</v>
      </c>
    </row>
    <row r="1823" spans="1:10" ht="13.15" customHeight="1" x14ac:dyDescent="0.25">
      <c r="A1823">
        <f t="shared" si="221"/>
        <v>1818</v>
      </c>
      <c r="B1823" t="s">
        <v>2475</v>
      </c>
      <c r="C1823" s="2">
        <v>0.42986111111111114</v>
      </c>
      <c r="D1823" s="4">
        <f t="shared" si="222"/>
        <v>0.10486111111111113</v>
      </c>
      <c r="E1823" s="6">
        <v>0.32500000000000001</v>
      </c>
      <c r="F1823" s="5">
        <f t="shared" si="223"/>
        <v>0.75605815831987078</v>
      </c>
      <c r="G1823" s="5">
        <v>0.82899999999999996</v>
      </c>
      <c r="H1823" s="4">
        <f>65/1440</f>
        <v>4.5138888888888888E-2</v>
      </c>
      <c r="I1823" s="5">
        <v>0.115</v>
      </c>
      <c r="J1823" s="11" t="s">
        <v>2472</v>
      </c>
    </row>
    <row r="1824" spans="1:10" ht="13.15" customHeight="1" x14ac:dyDescent="0.25">
      <c r="A1824">
        <f t="shared" si="221"/>
        <v>1819</v>
      </c>
      <c r="B1824" t="s">
        <v>2476</v>
      </c>
      <c r="C1824" s="2">
        <v>0.40347222222222223</v>
      </c>
      <c r="D1824" s="4">
        <f t="shared" si="222"/>
        <v>0.1076388888888889</v>
      </c>
      <c r="E1824" s="6">
        <v>0.29583333333333334</v>
      </c>
      <c r="F1824" s="5">
        <f t="shared" si="223"/>
        <v>0.73321858864027534</v>
      </c>
      <c r="G1824" s="5">
        <v>0.78200000000000003</v>
      </c>
      <c r="H1824" s="4">
        <f>54.4/1440</f>
        <v>3.7777777777777778E-2</v>
      </c>
      <c r="I1824" s="5">
        <v>0.1</v>
      </c>
      <c r="J1824" s="11" t="s">
        <v>2472</v>
      </c>
    </row>
    <row r="1825" spans="1:10" ht="13.15" customHeight="1" x14ac:dyDescent="0.25">
      <c r="A1825">
        <f t="shared" si="221"/>
        <v>1820</v>
      </c>
      <c r="B1825" t="s">
        <v>2477</v>
      </c>
      <c r="C1825" s="2">
        <v>0.41388888888888886</v>
      </c>
      <c r="D1825" s="4">
        <f t="shared" si="222"/>
        <v>0.1111111111111111</v>
      </c>
      <c r="E1825" s="6">
        <v>0.30277777777777776</v>
      </c>
      <c r="F1825" s="5">
        <f t="shared" si="223"/>
        <v>0.73154362416107377</v>
      </c>
      <c r="G1825" s="5">
        <v>0.73799999999999999</v>
      </c>
      <c r="H1825" s="4">
        <f>52.1/1440</f>
        <v>3.6180555555555556E-2</v>
      </c>
      <c r="I1825" s="5">
        <v>8.7999999999999995E-2</v>
      </c>
      <c r="J1825" s="11" t="s">
        <v>2472</v>
      </c>
    </row>
    <row r="1826" spans="1:10" ht="13.15" customHeight="1" x14ac:dyDescent="0.25">
      <c r="A1826">
        <f t="shared" si="221"/>
        <v>1821</v>
      </c>
      <c r="B1826" t="s">
        <v>2478</v>
      </c>
      <c r="C1826" s="2">
        <v>0.40347222222222223</v>
      </c>
      <c r="D1826" s="4">
        <f t="shared" si="222"/>
        <v>8.9583333333333348E-2</v>
      </c>
      <c r="E1826" s="6">
        <v>0.31388888888888888</v>
      </c>
      <c r="F1826" s="5">
        <f t="shared" si="223"/>
        <v>0.77796901893287429</v>
      </c>
      <c r="G1826" s="5">
        <v>0.79900000000000004</v>
      </c>
      <c r="H1826" s="4">
        <f>65.5/1440</f>
        <v>4.5486111111111109E-2</v>
      </c>
      <c r="I1826" s="5">
        <v>0.11600000000000001</v>
      </c>
      <c r="J1826" s="11" t="s">
        <v>2472</v>
      </c>
    </row>
    <row r="1827" spans="1:10" ht="13.15" customHeight="1" x14ac:dyDescent="0.25">
      <c r="A1827">
        <f t="shared" si="221"/>
        <v>1822</v>
      </c>
      <c r="B1827" t="s">
        <v>2479</v>
      </c>
      <c r="C1827" s="2">
        <v>0.45277777777777778</v>
      </c>
      <c r="D1827" s="4">
        <f t="shared" si="222"/>
        <v>0.11944444444444446</v>
      </c>
      <c r="E1827" s="6">
        <v>0.33333333333333331</v>
      </c>
      <c r="F1827" s="5">
        <f t="shared" si="223"/>
        <v>0.73619631901840488</v>
      </c>
      <c r="G1827" s="5">
        <v>0.82699999999999996</v>
      </c>
      <c r="H1827" s="4">
        <f>61.4/1440</f>
        <v>4.2638888888888886E-2</v>
      </c>
      <c r="I1827" s="5">
        <v>0.106</v>
      </c>
      <c r="J1827" s="11" t="s">
        <v>2473</v>
      </c>
    </row>
    <row r="1828" spans="1:10" ht="13.15" customHeight="1" x14ac:dyDescent="0.25">
      <c r="A1828">
        <f t="shared" si="221"/>
        <v>1823</v>
      </c>
      <c r="B1828" t="s">
        <v>2480</v>
      </c>
      <c r="C1828" s="2">
        <v>0.47430555555555554</v>
      </c>
      <c r="D1828" s="4">
        <f t="shared" si="222"/>
        <v>0.12013888888888885</v>
      </c>
      <c r="E1828" s="6">
        <v>0.35416666666666669</v>
      </c>
      <c r="F1828" s="5">
        <f t="shared" si="223"/>
        <v>0.7467057101024891</v>
      </c>
      <c r="G1828" s="5">
        <v>0.83899999999999997</v>
      </c>
      <c r="H1828" s="4">
        <f>62.3/1440</f>
        <v>4.3263888888888886E-2</v>
      </c>
      <c r="I1828" s="5">
        <v>0.10299999999999999</v>
      </c>
      <c r="J1828" s="11" t="s">
        <v>2473</v>
      </c>
    </row>
    <row r="1829" spans="1:10" ht="13.15" customHeight="1" x14ac:dyDescent="0.25">
      <c r="A1829">
        <f t="shared" si="221"/>
        <v>1824</v>
      </c>
      <c r="B1829" t="s">
        <v>2481</v>
      </c>
      <c r="C1829" s="2">
        <v>0.49375000000000002</v>
      </c>
      <c r="D1829" s="4">
        <f t="shared" si="222"/>
        <v>0.11319444444444449</v>
      </c>
      <c r="E1829" s="6">
        <v>0.38055555555555554</v>
      </c>
      <c r="F1829" s="5">
        <f t="shared" si="223"/>
        <v>0.77074542897327702</v>
      </c>
      <c r="G1829" s="5">
        <v>0.84799999999999998</v>
      </c>
      <c r="H1829" s="4">
        <f>64.1/1440</f>
        <v>4.4513888888888888E-2</v>
      </c>
      <c r="I1829" s="5">
        <v>9.9000000000000005E-2</v>
      </c>
      <c r="J1829" s="11" t="s">
        <v>2473</v>
      </c>
    </row>
    <row r="1830" spans="1:10" ht="13.15" customHeight="1" x14ac:dyDescent="0.25">
      <c r="A1830">
        <f t="shared" si="221"/>
        <v>1825</v>
      </c>
      <c r="B1830" t="s">
        <v>2482</v>
      </c>
      <c r="C1830" s="2">
        <v>0.46666666666666667</v>
      </c>
      <c r="D1830" s="4">
        <f t="shared" si="222"/>
        <v>0.10138888888888892</v>
      </c>
      <c r="E1830" s="6">
        <v>0.36527777777777776</v>
      </c>
      <c r="F1830" s="5">
        <f t="shared" si="223"/>
        <v>0.78273809523809523</v>
      </c>
      <c r="G1830" s="5">
        <v>0.86099999999999999</v>
      </c>
      <c r="H1830" s="4">
        <f>83.1/1440</f>
        <v>5.7708333333333327E-2</v>
      </c>
      <c r="I1830" s="5">
        <v>0.13600000000000001</v>
      </c>
      <c r="J1830" s="11" t="s">
        <v>2473</v>
      </c>
    </row>
    <row r="1831" spans="1:10" ht="13.15" customHeight="1" x14ac:dyDescent="0.25">
      <c r="A1831">
        <f t="shared" si="221"/>
        <v>1826</v>
      </c>
      <c r="B1831" t="s">
        <v>2485</v>
      </c>
      <c r="C1831" s="2">
        <v>0.44444444444444442</v>
      </c>
      <c r="D1831" s="4">
        <f t="shared" ref="D1831:D1848" si="224">C1831-E1831</f>
        <v>0.15972222222222221</v>
      </c>
      <c r="E1831" s="6">
        <v>0.28472222222222221</v>
      </c>
      <c r="F1831" s="5">
        <f t="shared" ref="F1831:F1848" si="225">E1831/C1831</f>
        <v>0.640625</v>
      </c>
      <c r="G1831" s="5">
        <v>0.63700000000000001</v>
      </c>
      <c r="H1831" s="4">
        <f>24.8/1440</f>
        <v>1.7222222222222222E-2</v>
      </c>
      <c r="I1831" s="5">
        <v>3.9E-2</v>
      </c>
      <c r="J1831" s="11" t="s">
        <v>2483</v>
      </c>
    </row>
    <row r="1832" spans="1:10" ht="13.15" customHeight="1" x14ac:dyDescent="0.25">
      <c r="A1832">
        <f t="shared" si="221"/>
        <v>1827</v>
      </c>
      <c r="B1832" t="s">
        <v>2486</v>
      </c>
      <c r="C1832" s="2">
        <v>0.39444444444444443</v>
      </c>
      <c r="D1832" s="4">
        <f t="shared" si="224"/>
        <v>0.12986111111111109</v>
      </c>
      <c r="E1832" s="6">
        <v>0.26458333333333334</v>
      </c>
      <c r="F1832" s="5">
        <f t="shared" si="225"/>
        <v>0.67077464788732399</v>
      </c>
      <c r="G1832" s="5">
        <v>0.64200000000000002</v>
      </c>
      <c r="H1832" s="4">
        <f>20.4/1440</f>
        <v>1.4166666666666666E-2</v>
      </c>
      <c r="I1832" s="5">
        <v>3.4000000000000002E-2</v>
      </c>
      <c r="J1832" s="11" t="s">
        <v>2483</v>
      </c>
    </row>
    <row r="1833" spans="1:10" ht="13.15" customHeight="1" x14ac:dyDescent="0.25">
      <c r="A1833">
        <f t="shared" si="221"/>
        <v>1828</v>
      </c>
      <c r="B1833" t="s">
        <v>2487</v>
      </c>
      <c r="C1833" s="2">
        <v>0.48888888888888887</v>
      </c>
      <c r="D1833" s="4">
        <f t="shared" si="224"/>
        <v>0.18402777777777773</v>
      </c>
      <c r="E1833" s="6">
        <v>0.30486111111111114</v>
      </c>
      <c r="F1833" s="5">
        <f t="shared" si="225"/>
        <v>0.62357954545454553</v>
      </c>
      <c r="G1833" s="5">
        <v>0.61299999999999999</v>
      </c>
      <c r="H1833" s="4">
        <f>28.2/1440</f>
        <v>1.9583333333333335E-2</v>
      </c>
      <c r="I1833" s="5">
        <v>3.9E-2</v>
      </c>
      <c r="J1833" s="11" t="s">
        <v>2483</v>
      </c>
    </row>
    <row r="1834" spans="1:10" ht="13.15" customHeight="1" x14ac:dyDescent="0.25">
      <c r="A1834">
        <f t="shared" si="221"/>
        <v>1829</v>
      </c>
      <c r="B1834" t="s">
        <v>2488</v>
      </c>
      <c r="C1834" s="2">
        <v>0.41041666666666665</v>
      </c>
      <c r="D1834" s="4">
        <f t="shared" si="224"/>
        <v>0.15486111111111112</v>
      </c>
      <c r="E1834" s="6">
        <v>0.25555555555555554</v>
      </c>
      <c r="F1834" s="5">
        <f t="shared" si="225"/>
        <v>0.62267343485617599</v>
      </c>
      <c r="G1834" s="5">
        <v>0.74199999999999999</v>
      </c>
      <c r="H1834" s="4">
        <f>22.3/1440</f>
        <v>1.5486111111111112E-2</v>
      </c>
      <c r="I1834" s="5">
        <v>4.4999999999999998E-2</v>
      </c>
      <c r="J1834" s="11" t="s">
        <v>2483</v>
      </c>
    </row>
    <row r="1835" spans="1:10" ht="13.15" customHeight="1" x14ac:dyDescent="0.25">
      <c r="A1835">
        <f t="shared" si="221"/>
        <v>1830</v>
      </c>
      <c r="B1835" t="s">
        <v>2489</v>
      </c>
      <c r="C1835" s="2">
        <v>0.39444444444444443</v>
      </c>
      <c r="D1835" s="4">
        <f t="shared" si="224"/>
        <v>0.1333333333333333</v>
      </c>
      <c r="E1835" s="6">
        <v>0.26111111111111113</v>
      </c>
      <c r="F1835" s="5">
        <f t="shared" si="225"/>
        <v>0.66197183098591561</v>
      </c>
      <c r="G1835" s="5">
        <v>0.61899999999999999</v>
      </c>
      <c r="H1835" s="4">
        <f>26.1/1440</f>
        <v>1.8125000000000002E-2</v>
      </c>
      <c r="I1835" s="5">
        <v>4.2999999999999997E-2</v>
      </c>
      <c r="J1835" s="11" t="s">
        <v>2483</v>
      </c>
    </row>
    <row r="1836" spans="1:10" ht="13.15" customHeight="1" x14ac:dyDescent="0.25">
      <c r="A1836">
        <f t="shared" si="221"/>
        <v>1831</v>
      </c>
      <c r="B1836" t="s">
        <v>2490</v>
      </c>
      <c r="C1836" s="2">
        <v>0.45902777777777776</v>
      </c>
      <c r="D1836" s="4">
        <f t="shared" si="224"/>
        <v>0.15486111111111112</v>
      </c>
      <c r="E1836" s="6">
        <v>0.30416666666666664</v>
      </c>
      <c r="F1836" s="5">
        <f t="shared" si="225"/>
        <v>0.66263237518910734</v>
      </c>
      <c r="G1836" s="5">
        <v>0.58899999999999997</v>
      </c>
      <c r="H1836" s="4">
        <f>28/1440</f>
        <v>1.9444444444444445E-2</v>
      </c>
      <c r="I1836" s="5">
        <v>3.7999999999999999E-2</v>
      </c>
      <c r="J1836" s="11" t="s">
        <v>2484</v>
      </c>
    </row>
    <row r="1837" spans="1:10" ht="13.15" customHeight="1" x14ac:dyDescent="0.25">
      <c r="A1837">
        <f t="shared" si="221"/>
        <v>1832</v>
      </c>
      <c r="B1837" t="s">
        <v>2491</v>
      </c>
      <c r="C1837" s="2">
        <v>0.54652777777777772</v>
      </c>
      <c r="D1837" s="4">
        <f t="shared" si="224"/>
        <v>0.22430555555555548</v>
      </c>
      <c r="E1837" s="6">
        <v>0.32222222222222224</v>
      </c>
      <c r="F1837" s="5">
        <f t="shared" si="225"/>
        <v>0.58958068614993653</v>
      </c>
      <c r="G1837" s="5">
        <v>0.66</v>
      </c>
      <c r="H1837" s="4">
        <f>23.1/1440</f>
        <v>1.6041666666666669E-2</v>
      </c>
      <c r="I1837" s="5">
        <v>3.3000000000000002E-2</v>
      </c>
      <c r="J1837" s="11" t="s">
        <v>2484</v>
      </c>
    </row>
    <row r="1838" spans="1:10" ht="13.15" customHeight="1" x14ac:dyDescent="0.25">
      <c r="A1838">
        <f t="shared" si="221"/>
        <v>1833</v>
      </c>
      <c r="B1838" t="s">
        <v>2492</v>
      </c>
      <c r="C1838" s="2">
        <v>0.55625000000000002</v>
      </c>
      <c r="D1838" s="4">
        <f t="shared" si="224"/>
        <v>0.14513888888888893</v>
      </c>
      <c r="E1838" s="6">
        <v>0.41111111111111109</v>
      </c>
      <c r="F1838" s="5">
        <f t="shared" si="225"/>
        <v>0.7390761548064918</v>
      </c>
      <c r="G1838" s="5">
        <v>0.44600000000000001</v>
      </c>
      <c r="H1838" s="4">
        <f>23.6/1440</f>
        <v>1.638888888888889E-2</v>
      </c>
      <c r="I1838" s="5">
        <v>1.7999999999999999E-2</v>
      </c>
      <c r="J1838" s="11" t="s">
        <v>2484</v>
      </c>
    </row>
    <row r="1839" spans="1:10" ht="13.15" customHeight="1" x14ac:dyDescent="0.25">
      <c r="A1839">
        <f t="shared" si="221"/>
        <v>1834</v>
      </c>
      <c r="B1839" t="s">
        <v>2493</v>
      </c>
      <c r="C1839" s="2">
        <v>0.45763888888888887</v>
      </c>
      <c r="D1839" s="4">
        <f t="shared" si="224"/>
        <v>0.20277777777777778</v>
      </c>
      <c r="E1839" s="6">
        <v>0.25486111111111109</v>
      </c>
      <c r="F1839" s="5">
        <f t="shared" si="225"/>
        <v>0.55690440060698021</v>
      </c>
      <c r="G1839" s="5">
        <v>0.53800000000000003</v>
      </c>
      <c r="H1839" s="4">
        <f>25.8/1440</f>
        <v>1.7916666666666668E-2</v>
      </c>
      <c r="I1839" s="5">
        <v>3.7999999999999999E-2</v>
      </c>
      <c r="J1839" s="11" t="s">
        <v>2484</v>
      </c>
    </row>
    <row r="1840" spans="1:10" ht="13.15" customHeight="1" x14ac:dyDescent="0.25">
      <c r="A1840">
        <f t="shared" si="221"/>
        <v>1835</v>
      </c>
      <c r="B1840" t="s">
        <v>2494</v>
      </c>
      <c r="C1840" s="2">
        <v>0.40138888888888891</v>
      </c>
      <c r="D1840" s="4">
        <f t="shared" si="224"/>
        <v>0.15763888888888891</v>
      </c>
      <c r="E1840" s="6">
        <v>0.24374999999999999</v>
      </c>
      <c r="F1840" s="5">
        <f t="shared" si="225"/>
        <v>0.60726643598615915</v>
      </c>
      <c r="G1840" s="5">
        <v>0.70299999999999996</v>
      </c>
      <c r="H1840" s="4">
        <f>17.3/1440</f>
        <v>1.201388888888889E-2</v>
      </c>
      <c r="I1840" s="5">
        <v>3.5000000000000003E-2</v>
      </c>
      <c r="J1840" s="11" t="s">
        <v>2503</v>
      </c>
    </row>
    <row r="1841" spans="1:10" ht="13.15" customHeight="1" x14ac:dyDescent="0.25">
      <c r="A1841">
        <f t="shared" si="221"/>
        <v>1836</v>
      </c>
      <c r="B1841" t="s">
        <v>2495</v>
      </c>
      <c r="C1841" s="2">
        <v>0.40555555555555556</v>
      </c>
      <c r="D1841" s="4">
        <f t="shared" si="224"/>
        <v>0.14305555555555555</v>
      </c>
      <c r="E1841" s="6">
        <v>0.26250000000000001</v>
      </c>
      <c r="F1841" s="5">
        <f t="shared" si="225"/>
        <v>0.64726027397260277</v>
      </c>
      <c r="G1841" s="5">
        <v>0.70499999999999996</v>
      </c>
      <c r="H1841" s="4">
        <f>20.9/1440</f>
        <v>1.4513888888888889E-2</v>
      </c>
      <c r="I1841" s="5">
        <v>3.9E-2</v>
      </c>
      <c r="J1841" s="11" t="s">
        <v>2503</v>
      </c>
    </row>
    <row r="1842" spans="1:10" ht="13.15" customHeight="1" x14ac:dyDescent="0.25">
      <c r="A1842">
        <f t="shared" si="221"/>
        <v>1837</v>
      </c>
      <c r="B1842" t="s">
        <v>2496</v>
      </c>
      <c r="C1842" s="2">
        <v>0.43125000000000002</v>
      </c>
      <c r="D1842" s="4">
        <f t="shared" si="224"/>
        <v>0.16875000000000001</v>
      </c>
      <c r="E1842" s="6">
        <v>0.26250000000000001</v>
      </c>
      <c r="F1842" s="5">
        <f t="shared" si="225"/>
        <v>0.60869565217391308</v>
      </c>
      <c r="G1842" s="5">
        <v>0.70699999999999996</v>
      </c>
      <c r="H1842" s="4">
        <f>17.9/1440</f>
        <v>1.2430555555555554E-2</v>
      </c>
      <c r="I1842" s="5">
        <v>3.3000000000000002E-2</v>
      </c>
      <c r="J1842" s="11" t="s">
        <v>2503</v>
      </c>
    </row>
    <row r="1843" spans="1:10" ht="13.15" customHeight="1" x14ac:dyDescent="0.25">
      <c r="A1843">
        <f t="shared" si="221"/>
        <v>1838</v>
      </c>
      <c r="B1843" t="s">
        <v>2497</v>
      </c>
      <c r="C1843" s="2">
        <v>0.47638888888888886</v>
      </c>
      <c r="D1843" s="4">
        <f t="shared" si="224"/>
        <v>0.16805555555555551</v>
      </c>
      <c r="E1843" s="6">
        <v>0.30833333333333335</v>
      </c>
      <c r="F1843" s="5">
        <f t="shared" si="225"/>
        <v>0.64723032069970854</v>
      </c>
      <c r="G1843" s="5">
        <v>0.76700000000000002</v>
      </c>
      <c r="H1843" s="4">
        <f>16.9/1440</f>
        <v>1.173611111111111E-2</v>
      </c>
      <c r="I1843" s="5">
        <v>2.9000000000000001E-2</v>
      </c>
      <c r="J1843" s="11" t="s">
        <v>2503</v>
      </c>
    </row>
    <row r="1844" spans="1:10" ht="13.15" customHeight="1" x14ac:dyDescent="0.25">
      <c r="A1844">
        <f t="shared" si="221"/>
        <v>1839</v>
      </c>
      <c r="B1844" t="s">
        <v>2498</v>
      </c>
      <c r="C1844" s="2">
        <v>0.3576388888888889</v>
      </c>
      <c r="D1844" s="4">
        <f t="shared" si="224"/>
        <v>0.15416666666666667</v>
      </c>
      <c r="E1844" s="6">
        <v>0.20347222222222222</v>
      </c>
      <c r="F1844" s="5">
        <f t="shared" si="225"/>
        <v>0.56893203883495147</v>
      </c>
      <c r="G1844" s="5">
        <v>0.79700000000000004</v>
      </c>
      <c r="H1844" s="4">
        <f>10.5/1440</f>
        <v>7.2916666666666668E-3</v>
      </c>
      <c r="I1844" s="5">
        <v>2.8000000000000001E-2</v>
      </c>
      <c r="J1844" s="11" t="s">
        <v>2503</v>
      </c>
    </row>
    <row r="1845" spans="1:10" ht="13.15" customHeight="1" x14ac:dyDescent="0.25">
      <c r="A1845">
        <f t="shared" si="221"/>
        <v>1840</v>
      </c>
      <c r="B1845" t="s">
        <v>2499</v>
      </c>
      <c r="C1845" s="2">
        <v>0.37638888888888888</v>
      </c>
      <c r="D1845" s="4">
        <f t="shared" si="224"/>
        <v>0.15625</v>
      </c>
      <c r="E1845" s="6">
        <v>0.22013888888888888</v>
      </c>
      <c r="F1845" s="5">
        <f t="shared" si="225"/>
        <v>0.58487084870848705</v>
      </c>
      <c r="G1845" s="5">
        <v>0.65400000000000003</v>
      </c>
      <c r="H1845" s="4">
        <f>16/1440</f>
        <v>1.1111111111111112E-2</v>
      </c>
      <c r="I1845" s="5">
        <v>3.3000000000000002E-2</v>
      </c>
      <c r="J1845" s="11" t="s">
        <v>2504</v>
      </c>
    </row>
    <row r="1846" spans="1:10" ht="13.15" customHeight="1" x14ac:dyDescent="0.25">
      <c r="A1846">
        <f t="shared" si="221"/>
        <v>1841</v>
      </c>
      <c r="B1846" t="s">
        <v>2500</v>
      </c>
      <c r="C1846" s="2">
        <v>0.40347222222222223</v>
      </c>
      <c r="D1846" s="4">
        <f t="shared" si="224"/>
        <v>0.18333333333333335</v>
      </c>
      <c r="E1846" s="6">
        <v>0.22013888888888888</v>
      </c>
      <c r="F1846" s="5">
        <f t="shared" si="225"/>
        <v>0.54561101549053359</v>
      </c>
      <c r="G1846" s="5">
        <v>0.64300000000000002</v>
      </c>
      <c r="H1846" s="4">
        <f>16.3/1440</f>
        <v>1.1319444444444444E-2</v>
      </c>
      <c r="I1846" s="5">
        <v>3.3000000000000002E-2</v>
      </c>
      <c r="J1846" s="11" t="s">
        <v>2504</v>
      </c>
    </row>
    <row r="1847" spans="1:10" ht="13.15" customHeight="1" x14ac:dyDescent="0.25">
      <c r="A1847">
        <f t="shared" si="221"/>
        <v>1842</v>
      </c>
      <c r="B1847" t="s">
        <v>2501</v>
      </c>
      <c r="C1847" s="2">
        <v>0.35</v>
      </c>
      <c r="D1847" s="4">
        <f t="shared" si="224"/>
        <v>0.14999999999999997</v>
      </c>
      <c r="E1847" s="6">
        <v>0.2</v>
      </c>
      <c r="F1847" s="5">
        <f t="shared" si="225"/>
        <v>0.57142857142857151</v>
      </c>
      <c r="G1847" s="5">
        <v>0.73099999999999998</v>
      </c>
      <c r="H1847" s="4">
        <f>14.6/1440</f>
        <v>1.0138888888888888E-2</v>
      </c>
      <c r="I1847" s="5">
        <v>3.6999999999999998E-2</v>
      </c>
      <c r="J1847" s="11" t="s">
        <v>2504</v>
      </c>
    </row>
    <row r="1848" spans="1:10" ht="13.15" customHeight="1" x14ac:dyDescent="0.25">
      <c r="A1848">
        <f t="shared" si="221"/>
        <v>1843</v>
      </c>
      <c r="B1848" t="s">
        <v>2502</v>
      </c>
      <c r="C1848" s="2">
        <v>0.4</v>
      </c>
      <c r="D1848" s="4">
        <f t="shared" si="224"/>
        <v>0.18194444444444446</v>
      </c>
      <c r="E1848" s="6">
        <v>0.21805555555555556</v>
      </c>
      <c r="F1848" s="5">
        <f t="shared" si="225"/>
        <v>0.54513888888888884</v>
      </c>
      <c r="G1848" s="5">
        <v>0.42</v>
      </c>
      <c r="H1848" s="4">
        <f>15.6/1440</f>
        <v>1.0833333333333334E-2</v>
      </c>
      <c r="I1848" s="5">
        <v>2.1000000000000001E-2</v>
      </c>
      <c r="J1848" s="11" t="s">
        <v>2504</v>
      </c>
    </row>
    <row r="1849" spans="1:10" ht="13.15" customHeight="1" x14ac:dyDescent="0.25">
      <c r="A1849">
        <f t="shared" si="221"/>
        <v>1844</v>
      </c>
      <c r="B1849" t="s">
        <v>2507</v>
      </c>
      <c r="C1849" s="2">
        <v>0.43055555555555558</v>
      </c>
      <c r="D1849" s="4">
        <f t="shared" ref="D1849:D1857" si="226">C1849-E1849</f>
        <v>0.10972222222222222</v>
      </c>
      <c r="E1849" s="6">
        <v>0.32083333333333336</v>
      </c>
      <c r="F1849" s="5">
        <f t="shared" ref="F1849:F1857" si="227">E1849/C1849</f>
        <v>0.74516129032258072</v>
      </c>
      <c r="G1849" s="5">
        <v>0.79300000000000004</v>
      </c>
      <c r="H1849" s="4">
        <f>62.4/1440</f>
        <v>4.3333333333333335E-2</v>
      </c>
      <c r="I1849" s="5">
        <v>0.107</v>
      </c>
      <c r="J1849" s="11" t="s">
        <v>2505</v>
      </c>
    </row>
    <row r="1850" spans="1:10" ht="13.15" customHeight="1" x14ac:dyDescent="0.25">
      <c r="A1850">
        <f t="shared" si="221"/>
        <v>1845</v>
      </c>
      <c r="B1850" t="s">
        <v>2508</v>
      </c>
      <c r="C1850" s="2">
        <v>0.43263888888888891</v>
      </c>
      <c r="D1850" s="4">
        <f t="shared" si="226"/>
        <v>0.10625000000000001</v>
      </c>
      <c r="E1850" s="6">
        <v>0.3263888888888889</v>
      </c>
      <c r="F1850" s="5">
        <f t="shared" si="227"/>
        <v>0.75441412520064199</v>
      </c>
      <c r="G1850" s="5">
        <v>0.85699999999999998</v>
      </c>
      <c r="H1850" s="4">
        <f>60.2/1440</f>
        <v>4.1805555555555554E-2</v>
      </c>
      <c r="I1850" s="5">
        <v>0.11</v>
      </c>
      <c r="J1850" s="11" t="s">
        <v>2505</v>
      </c>
    </row>
    <row r="1851" spans="1:10" ht="13.15" customHeight="1" x14ac:dyDescent="0.25">
      <c r="A1851">
        <f t="shared" si="221"/>
        <v>1846</v>
      </c>
      <c r="B1851" t="s">
        <v>2509</v>
      </c>
      <c r="C1851" s="2">
        <v>0.38750000000000001</v>
      </c>
      <c r="D1851" s="4">
        <f t="shared" si="226"/>
        <v>0.10625000000000001</v>
      </c>
      <c r="E1851" s="6">
        <v>0.28125</v>
      </c>
      <c r="F1851" s="5">
        <f t="shared" si="227"/>
        <v>0.72580645161290325</v>
      </c>
      <c r="G1851" s="5">
        <v>0.73899999999999999</v>
      </c>
      <c r="H1851" s="4">
        <f>58.7/1440</f>
        <v>4.0763888888888891E-2</v>
      </c>
      <c r="I1851" s="5">
        <v>0.107</v>
      </c>
      <c r="J1851" s="11" t="s">
        <v>2505</v>
      </c>
    </row>
    <row r="1852" spans="1:10" ht="13.15" customHeight="1" x14ac:dyDescent="0.25">
      <c r="A1852">
        <f t="shared" si="221"/>
        <v>1847</v>
      </c>
      <c r="B1852" t="s">
        <v>2510</v>
      </c>
      <c r="C1852" s="2">
        <v>0.39444444444444443</v>
      </c>
      <c r="D1852" s="4">
        <f t="shared" si="226"/>
        <v>9.3055555555555558E-2</v>
      </c>
      <c r="E1852" s="6">
        <v>0.30138888888888887</v>
      </c>
      <c r="F1852" s="5">
        <f t="shared" si="227"/>
        <v>0.7640845070422535</v>
      </c>
      <c r="G1852" s="5">
        <v>0.71699999999999997</v>
      </c>
      <c r="H1852" s="4">
        <f>51.8/1440</f>
        <v>3.5972222222222218E-2</v>
      </c>
      <c r="I1852" s="5">
        <v>8.5000000000000006E-2</v>
      </c>
      <c r="J1852" s="11" t="s">
        <v>2505</v>
      </c>
    </row>
    <row r="1853" spans="1:10" ht="13.15" customHeight="1" x14ac:dyDescent="0.25">
      <c r="A1853">
        <f t="shared" si="221"/>
        <v>1848</v>
      </c>
      <c r="B1853" t="s">
        <v>2511</v>
      </c>
      <c r="C1853" s="2">
        <v>0.43888888888888888</v>
      </c>
      <c r="D1853" s="4">
        <f t="shared" si="226"/>
        <v>0.12569444444444444</v>
      </c>
      <c r="E1853" s="6">
        <v>0.31319444444444444</v>
      </c>
      <c r="F1853" s="5">
        <f t="shared" si="227"/>
        <v>0.71360759493670889</v>
      </c>
      <c r="G1853" s="5">
        <v>0.78800000000000003</v>
      </c>
      <c r="H1853" s="4">
        <f>61.9/1440</f>
        <v>4.2986111111111107E-2</v>
      </c>
      <c r="I1853" s="5">
        <v>0.108</v>
      </c>
      <c r="J1853" s="11" t="s">
        <v>2505</v>
      </c>
    </row>
    <row r="1854" spans="1:10" ht="13.15" customHeight="1" x14ac:dyDescent="0.25">
      <c r="A1854">
        <f t="shared" si="221"/>
        <v>1849</v>
      </c>
      <c r="B1854" t="s">
        <v>2512</v>
      </c>
      <c r="C1854" s="2">
        <v>0.46111111111111114</v>
      </c>
      <c r="D1854" s="4">
        <f t="shared" si="226"/>
        <v>0.125</v>
      </c>
      <c r="E1854" s="6">
        <v>0.33611111111111114</v>
      </c>
      <c r="F1854" s="5">
        <f t="shared" si="227"/>
        <v>0.72891566265060248</v>
      </c>
      <c r="G1854" s="5">
        <v>0.77300000000000002</v>
      </c>
      <c r="H1854" s="4">
        <f>65.5/1440</f>
        <v>4.5486111111111109E-2</v>
      </c>
      <c r="I1854" s="5">
        <v>0.104</v>
      </c>
      <c r="J1854" s="11" t="s">
        <v>2506</v>
      </c>
    </row>
    <row r="1855" spans="1:10" ht="13.15" customHeight="1" x14ac:dyDescent="0.25">
      <c r="A1855">
        <f t="shared" si="221"/>
        <v>1850</v>
      </c>
      <c r="B1855" t="s">
        <v>2513</v>
      </c>
      <c r="C1855" s="2">
        <v>0.54722222222222228</v>
      </c>
      <c r="D1855" s="4">
        <f t="shared" si="226"/>
        <v>0.11944444444444452</v>
      </c>
      <c r="E1855" s="6">
        <v>0.42777777777777776</v>
      </c>
      <c r="F1855" s="5">
        <f t="shared" si="227"/>
        <v>0.781725888324873</v>
      </c>
      <c r="G1855" s="5">
        <v>0.84199999999999997</v>
      </c>
      <c r="H1855" s="4">
        <f>72.2/1440</f>
        <v>5.0138888888888893E-2</v>
      </c>
      <c r="I1855" s="5">
        <v>9.9000000000000005E-2</v>
      </c>
      <c r="J1855" s="11" t="s">
        <v>2506</v>
      </c>
    </row>
    <row r="1856" spans="1:10" ht="13.15" customHeight="1" x14ac:dyDescent="0.25">
      <c r="A1856">
        <f t="shared" si="221"/>
        <v>1851</v>
      </c>
      <c r="B1856" t="s">
        <v>2514</v>
      </c>
      <c r="C1856" s="2">
        <v>0.42222222222222222</v>
      </c>
      <c r="D1856" s="4">
        <f t="shared" si="226"/>
        <v>0.11458333333333331</v>
      </c>
      <c r="E1856" s="6">
        <v>0.30763888888888891</v>
      </c>
      <c r="F1856" s="5">
        <f t="shared" si="227"/>
        <v>0.72861842105263164</v>
      </c>
      <c r="G1856" s="5">
        <v>0.80500000000000005</v>
      </c>
      <c r="H1856" s="4">
        <f>65.9/1440</f>
        <v>4.5763888888888896E-2</v>
      </c>
      <c r="I1856" s="5">
        <v>0.12</v>
      </c>
      <c r="J1856" s="11" t="s">
        <v>2506</v>
      </c>
    </row>
    <row r="1857" spans="1:10" ht="13.15" customHeight="1" x14ac:dyDescent="0.25">
      <c r="A1857">
        <f t="shared" si="221"/>
        <v>1852</v>
      </c>
      <c r="B1857" t="s">
        <v>2515</v>
      </c>
      <c r="C1857" s="2">
        <v>0.45555555555555555</v>
      </c>
      <c r="D1857" s="4">
        <f t="shared" si="226"/>
        <v>9.8611111111111094E-2</v>
      </c>
      <c r="E1857" s="6">
        <v>0.35694444444444445</v>
      </c>
      <c r="F1857" s="5">
        <f t="shared" si="227"/>
        <v>0.78353658536585369</v>
      </c>
      <c r="G1857" s="5">
        <v>0.89600000000000002</v>
      </c>
      <c r="H1857" s="4">
        <f>93.7/1440</f>
        <v>6.5069444444444444E-2</v>
      </c>
      <c r="I1857" s="5">
        <v>0.16300000000000001</v>
      </c>
      <c r="J1857" s="11" t="s">
        <v>2506</v>
      </c>
    </row>
    <row r="1858" spans="1:10" ht="13.15" customHeight="1" x14ac:dyDescent="0.25">
      <c r="A1858">
        <f t="shared" si="221"/>
        <v>1853</v>
      </c>
      <c r="B1858" t="s">
        <v>2516</v>
      </c>
      <c r="C1858" s="2">
        <v>0.47638888888888886</v>
      </c>
      <c r="D1858" s="4">
        <f t="shared" ref="D1858:D1866" si="228">C1858-E1858</f>
        <v>0.12222222222222218</v>
      </c>
      <c r="E1858" s="6">
        <v>0.35416666666666669</v>
      </c>
      <c r="F1858" s="5">
        <f t="shared" ref="F1858:F1866" si="229">E1858/C1858</f>
        <v>0.74344023323615172</v>
      </c>
      <c r="G1858" s="5">
        <v>1</v>
      </c>
      <c r="H1858" s="4">
        <f>77.6/1440</f>
        <v>5.3888888888888882E-2</v>
      </c>
      <c r="I1858" s="5">
        <v>0.152</v>
      </c>
      <c r="J1858" s="11" t="s">
        <v>2525</v>
      </c>
    </row>
    <row r="1859" spans="1:10" ht="13.15" customHeight="1" x14ac:dyDescent="0.25">
      <c r="A1859">
        <f t="shared" si="221"/>
        <v>1854</v>
      </c>
      <c r="B1859" t="s">
        <v>2517</v>
      </c>
      <c r="C1859" s="2">
        <v>0.47361111111111109</v>
      </c>
      <c r="D1859" s="4">
        <f t="shared" si="228"/>
        <v>0.11874999999999997</v>
      </c>
      <c r="E1859" s="6">
        <v>0.35486111111111113</v>
      </c>
      <c r="F1859" s="5">
        <f t="shared" si="229"/>
        <v>0.74926686217008809</v>
      </c>
      <c r="G1859" s="5">
        <v>1</v>
      </c>
      <c r="H1859" s="4">
        <f>84.8/1440</f>
        <v>5.8888888888888886E-2</v>
      </c>
      <c r="I1859" s="5">
        <v>0.16600000000000001</v>
      </c>
      <c r="J1859" s="11" t="s">
        <v>2525</v>
      </c>
    </row>
    <row r="1860" spans="1:10" ht="13.15" customHeight="1" x14ac:dyDescent="0.25">
      <c r="A1860">
        <f t="shared" si="221"/>
        <v>1855</v>
      </c>
      <c r="B1860" t="s">
        <v>2518</v>
      </c>
      <c r="C1860" s="2">
        <v>0.47499999999999998</v>
      </c>
      <c r="D1860" s="4">
        <f t="shared" si="228"/>
        <v>0.12986111111111109</v>
      </c>
      <c r="E1860" s="6">
        <v>0.34513888888888888</v>
      </c>
      <c r="F1860" s="5">
        <f t="shared" si="229"/>
        <v>0.72660818713450293</v>
      </c>
      <c r="G1860" s="5">
        <v>1</v>
      </c>
      <c r="H1860" s="4">
        <f>67.3/1440</f>
        <v>4.673611111111111E-2</v>
      </c>
      <c r="I1860" s="5">
        <v>0.13500000000000001</v>
      </c>
      <c r="J1860" s="11" t="s">
        <v>2525</v>
      </c>
    </row>
    <row r="1861" spans="1:10" ht="13.15" customHeight="1" x14ac:dyDescent="0.25">
      <c r="A1861">
        <f t="shared" si="221"/>
        <v>1856</v>
      </c>
      <c r="B1861" t="s">
        <v>2519</v>
      </c>
      <c r="C1861" s="2">
        <v>0.42430555555555555</v>
      </c>
      <c r="D1861" s="4">
        <f t="shared" si="228"/>
        <v>0.14097222222222222</v>
      </c>
      <c r="E1861" s="6">
        <v>0.28333333333333333</v>
      </c>
      <c r="F1861" s="5">
        <f t="shared" si="229"/>
        <v>0.66775777414075288</v>
      </c>
      <c r="G1861" s="5">
        <v>1</v>
      </c>
      <c r="H1861" s="4">
        <f>62.6/1440</f>
        <v>4.3472222222222225E-2</v>
      </c>
      <c r="I1861" s="5">
        <v>0.153</v>
      </c>
      <c r="J1861" s="11" t="s">
        <v>2525</v>
      </c>
    </row>
    <row r="1862" spans="1:10" ht="13.15" customHeight="1" x14ac:dyDescent="0.25">
      <c r="A1862">
        <f t="shared" si="221"/>
        <v>1857</v>
      </c>
      <c r="B1862" t="s">
        <v>2520</v>
      </c>
      <c r="C1862" s="2">
        <v>0.44236111111111109</v>
      </c>
      <c r="D1862" s="4">
        <f t="shared" si="228"/>
        <v>9.8611111111111094E-2</v>
      </c>
      <c r="E1862" s="6">
        <v>0.34375</v>
      </c>
      <c r="F1862" s="5">
        <f t="shared" si="229"/>
        <v>0.77708006279434849</v>
      </c>
      <c r="G1862" s="5">
        <v>1</v>
      </c>
      <c r="H1862" s="4">
        <f>82.7/1440</f>
        <v>5.7430555555555554E-2</v>
      </c>
      <c r="I1862" s="5">
        <v>0.16700000000000001</v>
      </c>
      <c r="J1862" s="11" t="s">
        <v>2525</v>
      </c>
    </row>
    <row r="1863" spans="1:10" ht="13.15" customHeight="1" x14ac:dyDescent="0.25">
      <c r="A1863">
        <f t="shared" si="221"/>
        <v>1858</v>
      </c>
      <c r="B1863" t="s">
        <v>2521</v>
      </c>
      <c r="C1863" s="2">
        <v>0.46041666666666664</v>
      </c>
      <c r="D1863" s="4">
        <f t="shared" si="228"/>
        <v>0.13402777777777775</v>
      </c>
      <c r="E1863" s="6">
        <v>0.3263888888888889</v>
      </c>
      <c r="F1863" s="5">
        <f t="shared" si="229"/>
        <v>0.70889894419306188</v>
      </c>
      <c r="G1863" s="5">
        <v>1</v>
      </c>
      <c r="H1863" s="4">
        <f>73.1/1440</f>
        <v>5.0763888888888886E-2</v>
      </c>
      <c r="I1863" s="5">
        <v>0.155</v>
      </c>
      <c r="J1863" s="11" t="s">
        <v>2526</v>
      </c>
    </row>
    <row r="1864" spans="1:10" ht="13.15" customHeight="1" x14ac:dyDescent="0.25">
      <c r="A1864">
        <f t="shared" si="221"/>
        <v>1859</v>
      </c>
      <c r="B1864" t="s">
        <v>2522</v>
      </c>
      <c r="C1864" s="2">
        <v>0.59583333333333333</v>
      </c>
      <c r="D1864" s="4">
        <f t="shared" si="228"/>
        <v>0.13611111111111113</v>
      </c>
      <c r="E1864" s="6">
        <v>0.4597222222222222</v>
      </c>
      <c r="F1864" s="5">
        <f t="shared" si="229"/>
        <v>0.77156177156177153</v>
      </c>
      <c r="G1864" s="5">
        <v>1</v>
      </c>
      <c r="H1864" s="4">
        <f>86.7/1440</f>
        <v>6.0208333333333336E-2</v>
      </c>
      <c r="I1864" s="5">
        <v>0.13100000000000001</v>
      </c>
      <c r="J1864" s="11" t="s">
        <v>2526</v>
      </c>
    </row>
    <row r="1865" spans="1:10" ht="13.15" customHeight="1" x14ac:dyDescent="0.25">
      <c r="A1865">
        <f t="shared" si="221"/>
        <v>1860</v>
      </c>
      <c r="B1865" t="s">
        <v>2523</v>
      </c>
      <c r="C1865" s="2">
        <v>0.52777777777777779</v>
      </c>
      <c r="D1865" s="4">
        <f t="shared" si="228"/>
        <v>0.1340277777777778</v>
      </c>
      <c r="E1865" s="6">
        <v>0.39374999999999999</v>
      </c>
      <c r="F1865" s="5">
        <f t="shared" si="229"/>
        <v>0.7460526315789473</v>
      </c>
      <c r="G1865" s="5">
        <v>1</v>
      </c>
      <c r="H1865" s="4">
        <f>76.6/1440</f>
        <v>5.319444444444444E-2</v>
      </c>
      <c r="I1865" s="5">
        <v>0.13500000000000001</v>
      </c>
      <c r="J1865" s="11" t="s">
        <v>2526</v>
      </c>
    </row>
    <row r="1866" spans="1:10" ht="13.15" customHeight="1" x14ac:dyDescent="0.25">
      <c r="A1866">
        <f t="shared" si="221"/>
        <v>1861</v>
      </c>
      <c r="B1866" t="s">
        <v>2524</v>
      </c>
      <c r="C1866" s="2">
        <v>0.55277777777777781</v>
      </c>
      <c r="D1866" s="4">
        <f t="shared" si="228"/>
        <v>0.12152777777777779</v>
      </c>
      <c r="E1866" s="6">
        <v>0.43125000000000002</v>
      </c>
      <c r="F1866" s="5">
        <f t="shared" si="229"/>
        <v>0.78015075376884424</v>
      </c>
      <c r="G1866" s="5">
        <v>1</v>
      </c>
      <c r="H1866" s="4">
        <f>95.8/1440</f>
        <v>6.6527777777777769E-2</v>
      </c>
      <c r="I1866" s="5">
        <v>0.154</v>
      </c>
      <c r="J1866" s="11" t="s">
        <v>2526</v>
      </c>
    </row>
    <row r="1867" spans="1:10" ht="13.15" customHeight="1" x14ac:dyDescent="0.25">
      <c r="A1867">
        <f t="shared" si="221"/>
        <v>1862</v>
      </c>
      <c r="B1867" t="s">
        <v>2529</v>
      </c>
      <c r="C1867" s="2">
        <v>0.48333333333333334</v>
      </c>
      <c r="D1867" s="4">
        <f t="shared" ref="D1867:D1875" si="230">C1867-E1867</f>
        <v>0.13124999999999998</v>
      </c>
      <c r="E1867" s="6">
        <v>0.35208333333333336</v>
      </c>
      <c r="F1867" s="5">
        <f t="shared" ref="F1867:F1875" si="231">E1867/C1867</f>
        <v>0.72844827586206906</v>
      </c>
      <c r="G1867" s="5">
        <v>0.76900000000000002</v>
      </c>
      <c r="H1867" s="4">
        <f>58.6/1440</f>
        <v>4.0694444444444443E-2</v>
      </c>
      <c r="I1867" s="5">
        <v>8.8999999999999996E-2</v>
      </c>
      <c r="J1867" s="11" t="s">
        <v>2527</v>
      </c>
    </row>
    <row r="1868" spans="1:10" ht="13.15" customHeight="1" x14ac:dyDescent="0.25">
      <c r="A1868">
        <f t="shared" si="221"/>
        <v>1863</v>
      </c>
      <c r="B1868" t="s">
        <v>2530</v>
      </c>
      <c r="C1868" s="2">
        <v>0.47083333333333333</v>
      </c>
      <c r="D1868" s="4">
        <f t="shared" si="230"/>
        <v>0.12777777777777777</v>
      </c>
      <c r="E1868" s="6">
        <v>0.34305555555555556</v>
      </c>
      <c r="F1868" s="5">
        <f t="shared" si="231"/>
        <v>0.72861356932153398</v>
      </c>
      <c r="G1868" s="5">
        <v>0.78500000000000003</v>
      </c>
      <c r="H1868" s="4">
        <f>63.3/1440</f>
        <v>4.3958333333333328E-2</v>
      </c>
      <c r="I1868" s="5">
        <v>0.1</v>
      </c>
      <c r="J1868" s="11" t="s">
        <v>2527</v>
      </c>
    </row>
    <row r="1869" spans="1:10" ht="13.15" customHeight="1" x14ac:dyDescent="0.25">
      <c r="A1869">
        <f t="shared" si="221"/>
        <v>1864</v>
      </c>
      <c r="B1869" t="s">
        <v>2531</v>
      </c>
      <c r="C1869" s="2">
        <v>0.47499999999999998</v>
      </c>
      <c r="D1869" s="4">
        <f t="shared" si="230"/>
        <v>0.13611111111111107</v>
      </c>
      <c r="E1869" s="6">
        <v>0.33888888888888891</v>
      </c>
      <c r="F1869" s="5">
        <f t="shared" si="231"/>
        <v>0.71345029239766089</v>
      </c>
      <c r="G1869" s="5">
        <v>0.77400000000000002</v>
      </c>
      <c r="H1869" s="4">
        <f>53.6/1440</f>
        <v>3.7222222222222226E-2</v>
      </c>
      <c r="I1869" s="5">
        <v>8.5000000000000006E-2</v>
      </c>
      <c r="J1869" s="11" t="s">
        <v>2527</v>
      </c>
    </row>
    <row r="1870" spans="1:10" ht="13.15" customHeight="1" x14ac:dyDescent="0.25">
      <c r="A1870">
        <f t="shared" si="221"/>
        <v>1865</v>
      </c>
      <c r="B1870" t="s">
        <v>2532</v>
      </c>
      <c r="C1870" s="2">
        <v>0.47847222222222224</v>
      </c>
      <c r="D1870" s="4">
        <f t="shared" si="230"/>
        <v>0.13541666666666669</v>
      </c>
      <c r="E1870" s="6">
        <v>0.34305555555555556</v>
      </c>
      <c r="F1870" s="5">
        <f t="shared" si="231"/>
        <v>0.71698113207547165</v>
      </c>
      <c r="G1870" s="5">
        <v>0.68799999999999994</v>
      </c>
      <c r="H1870" s="4">
        <f>51/1440</f>
        <v>3.5416666666666666E-2</v>
      </c>
      <c r="I1870" s="5">
        <v>7.0999999999999994E-2</v>
      </c>
      <c r="J1870" s="11" t="s">
        <v>2527</v>
      </c>
    </row>
    <row r="1871" spans="1:10" ht="13.15" customHeight="1" x14ac:dyDescent="0.25">
      <c r="A1871">
        <f t="shared" si="221"/>
        <v>1866</v>
      </c>
      <c r="B1871" t="s">
        <v>2533</v>
      </c>
      <c r="C1871" s="2">
        <v>0.42777777777777776</v>
      </c>
      <c r="D1871" s="4">
        <f t="shared" si="230"/>
        <v>0.10624999999999996</v>
      </c>
      <c r="E1871" s="6">
        <v>0.3215277777777778</v>
      </c>
      <c r="F1871" s="5">
        <f t="shared" si="231"/>
        <v>0.75162337662337675</v>
      </c>
      <c r="G1871" s="5">
        <v>0.76300000000000001</v>
      </c>
      <c r="H1871" s="4">
        <f>63.7/1440</f>
        <v>4.4236111111111115E-2</v>
      </c>
      <c r="I1871" s="5">
        <v>0.105</v>
      </c>
      <c r="J1871" s="11" t="s">
        <v>2527</v>
      </c>
    </row>
    <row r="1872" spans="1:10" ht="13.15" customHeight="1" x14ac:dyDescent="0.25">
      <c r="A1872">
        <f t="shared" si="221"/>
        <v>1867</v>
      </c>
      <c r="B1872" t="s">
        <v>2534</v>
      </c>
      <c r="C1872" s="2">
        <v>0.5</v>
      </c>
      <c r="D1872" s="4">
        <f t="shared" si="230"/>
        <v>0.15694444444444444</v>
      </c>
      <c r="E1872" s="6">
        <v>0.34305555555555556</v>
      </c>
      <c r="F1872" s="5">
        <f t="shared" si="231"/>
        <v>0.68611111111111112</v>
      </c>
      <c r="G1872" s="5">
        <v>0.82</v>
      </c>
      <c r="H1872" s="4">
        <f>56.1/1440</f>
        <v>3.8958333333333331E-2</v>
      </c>
      <c r="I1872" s="5">
        <v>9.2999999999999999E-2</v>
      </c>
      <c r="J1872" s="11" t="s">
        <v>2528</v>
      </c>
    </row>
    <row r="1873" spans="1:10" ht="13.15" customHeight="1" x14ac:dyDescent="0.25">
      <c r="A1873">
        <f t="shared" si="221"/>
        <v>1868</v>
      </c>
      <c r="B1873" t="s">
        <v>2535</v>
      </c>
      <c r="C1873" s="2">
        <v>0.55555555555555558</v>
      </c>
      <c r="D1873" s="4">
        <f t="shared" si="230"/>
        <v>0.14861111111111114</v>
      </c>
      <c r="E1873" s="6">
        <v>0.40694444444444444</v>
      </c>
      <c r="F1873" s="5">
        <f t="shared" si="231"/>
        <v>0.73249999999999993</v>
      </c>
      <c r="G1873" s="5">
        <v>0.84699999999999998</v>
      </c>
      <c r="H1873" s="4">
        <f>61.3/1440</f>
        <v>4.2569444444444444E-2</v>
      </c>
      <c r="I1873" s="5">
        <v>8.8999999999999996E-2</v>
      </c>
      <c r="J1873" s="11" t="s">
        <v>2528</v>
      </c>
    </row>
    <row r="1874" spans="1:10" ht="13.15" customHeight="1" x14ac:dyDescent="0.25">
      <c r="A1874">
        <f t="shared" si="221"/>
        <v>1869</v>
      </c>
      <c r="B1874" t="s">
        <v>2536</v>
      </c>
      <c r="C1874" s="2">
        <v>0.54166666666666663</v>
      </c>
      <c r="D1874" s="4">
        <f t="shared" si="230"/>
        <v>0.13749999999999996</v>
      </c>
      <c r="E1874" s="6">
        <v>0.40416666666666667</v>
      </c>
      <c r="F1874" s="5">
        <f t="shared" si="231"/>
        <v>0.74615384615384617</v>
      </c>
      <c r="G1874" s="5">
        <v>0.71499999999999997</v>
      </c>
      <c r="H1874" s="4">
        <f>61.4/1440</f>
        <v>4.2638888888888886E-2</v>
      </c>
      <c r="I1874" s="5">
        <v>7.4999999999999997E-2</v>
      </c>
      <c r="J1874" s="11" t="s">
        <v>2528</v>
      </c>
    </row>
    <row r="1875" spans="1:10" ht="13.15" customHeight="1" x14ac:dyDescent="0.25">
      <c r="A1875">
        <f t="shared" si="221"/>
        <v>1870</v>
      </c>
      <c r="B1875" t="s">
        <v>2537</v>
      </c>
      <c r="C1875" s="2">
        <v>0.64652777777777781</v>
      </c>
      <c r="D1875" s="4">
        <f t="shared" si="230"/>
        <v>0.14722222222222225</v>
      </c>
      <c r="E1875" s="6">
        <v>0.49930555555555556</v>
      </c>
      <c r="F1875" s="5">
        <f t="shared" si="231"/>
        <v>0.7722878625134264</v>
      </c>
      <c r="G1875" s="5">
        <v>0.80200000000000005</v>
      </c>
      <c r="H1875" s="4">
        <f>67.7/1440</f>
        <v>4.701388888888889E-2</v>
      </c>
      <c r="I1875" s="5">
        <v>7.4999999999999997E-2</v>
      </c>
      <c r="J1875" s="11" t="s">
        <v>2528</v>
      </c>
    </row>
    <row r="1876" spans="1:10" ht="13.15" customHeight="1" x14ac:dyDescent="0.25">
      <c r="A1876">
        <f t="shared" si="221"/>
        <v>1871</v>
      </c>
      <c r="B1876" t="s">
        <v>2542</v>
      </c>
      <c r="C1876" s="2">
        <v>0.44861111111111113</v>
      </c>
      <c r="D1876" s="4">
        <f t="shared" ref="D1876:D1886" si="232">C1876-E1876</f>
        <v>0.12013888888888891</v>
      </c>
      <c r="E1876" s="6">
        <v>0.32847222222222222</v>
      </c>
      <c r="F1876" s="5">
        <f t="shared" ref="F1876:F1886" si="233">E1876/C1876</f>
        <v>0.7321981424148607</v>
      </c>
      <c r="G1876" s="5">
        <v>0.81599999999999995</v>
      </c>
      <c r="H1876" s="4">
        <f>63.8/1440</f>
        <v>4.4305555555555556E-2</v>
      </c>
      <c r="I1876" s="5">
        <v>0.11</v>
      </c>
      <c r="J1876" s="11" t="s">
        <v>2538</v>
      </c>
    </row>
    <row r="1877" spans="1:10" ht="13.15" customHeight="1" x14ac:dyDescent="0.25">
      <c r="A1877">
        <f t="shared" si="221"/>
        <v>1872</v>
      </c>
      <c r="B1877" t="s">
        <v>2543</v>
      </c>
      <c r="C1877" s="2">
        <v>0.47222222222222221</v>
      </c>
      <c r="D1877" s="4">
        <f t="shared" si="232"/>
        <v>0.12222222222222223</v>
      </c>
      <c r="E1877" s="6">
        <v>0.35</v>
      </c>
      <c r="F1877" s="5">
        <f t="shared" si="233"/>
        <v>0.74117647058823521</v>
      </c>
      <c r="G1877" s="5">
        <v>0.84899999999999998</v>
      </c>
      <c r="H1877" s="4">
        <f>71.9/1440</f>
        <v>4.9930555555555561E-2</v>
      </c>
      <c r="I1877" s="5">
        <v>0.121</v>
      </c>
      <c r="J1877" s="11" t="s">
        <v>2538</v>
      </c>
    </row>
    <row r="1878" spans="1:10" ht="13.15" customHeight="1" x14ac:dyDescent="0.25">
      <c r="A1878">
        <f t="shared" si="221"/>
        <v>1873</v>
      </c>
      <c r="B1878" t="s">
        <v>2544</v>
      </c>
      <c r="C1878" s="2">
        <v>0.42569444444444443</v>
      </c>
      <c r="D1878" s="4">
        <f t="shared" si="232"/>
        <v>0.14027777777777778</v>
      </c>
      <c r="E1878" s="6">
        <v>0.28541666666666665</v>
      </c>
      <c r="F1878" s="5">
        <f t="shared" si="233"/>
        <v>0.67047308319738985</v>
      </c>
      <c r="G1878" s="5">
        <v>0.77300000000000002</v>
      </c>
      <c r="H1878" s="4">
        <f>55/1440</f>
        <v>3.8194444444444448E-2</v>
      </c>
      <c r="I1878" s="5">
        <v>0.10299999999999999</v>
      </c>
      <c r="J1878" s="11" t="s">
        <v>2538</v>
      </c>
    </row>
    <row r="1879" spans="1:10" ht="13.15" customHeight="1" x14ac:dyDescent="0.25">
      <c r="A1879">
        <f t="shared" ref="A1879:A1943" si="234">A1878+1</f>
        <v>1874</v>
      </c>
      <c r="B1879" t="s">
        <v>2545</v>
      </c>
      <c r="C1879" s="2">
        <v>0.36319444444444443</v>
      </c>
      <c r="D1879" s="4">
        <f t="shared" si="232"/>
        <v>0.1159722222222222</v>
      </c>
      <c r="E1879" s="6">
        <v>0.24722222222222223</v>
      </c>
      <c r="F1879" s="5">
        <f t="shared" si="233"/>
        <v>0.68068833652007654</v>
      </c>
      <c r="G1879" s="5">
        <v>0.73499999999999999</v>
      </c>
      <c r="H1879" s="4">
        <f>49.6/1440</f>
        <v>3.4444444444444444E-2</v>
      </c>
      <c r="I1879" s="5">
        <v>0.10199999999999999</v>
      </c>
      <c r="J1879" s="11" t="s">
        <v>2538</v>
      </c>
    </row>
    <row r="1880" spans="1:10" ht="13.15" customHeight="1" x14ac:dyDescent="0.25">
      <c r="A1880">
        <f t="shared" si="234"/>
        <v>1875</v>
      </c>
      <c r="B1880" t="s">
        <v>2546</v>
      </c>
      <c r="C1880" s="2">
        <v>0.42708333333333331</v>
      </c>
      <c r="D1880" s="4">
        <f t="shared" si="232"/>
        <v>9.7916666666666652E-2</v>
      </c>
      <c r="E1880" s="6">
        <v>0.32916666666666666</v>
      </c>
      <c r="F1880" s="5">
        <f t="shared" si="233"/>
        <v>0.77073170731707319</v>
      </c>
      <c r="G1880" s="5">
        <v>0.879</v>
      </c>
      <c r="H1880" s="4">
        <f>68.2/1440</f>
        <v>4.7361111111111111E-2</v>
      </c>
      <c r="I1880" s="5">
        <v>0.127</v>
      </c>
      <c r="J1880" s="11" t="s">
        <v>2538</v>
      </c>
    </row>
    <row r="1881" spans="1:10" ht="13.15" customHeight="1" x14ac:dyDescent="0.25">
      <c r="A1881">
        <f t="shared" si="234"/>
        <v>1876</v>
      </c>
      <c r="B1881" t="s">
        <v>2547</v>
      </c>
      <c r="C1881" s="2">
        <v>0.44513888888888886</v>
      </c>
      <c r="D1881" s="4">
        <f t="shared" si="232"/>
        <v>0.1069444444444444</v>
      </c>
      <c r="E1881" s="6">
        <v>0.33819444444444446</v>
      </c>
      <c r="F1881" s="5">
        <f t="shared" si="233"/>
        <v>0.75975039001560074</v>
      </c>
      <c r="G1881" s="5">
        <v>0.79500000000000004</v>
      </c>
      <c r="H1881" s="4">
        <f>60.2/1440</f>
        <v>4.1805555555555554E-2</v>
      </c>
      <c r="I1881" s="5">
        <v>9.8000000000000004E-2</v>
      </c>
      <c r="J1881" s="11" t="s">
        <v>2539</v>
      </c>
    </row>
    <row r="1882" spans="1:10" ht="13.15" customHeight="1" x14ac:dyDescent="0.25">
      <c r="A1882">
        <f t="shared" si="234"/>
        <v>1877</v>
      </c>
      <c r="B1882" t="s">
        <v>2548</v>
      </c>
      <c r="C1882" s="2">
        <v>0.47291666666666665</v>
      </c>
      <c r="D1882" s="4">
        <f t="shared" si="232"/>
        <v>0.11458333333333331</v>
      </c>
      <c r="E1882" s="6">
        <v>0.35833333333333334</v>
      </c>
      <c r="F1882" s="5">
        <f t="shared" si="233"/>
        <v>0.75770925110132159</v>
      </c>
      <c r="G1882" s="5">
        <v>0.877</v>
      </c>
      <c r="H1882" s="4">
        <f>71/1440</f>
        <v>4.9305555555555554E-2</v>
      </c>
      <c r="I1882" s="5">
        <v>0.121</v>
      </c>
      <c r="J1882" s="11" t="s">
        <v>2539</v>
      </c>
    </row>
    <row r="1883" spans="1:10" ht="13.15" customHeight="1" x14ac:dyDescent="0.25">
      <c r="A1883">
        <f t="shared" si="234"/>
        <v>1878</v>
      </c>
      <c r="B1883" t="s">
        <v>2549</v>
      </c>
      <c r="C1883" s="2">
        <v>0.53680555555555554</v>
      </c>
      <c r="D1883" s="4">
        <f t="shared" si="232"/>
        <v>9.2361111111111116E-2</v>
      </c>
      <c r="E1883" s="6">
        <v>0.44444444444444442</v>
      </c>
      <c r="F1883" s="5">
        <f t="shared" si="233"/>
        <v>0.82794307891332475</v>
      </c>
      <c r="G1883" s="5">
        <v>0.79700000000000004</v>
      </c>
      <c r="H1883" s="4">
        <f>72.1/1440</f>
        <v>5.0069444444444437E-2</v>
      </c>
      <c r="I1883" s="5">
        <v>0.09</v>
      </c>
      <c r="J1883" s="11" t="s">
        <v>2539</v>
      </c>
    </row>
    <row r="1884" spans="1:10" ht="13.15" customHeight="1" x14ac:dyDescent="0.25">
      <c r="A1884">
        <f t="shared" si="234"/>
        <v>1879</v>
      </c>
      <c r="B1884" t="s">
        <v>2550</v>
      </c>
      <c r="C1884" s="2">
        <v>0.51249999999999996</v>
      </c>
      <c r="D1884" s="4">
        <f t="shared" si="232"/>
        <v>0.11944444444444441</v>
      </c>
      <c r="E1884" s="6">
        <v>0.39305555555555555</v>
      </c>
      <c r="F1884" s="5">
        <f t="shared" si="233"/>
        <v>0.76693766937669383</v>
      </c>
      <c r="G1884" s="5">
        <v>0.89300000000000002</v>
      </c>
      <c r="H1884" s="4">
        <f>78.1/1440</f>
        <v>5.423611111111111E-2</v>
      </c>
      <c r="I1884" s="5">
        <v>0.123</v>
      </c>
      <c r="J1884" s="11" t="s">
        <v>2539</v>
      </c>
    </row>
    <row r="1885" spans="1:10" ht="13.15" customHeight="1" x14ac:dyDescent="0.25">
      <c r="A1885">
        <f t="shared" si="234"/>
        <v>1880</v>
      </c>
      <c r="B1885" t="s">
        <v>2551</v>
      </c>
      <c r="C1885" s="2">
        <v>0.39097222222222222</v>
      </c>
      <c r="D1885" s="4">
        <f t="shared" si="232"/>
        <v>0.11944444444444446</v>
      </c>
      <c r="E1885" s="6">
        <v>0.27152777777777776</v>
      </c>
      <c r="F1885" s="5">
        <f t="shared" si="233"/>
        <v>0.69449378330373002</v>
      </c>
      <c r="G1885" s="5">
        <v>0.753</v>
      </c>
      <c r="H1885" s="4">
        <f>70.2/1440</f>
        <v>4.8750000000000002E-2</v>
      </c>
      <c r="I1885" s="5">
        <v>0.13500000000000001</v>
      </c>
      <c r="J1885" s="11" t="s">
        <v>2540</v>
      </c>
    </row>
    <row r="1886" spans="1:10" ht="13.15" customHeight="1" x14ac:dyDescent="0.25">
      <c r="A1886">
        <f t="shared" si="234"/>
        <v>1881</v>
      </c>
      <c r="B1886" t="s">
        <v>2552</v>
      </c>
      <c r="C1886" s="2">
        <v>0.3923611111111111</v>
      </c>
      <c r="D1886" s="4">
        <f t="shared" si="232"/>
        <v>9.5138888888888884E-2</v>
      </c>
      <c r="E1886" s="6">
        <v>0.29722222222222222</v>
      </c>
      <c r="F1886" s="5">
        <f t="shared" si="233"/>
        <v>0.75752212389380535</v>
      </c>
      <c r="G1886" s="5">
        <v>0.90300000000000002</v>
      </c>
      <c r="H1886" s="4">
        <f>37.2/1440</f>
        <v>2.5833333333333337E-2</v>
      </c>
      <c r="I1886" s="5">
        <v>7.8E-2</v>
      </c>
      <c r="J1886" s="11" t="s">
        <v>2541</v>
      </c>
    </row>
    <row r="1887" spans="1:10" ht="13.15" customHeight="1" x14ac:dyDescent="0.25">
      <c r="A1887">
        <f t="shared" si="234"/>
        <v>1882</v>
      </c>
      <c r="B1887" t="s">
        <v>2553</v>
      </c>
      <c r="C1887" s="2">
        <v>0.43402777777777779</v>
      </c>
      <c r="D1887" s="4">
        <f t="shared" ref="D1887:D1895" si="235">C1887-E1887</f>
        <v>0.10069444444444448</v>
      </c>
      <c r="E1887" s="6">
        <v>0.33333333333333331</v>
      </c>
      <c r="F1887" s="5">
        <f t="shared" ref="F1887:F1895" si="236">E1887/C1887</f>
        <v>0.7679999999999999</v>
      </c>
      <c r="G1887" s="5">
        <v>0.82299999999999995</v>
      </c>
      <c r="H1887" s="4">
        <f>63.6/1440</f>
        <v>4.4166666666666667E-2</v>
      </c>
      <c r="I1887" s="5">
        <v>0.109</v>
      </c>
      <c r="J1887" s="11" t="s">
        <v>2562</v>
      </c>
    </row>
    <row r="1888" spans="1:10" ht="13.15" customHeight="1" x14ac:dyDescent="0.25">
      <c r="A1888">
        <f t="shared" si="234"/>
        <v>1883</v>
      </c>
      <c r="B1888" t="s">
        <v>2554</v>
      </c>
      <c r="C1888" s="2">
        <v>0.42499999999999999</v>
      </c>
      <c r="D1888" s="4">
        <f t="shared" si="235"/>
        <v>9.8611111111111094E-2</v>
      </c>
      <c r="E1888" s="6">
        <v>0.3263888888888889</v>
      </c>
      <c r="F1888" s="5">
        <f t="shared" si="236"/>
        <v>0.76797385620915037</v>
      </c>
      <c r="G1888" s="5">
        <v>0.86</v>
      </c>
      <c r="H1888" s="4">
        <f>70.2/1440</f>
        <v>4.8750000000000002E-2</v>
      </c>
      <c r="I1888" s="5">
        <v>0.128</v>
      </c>
      <c r="J1888" s="11" t="s">
        <v>2562</v>
      </c>
    </row>
    <row r="1889" spans="1:10" ht="13.15" customHeight="1" x14ac:dyDescent="0.25">
      <c r="A1889">
        <f t="shared" si="234"/>
        <v>1884</v>
      </c>
      <c r="B1889" t="s">
        <v>2555</v>
      </c>
      <c r="C1889" s="2">
        <v>0.39097222222222222</v>
      </c>
      <c r="D1889" s="4">
        <f t="shared" si="235"/>
        <v>9.722222222222221E-2</v>
      </c>
      <c r="E1889" s="6">
        <v>0.29375000000000001</v>
      </c>
      <c r="F1889" s="5">
        <f t="shared" si="236"/>
        <v>0.75133214920071056</v>
      </c>
      <c r="G1889" s="5">
        <v>0.81100000000000005</v>
      </c>
      <c r="H1889" s="4">
        <f>56.5/1440</f>
        <v>3.923611111111111E-2</v>
      </c>
      <c r="I1889" s="5">
        <v>0.108</v>
      </c>
      <c r="J1889" s="11" t="s">
        <v>2562</v>
      </c>
    </row>
    <row r="1890" spans="1:10" ht="13.15" customHeight="1" x14ac:dyDescent="0.25">
      <c r="A1890">
        <f t="shared" si="234"/>
        <v>1885</v>
      </c>
      <c r="B1890" t="s">
        <v>2556</v>
      </c>
      <c r="C1890" s="2">
        <v>0.44166666666666665</v>
      </c>
      <c r="D1890" s="4">
        <f t="shared" si="235"/>
        <v>0.10694444444444445</v>
      </c>
      <c r="E1890" s="6">
        <v>0.3347222222222222</v>
      </c>
      <c r="F1890" s="5">
        <f t="shared" si="236"/>
        <v>0.75786163522012573</v>
      </c>
      <c r="G1890" s="5">
        <v>0.76900000000000002</v>
      </c>
      <c r="H1890" s="4">
        <f>53.3/1440</f>
        <v>3.7013888888888888E-2</v>
      </c>
      <c r="I1890" s="5">
        <v>8.5000000000000006E-2</v>
      </c>
      <c r="J1890" s="11" t="s">
        <v>2562</v>
      </c>
    </row>
    <row r="1891" spans="1:10" ht="13.15" customHeight="1" x14ac:dyDescent="0.25">
      <c r="A1891">
        <f t="shared" si="234"/>
        <v>1886</v>
      </c>
      <c r="B1891" t="s">
        <v>2557</v>
      </c>
      <c r="C1891" s="2">
        <v>0.4284722222222222</v>
      </c>
      <c r="D1891" s="4">
        <f t="shared" si="235"/>
        <v>8.9583333333333293E-2</v>
      </c>
      <c r="E1891" s="6">
        <v>0.33888888888888891</v>
      </c>
      <c r="F1891" s="5">
        <f t="shared" si="236"/>
        <v>0.79092382495948144</v>
      </c>
      <c r="G1891" s="5">
        <v>0.84299999999999997</v>
      </c>
      <c r="H1891" s="4">
        <f>63/1440</f>
        <v>4.3749999999999997E-2</v>
      </c>
      <c r="I1891" s="5">
        <v>0.109</v>
      </c>
      <c r="J1891" s="11" t="s">
        <v>2562</v>
      </c>
    </row>
    <row r="1892" spans="1:10" ht="13.15" customHeight="1" x14ac:dyDescent="0.25">
      <c r="A1892">
        <f t="shared" si="234"/>
        <v>1887</v>
      </c>
      <c r="B1892" t="s">
        <v>2558</v>
      </c>
      <c r="C1892" s="2">
        <v>0.46666666666666667</v>
      </c>
      <c r="D1892" s="4">
        <f t="shared" si="235"/>
        <v>0.11875000000000002</v>
      </c>
      <c r="E1892" s="6">
        <v>0.34791666666666665</v>
      </c>
      <c r="F1892" s="5">
        <f t="shared" si="236"/>
        <v>0.74553571428571419</v>
      </c>
      <c r="G1892" s="5">
        <v>0.77700000000000002</v>
      </c>
      <c r="H1892" s="4">
        <f>60.6/1440</f>
        <v>4.2083333333333334E-2</v>
      </c>
      <c r="I1892" s="5">
        <v>9.4E-2</v>
      </c>
      <c r="J1892" s="11" t="s">
        <v>2563</v>
      </c>
    </row>
    <row r="1893" spans="1:10" ht="13.15" customHeight="1" x14ac:dyDescent="0.25">
      <c r="A1893">
        <f t="shared" si="234"/>
        <v>1888</v>
      </c>
      <c r="B1893" t="s">
        <v>2559</v>
      </c>
      <c r="C1893" s="2">
        <v>0.51111111111111107</v>
      </c>
      <c r="D1893" s="4">
        <f t="shared" si="235"/>
        <v>0.1159722222222222</v>
      </c>
      <c r="E1893" s="6">
        <v>0.39513888888888887</v>
      </c>
      <c r="F1893" s="5">
        <f t="shared" si="236"/>
        <v>0.77309782608695654</v>
      </c>
      <c r="G1893" s="5">
        <v>0.86199999999999999</v>
      </c>
      <c r="H1893" s="4">
        <f>68.5/1440</f>
        <v>4.7569444444444442E-2</v>
      </c>
      <c r="I1893" s="5">
        <v>0.104</v>
      </c>
      <c r="J1893" s="11" t="s">
        <v>2563</v>
      </c>
    </row>
    <row r="1894" spans="1:10" ht="13.15" customHeight="1" x14ac:dyDescent="0.25">
      <c r="A1894">
        <f t="shared" si="234"/>
        <v>1889</v>
      </c>
      <c r="B1894" t="s">
        <v>2560</v>
      </c>
      <c r="C1894" s="2">
        <v>0.50208333333333333</v>
      </c>
      <c r="D1894" s="4">
        <f t="shared" si="235"/>
        <v>0.12152777777777779</v>
      </c>
      <c r="E1894" s="6">
        <v>0.38055555555555554</v>
      </c>
      <c r="F1894" s="5">
        <f t="shared" si="236"/>
        <v>0.75795297372060855</v>
      </c>
      <c r="G1894" s="5">
        <v>0.80900000000000005</v>
      </c>
      <c r="H1894" s="4">
        <f>71.4/1440</f>
        <v>4.958333333333334E-2</v>
      </c>
      <c r="I1894" s="5">
        <v>0.105</v>
      </c>
      <c r="J1894" s="11" t="s">
        <v>2563</v>
      </c>
    </row>
    <row r="1895" spans="1:10" ht="13.15" customHeight="1" x14ac:dyDescent="0.25">
      <c r="A1895">
        <f t="shared" si="234"/>
        <v>1890</v>
      </c>
      <c r="B1895" t="s">
        <v>2561</v>
      </c>
      <c r="C1895" s="2">
        <v>0.45902777777777776</v>
      </c>
      <c r="D1895" s="4">
        <f t="shared" si="235"/>
        <v>0.10486111111111107</v>
      </c>
      <c r="E1895" s="6">
        <v>0.35416666666666669</v>
      </c>
      <c r="F1895" s="5">
        <f t="shared" si="236"/>
        <v>0.77155824508320736</v>
      </c>
      <c r="G1895" s="5">
        <v>0.76100000000000001</v>
      </c>
      <c r="H1895" s="4">
        <f>66/1440</f>
        <v>4.583333333333333E-2</v>
      </c>
      <c r="I1895" s="5">
        <v>9.8000000000000004E-2</v>
      </c>
      <c r="J1895" s="11" t="s">
        <v>2563</v>
      </c>
    </row>
    <row r="1896" spans="1:10" ht="13.15" customHeight="1" x14ac:dyDescent="0.25">
      <c r="A1896">
        <f t="shared" si="234"/>
        <v>1891</v>
      </c>
      <c r="B1896" t="s">
        <v>2566</v>
      </c>
      <c r="C1896" s="2">
        <v>0.41944444444444445</v>
      </c>
      <c r="D1896" s="4">
        <f t="shared" ref="D1896:D1904" si="237">C1896-E1896</f>
        <v>0.11388888888888887</v>
      </c>
      <c r="E1896" s="6">
        <v>0.30555555555555558</v>
      </c>
      <c r="F1896" s="5">
        <f t="shared" ref="F1896:F1904" si="238">E1896/C1896</f>
        <v>0.72847682119205304</v>
      </c>
      <c r="G1896" s="5">
        <v>0.81</v>
      </c>
      <c r="H1896" s="4">
        <f>62.9/1440</f>
        <v>4.3680555555555556E-2</v>
      </c>
      <c r="I1896" s="5">
        <v>0.11600000000000001</v>
      </c>
      <c r="J1896" s="11" t="s">
        <v>2564</v>
      </c>
    </row>
    <row r="1897" spans="1:10" ht="13.15" customHeight="1" x14ac:dyDescent="0.25">
      <c r="A1897">
        <f t="shared" si="234"/>
        <v>1892</v>
      </c>
      <c r="B1897" t="s">
        <v>2567</v>
      </c>
      <c r="C1897" s="2">
        <v>0.42708333333333331</v>
      </c>
      <c r="D1897" s="4">
        <f t="shared" si="237"/>
        <v>0.11249999999999999</v>
      </c>
      <c r="E1897" s="6">
        <v>0.31458333333333333</v>
      </c>
      <c r="F1897" s="5">
        <f t="shared" si="238"/>
        <v>0.73658536585365852</v>
      </c>
      <c r="G1897" s="5">
        <v>0.872</v>
      </c>
      <c r="H1897" s="4">
        <f>70.5/1440</f>
        <v>4.8958333333333333E-2</v>
      </c>
      <c r="I1897" s="5">
        <v>0.13600000000000001</v>
      </c>
      <c r="J1897" s="11" t="s">
        <v>2564</v>
      </c>
    </row>
    <row r="1898" spans="1:10" ht="13.15" customHeight="1" x14ac:dyDescent="0.25">
      <c r="A1898">
        <f t="shared" si="234"/>
        <v>1893</v>
      </c>
      <c r="B1898" t="s">
        <v>2568</v>
      </c>
      <c r="C1898" s="2">
        <v>0.40138888888888891</v>
      </c>
      <c r="D1898" s="4">
        <f t="shared" si="237"/>
        <v>0.1166666666666667</v>
      </c>
      <c r="E1898" s="6">
        <v>0.28472222222222221</v>
      </c>
      <c r="F1898" s="5">
        <f t="shared" si="238"/>
        <v>0.70934256055363321</v>
      </c>
      <c r="G1898" s="5">
        <v>0.78100000000000003</v>
      </c>
      <c r="H1898" s="4">
        <f>60/1440</f>
        <v>4.1666666666666664E-2</v>
      </c>
      <c r="I1898" s="5">
        <v>0.114</v>
      </c>
      <c r="J1898" s="11" t="s">
        <v>2564</v>
      </c>
    </row>
    <row r="1899" spans="1:10" ht="13.15" customHeight="1" x14ac:dyDescent="0.25">
      <c r="A1899">
        <f t="shared" si="234"/>
        <v>1894</v>
      </c>
      <c r="B1899" t="s">
        <v>2569</v>
      </c>
      <c r="C1899" s="2">
        <v>0.39930555555555558</v>
      </c>
      <c r="D1899" s="4">
        <f t="shared" si="237"/>
        <v>0.11319444444444449</v>
      </c>
      <c r="E1899" s="6">
        <v>0.28611111111111109</v>
      </c>
      <c r="F1899" s="5">
        <f t="shared" si="238"/>
        <v>0.71652173913043471</v>
      </c>
      <c r="G1899" s="5">
        <v>0.72299999999999998</v>
      </c>
      <c r="H1899" s="4">
        <f>54/1440</f>
        <v>3.7499999999999999E-2</v>
      </c>
      <c r="I1899" s="5">
        <v>9.5000000000000001E-2</v>
      </c>
      <c r="J1899" s="11" t="s">
        <v>2564</v>
      </c>
    </row>
    <row r="1900" spans="1:10" ht="13.15" customHeight="1" x14ac:dyDescent="0.25">
      <c r="A1900">
        <f t="shared" si="234"/>
        <v>1895</v>
      </c>
      <c r="B1900" t="s">
        <v>2570</v>
      </c>
      <c r="C1900" s="2">
        <v>0.4</v>
      </c>
      <c r="D1900" s="4">
        <f t="shared" si="237"/>
        <v>9.7916666666666707E-2</v>
      </c>
      <c r="E1900" s="6">
        <v>0.30208333333333331</v>
      </c>
      <c r="F1900" s="5">
        <f t="shared" si="238"/>
        <v>0.75520833333333326</v>
      </c>
      <c r="G1900" s="5">
        <v>0.81299999999999994</v>
      </c>
      <c r="H1900" s="4">
        <f>60.6/1440</f>
        <v>4.2083333333333334E-2</v>
      </c>
      <c r="I1900" s="5">
        <v>0.113</v>
      </c>
      <c r="J1900" s="11" t="s">
        <v>2564</v>
      </c>
    </row>
    <row r="1901" spans="1:10" ht="13.15" customHeight="1" x14ac:dyDescent="0.25">
      <c r="A1901">
        <f t="shared" si="234"/>
        <v>1896</v>
      </c>
      <c r="B1901" t="s">
        <v>2571</v>
      </c>
      <c r="C1901" s="2">
        <v>0.4152777777777778</v>
      </c>
      <c r="D1901" s="4">
        <f t="shared" si="237"/>
        <v>0.12638888888888894</v>
      </c>
      <c r="E1901" s="6">
        <v>0.28888888888888886</v>
      </c>
      <c r="F1901" s="5">
        <f t="shared" si="238"/>
        <v>0.69565217391304335</v>
      </c>
      <c r="G1901" s="5">
        <v>0.79300000000000004</v>
      </c>
      <c r="H1901" s="4">
        <f>62.1/1440</f>
        <v>4.3125000000000004E-2</v>
      </c>
      <c r="I1901" s="5">
        <v>0.11799999999999999</v>
      </c>
      <c r="J1901" s="11" t="s">
        <v>2565</v>
      </c>
    </row>
    <row r="1902" spans="1:10" ht="13.15" customHeight="1" x14ac:dyDescent="0.25">
      <c r="A1902">
        <f t="shared" si="234"/>
        <v>1897</v>
      </c>
      <c r="B1902" t="s">
        <v>2572</v>
      </c>
      <c r="C1902" s="2">
        <v>0.49236111111111114</v>
      </c>
      <c r="D1902" s="4">
        <f t="shared" si="237"/>
        <v>0.12083333333333335</v>
      </c>
      <c r="E1902" s="6">
        <v>0.37152777777777779</v>
      </c>
      <c r="F1902" s="5">
        <f t="shared" si="238"/>
        <v>0.75458392101551475</v>
      </c>
      <c r="G1902" s="5">
        <v>0.86699999999999999</v>
      </c>
      <c r="H1902" s="4">
        <f>61.7/1440</f>
        <v>4.2847222222222224E-2</v>
      </c>
      <c r="I1902" s="5">
        <v>0.1</v>
      </c>
      <c r="J1902" s="11" t="s">
        <v>2565</v>
      </c>
    </row>
    <row r="1903" spans="1:10" ht="13.15" customHeight="1" x14ac:dyDescent="0.25">
      <c r="A1903">
        <f t="shared" si="234"/>
        <v>1898</v>
      </c>
      <c r="B1903" t="s">
        <v>2573</v>
      </c>
      <c r="C1903" s="2">
        <v>0.47916666666666669</v>
      </c>
      <c r="D1903" s="4">
        <f t="shared" si="237"/>
        <v>0.125</v>
      </c>
      <c r="E1903" s="6">
        <v>0.35416666666666669</v>
      </c>
      <c r="F1903" s="5">
        <f t="shared" si="238"/>
        <v>0.73913043478260876</v>
      </c>
      <c r="G1903" s="5">
        <v>0.79900000000000004</v>
      </c>
      <c r="H1903" s="4">
        <f>64.2/1440</f>
        <v>4.4583333333333336E-2</v>
      </c>
      <c r="I1903" s="5">
        <v>0.1</v>
      </c>
      <c r="J1903" s="11" t="s">
        <v>2565</v>
      </c>
    </row>
    <row r="1904" spans="1:10" ht="13.15" customHeight="1" x14ac:dyDescent="0.25">
      <c r="A1904">
        <f t="shared" si="234"/>
        <v>1899</v>
      </c>
      <c r="B1904" t="s">
        <v>2574</v>
      </c>
      <c r="C1904" s="2">
        <v>0.4465277777777778</v>
      </c>
      <c r="D1904" s="4">
        <f t="shared" si="237"/>
        <v>0.11597222222222225</v>
      </c>
      <c r="E1904" s="6">
        <v>0.33055555555555555</v>
      </c>
      <c r="F1904" s="5">
        <f t="shared" si="238"/>
        <v>0.74027993779160184</v>
      </c>
      <c r="G1904" s="5">
        <v>0.86799999999999999</v>
      </c>
      <c r="H1904" s="4">
        <f>70.3/1440</f>
        <v>4.8819444444444443E-2</v>
      </c>
      <c r="I1904" s="5">
        <v>0.128</v>
      </c>
      <c r="J1904" s="11" t="s">
        <v>2565</v>
      </c>
    </row>
    <row r="1905" spans="1:10" ht="13.15" customHeight="1" x14ac:dyDescent="0.25">
      <c r="A1905">
        <f t="shared" si="234"/>
        <v>1900</v>
      </c>
      <c r="B1905" t="s">
        <v>2575</v>
      </c>
      <c r="C1905" s="2">
        <v>0.42152777777777778</v>
      </c>
      <c r="D1905" s="4">
        <f t="shared" ref="D1905:D1933" si="239">C1905-E1905</f>
        <v>9.6527777777777768E-2</v>
      </c>
      <c r="E1905" s="6">
        <v>0.32500000000000001</v>
      </c>
      <c r="F1905" s="5">
        <f t="shared" ref="F1905:F1933" si="240">E1905/C1905</f>
        <v>0.771004942339374</v>
      </c>
      <c r="G1905" s="5">
        <v>0.78400000000000003</v>
      </c>
      <c r="H1905" s="4">
        <f>65.5/1440</f>
        <v>4.5486111111111109E-2</v>
      </c>
      <c r="I1905" s="5">
        <v>0.11</v>
      </c>
      <c r="J1905" s="11" t="s">
        <v>2584</v>
      </c>
    </row>
    <row r="1906" spans="1:10" ht="13.15" customHeight="1" x14ac:dyDescent="0.25">
      <c r="A1906">
        <f t="shared" si="234"/>
        <v>1901</v>
      </c>
      <c r="B1906" t="s">
        <v>2576</v>
      </c>
      <c r="C1906" s="2">
        <v>0.38819444444444445</v>
      </c>
      <c r="D1906" s="4">
        <f t="shared" si="239"/>
        <v>8.0555555555555547E-2</v>
      </c>
      <c r="E1906" s="6">
        <v>0.30763888888888891</v>
      </c>
      <c r="F1906" s="5">
        <f t="shared" si="240"/>
        <v>0.79248658318425758</v>
      </c>
      <c r="G1906" s="5">
        <v>0.80600000000000005</v>
      </c>
      <c r="H1906" s="4">
        <f>65/1440</f>
        <v>4.5138888888888888E-2</v>
      </c>
      <c r="I1906" s="5">
        <v>0.11799999999999999</v>
      </c>
      <c r="J1906" s="11" t="s">
        <v>2584</v>
      </c>
    </row>
    <row r="1907" spans="1:10" ht="13.15" customHeight="1" x14ac:dyDescent="0.25">
      <c r="A1907">
        <f t="shared" si="234"/>
        <v>1902</v>
      </c>
      <c r="B1907" t="s">
        <v>2577</v>
      </c>
      <c r="C1907" s="2">
        <v>0.40694444444444444</v>
      </c>
      <c r="D1907" s="4">
        <f t="shared" si="239"/>
        <v>0.10555555555555557</v>
      </c>
      <c r="E1907" s="6">
        <v>0.30138888888888887</v>
      </c>
      <c r="F1907" s="5">
        <f t="shared" si="240"/>
        <v>0.74061433447098968</v>
      </c>
      <c r="G1907" s="5">
        <v>0.79100000000000004</v>
      </c>
      <c r="H1907" s="4">
        <f>63.3/1440</f>
        <v>4.3958333333333328E-2</v>
      </c>
      <c r="I1907" s="5">
        <v>0.115</v>
      </c>
      <c r="J1907" s="11" t="s">
        <v>2584</v>
      </c>
    </row>
    <row r="1908" spans="1:10" ht="13.15" customHeight="1" x14ac:dyDescent="0.25">
      <c r="A1908">
        <f t="shared" si="234"/>
        <v>1903</v>
      </c>
      <c r="B1908" t="s">
        <v>2578</v>
      </c>
      <c r="C1908" s="2">
        <v>0.41388888888888886</v>
      </c>
      <c r="D1908" s="4">
        <f t="shared" si="239"/>
        <v>0.11666666666666664</v>
      </c>
      <c r="E1908" s="6">
        <v>0.29722222222222222</v>
      </c>
      <c r="F1908" s="5">
        <f t="shared" si="240"/>
        <v>0.71812080536912759</v>
      </c>
      <c r="G1908" s="5">
        <v>0.60799999999999998</v>
      </c>
      <c r="H1908" s="4">
        <f>50.6/1440</f>
        <v>3.5138888888888893E-2</v>
      </c>
      <c r="I1908" s="5">
        <v>7.1999999999999995E-2</v>
      </c>
      <c r="J1908" s="11" t="s">
        <v>2584</v>
      </c>
    </row>
    <row r="1909" spans="1:10" ht="13.15" customHeight="1" x14ac:dyDescent="0.25">
      <c r="A1909">
        <f t="shared" si="234"/>
        <v>1904</v>
      </c>
      <c r="B1909" t="s">
        <v>2579</v>
      </c>
      <c r="C1909" s="2">
        <v>0.40625</v>
      </c>
      <c r="D1909" s="4">
        <f t="shared" si="239"/>
        <v>7.7083333333333337E-2</v>
      </c>
      <c r="E1909" s="6">
        <v>0.32916666666666666</v>
      </c>
      <c r="F1909" s="5">
        <f t="shared" si="240"/>
        <v>0.81025641025641026</v>
      </c>
      <c r="G1909" s="5">
        <v>0.84799999999999998</v>
      </c>
      <c r="H1909" s="4">
        <f>70.1/1440</f>
        <v>4.8680555555555553E-2</v>
      </c>
      <c r="I1909" s="5">
        <v>0.125</v>
      </c>
      <c r="J1909" s="11" t="s">
        <v>2584</v>
      </c>
    </row>
    <row r="1910" spans="1:10" ht="13.15" customHeight="1" x14ac:dyDescent="0.25">
      <c r="A1910">
        <f t="shared" si="234"/>
        <v>1905</v>
      </c>
      <c r="B1910" t="s">
        <v>2580</v>
      </c>
      <c r="C1910" s="2">
        <v>0.44027777777777777</v>
      </c>
      <c r="D1910" s="4">
        <f t="shared" si="239"/>
        <v>0.10625000000000001</v>
      </c>
      <c r="E1910" s="6">
        <v>0.33402777777777776</v>
      </c>
      <c r="F1910" s="5">
        <f t="shared" si="240"/>
        <v>0.75867507886435326</v>
      </c>
      <c r="G1910" s="5">
        <v>0.73199999999999998</v>
      </c>
      <c r="H1910" s="4">
        <f>62.7/1440</f>
        <v>4.3541666666666666E-2</v>
      </c>
      <c r="I1910" s="5">
        <v>9.5000000000000001E-2</v>
      </c>
      <c r="J1910" s="11" t="s">
        <v>2585</v>
      </c>
    </row>
    <row r="1911" spans="1:10" ht="13.15" customHeight="1" x14ac:dyDescent="0.25">
      <c r="A1911">
        <f t="shared" si="234"/>
        <v>1906</v>
      </c>
      <c r="B1911" t="s">
        <v>2581</v>
      </c>
      <c r="C1911" s="2">
        <v>0.49444444444444446</v>
      </c>
      <c r="D1911" s="4">
        <f t="shared" si="239"/>
        <v>0.11041666666666666</v>
      </c>
      <c r="E1911" s="6">
        <v>0.3840277777777778</v>
      </c>
      <c r="F1911" s="5">
        <f t="shared" si="240"/>
        <v>0.776685393258427</v>
      </c>
      <c r="G1911" s="5">
        <v>0.84199999999999997</v>
      </c>
      <c r="H1911" s="4">
        <f>62.5/1440</f>
        <v>4.3402777777777776E-2</v>
      </c>
      <c r="I1911" s="5">
        <v>9.5000000000000001E-2</v>
      </c>
      <c r="J1911" s="11" t="s">
        <v>2585</v>
      </c>
    </row>
    <row r="1912" spans="1:10" ht="13.15" customHeight="1" x14ac:dyDescent="0.25">
      <c r="A1912">
        <f t="shared" si="234"/>
        <v>1907</v>
      </c>
      <c r="B1912" t="s">
        <v>2582</v>
      </c>
      <c r="C1912" s="2">
        <v>0.52986111111111112</v>
      </c>
      <c r="D1912" s="4">
        <f t="shared" si="239"/>
        <v>0.11736111111111114</v>
      </c>
      <c r="E1912" s="6">
        <v>0.41249999999999998</v>
      </c>
      <c r="F1912" s="5">
        <f t="shared" si="240"/>
        <v>0.77850589777195278</v>
      </c>
      <c r="G1912" s="5">
        <v>0.80200000000000005</v>
      </c>
      <c r="H1912" s="4">
        <f>70.4/1440</f>
        <v>4.8888888888888891E-2</v>
      </c>
      <c r="I1912" s="5">
        <v>9.5000000000000001E-2</v>
      </c>
      <c r="J1912" s="11" t="s">
        <v>2585</v>
      </c>
    </row>
    <row r="1913" spans="1:10" ht="13.15" customHeight="1" x14ac:dyDescent="0.25">
      <c r="A1913">
        <f t="shared" si="234"/>
        <v>1908</v>
      </c>
      <c r="B1913" t="s">
        <v>2583</v>
      </c>
      <c r="C1913" s="2">
        <v>0.49930555555555556</v>
      </c>
      <c r="D1913" s="4">
        <f t="shared" si="239"/>
        <v>0.14374999999999999</v>
      </c>
      <c r="E1913" s="6">
        <v>0.35555555555555557</v>
      </c>
      <c r="F1913" s="5">
        <f t="shared" si="240"/>
        <v>0.71210013908205849</v>
      </c>
      <c r="G1913" s="5">
        <v>0.77600000000000002</v>
      </c>
      <c r="H1913" s="4">
        <f>86.7/1440</f>
        <v>6.0208333333333336E-2</v>
      </c>
      <c r="I1913" s="5">
        <v>0.13100000000000001</v>
      </c>
      <c r="J1913" s="11" t="s">
        <v>2585</v>
      </c>
    </row>
    <row r="1914" spans="1:10" ht="13.15" customHeight="1" x14ac:dyDescent="0.25">
      <c r="A1914">
        <f t="shared" si="234"/>
        <v>1909</v>
      </c>
      <c r="B1914" t="s">
        <v>2586</v>
      </c>
      <c r="C1914" s="2">
        <v>0.44097222222222221</v>
      </c>
      <c r="D1914" s="4">
        <f t="shared" si="239"/>
        <v>0.10347222222222219</v>
      </c>
      <c r="E1914" s="6">
        <v>0.33750000000000002</v>
      </c>
      <c r="F1914" s="5">
        <f t="shared" si="240"/>
        <v>0.76535433070866143</v>
      </c>
      <c r="G1914" s="5">
        <v>0.79700000000000004</v>
      </c>
      <c r="H1914" s="4">
        <f>69.3/1440</f>
        <v>4.8125000000000001E-2</v>
      </c>
      <c r="I1914" s="5">
        <v>0.113</v>
      </c>
      <c r="J1914" s="11" t="s">
        <v>2606</v>
      </c>
    </row>
    <row r="1915" spans="1:10" ht="13.15" customHeight="1" x14ac:dyDescent="0.25">
      <c r="A1915">
        <f t="shared" si="234"/>
        <v>1910</v>
      </c>
      <c r="B1915" t="s">
        <v>2587</v>
      </c>
      <c r="C1915" s="2">
        <v>0.44166666666666665</v>
      </c>
      <c r="D1915" s="4">
        <f t="shared" si="239"/>
        <v>0.15486111111111112</v>
      </c>
      <c r="E1915" s="6">
        <v>0.28680555555555554</v>
      </c>
      <c r="F1915" s="5">
        <f t="shared" si="240"/>
        <v>0.64937106918238996</v>
      </c>
      <c r="G1915" s="5">
        <v>0.82</v>
      </c>
      <c r="H1915" s="4">
        <f>72.8/1440</f>
        <v>5.0555555555555555E-2</v>
      </c>
      <c r="I1915" s="5">
        <v>0.14499999999999999</v>
      </c>
      <c r="J1915" s="11" t="s">
        <v>2606</v>
      </c>
    </row>
    <row r="1916" spans="1:10" ht="13.15" customHeight="1" x14ac:dyDescent="0.25">
      <c r="A1916">
        <f t="shared" si="234"/>
        <v>1911</v>
      </c>
      <c r="B1916" t="s">
        <v>2588</v>
      </c>
      <c r="C1916" s="2">
        <v>0.41111111111111109</v>
      </c>
      <c r="D1916" s="4">
        <f t="shared" si="239"/>
        <v>0.15486111111111112</v>
      </c>
      <c r="E1916" s="6">
        <v>0.25624999999999998</v>
      </c>
      <c r="F1916" s="5">
        <f t="shared" si="240"/>
        <v>0.62331081081081074</v>
      </c>
      <c r="G1916" s="5">
        <v>0.82699999999999996</v>
      </c>
      <c r="H1916" s="4">
        <f>76.3/1440</f>
        <v>5.2986111111111109E-2</v>
      </c>
      <c r="I1916" s="5">
        <v>0.17</v>
      </c>
      <c r="J1916" s="11" t="s">
        <v>2606</v>
      </c>
    </row>
    <row r="1917" spans="1:10" ht="13.15" customHeight="1" x14ac:dyDescent="0.25">
      <c r="A1917">
        <f t="shared" si="234"/>
        <v>1912</v>
      </c>
      <c r="B1917" t="s">
        <v>2589</v>
      </c>
      <c r="C1917" s="2">
        <v>0.47013888888888888</v>
      </c>
      <c r="D1917" s="4">
        <f t="shared" si="239"/>
        <v>0.15347222222222223</v>
      </c>
      <c r="E1917" s="6">
        <v>0.31666666666666665</v>
      </c>
      <c r="F1917" s="5">
        <f t="shared" si="240"/>
        <v>0.67355982274741499</v>
      </c>
      <c r="G1917" s="5">
        <v>0.81299999999999994</v>
      </c>
      <c r="H1917" s="4">
        <f>69.4/1440</f>
        <v>4.8194444444444449E-2</v>
      </c>
      <c r="I1917" s="5">
        <v>0.124</v>
      </c>
      <c r="J1917" s="11" t="s">
        <v>2606</v>
      </c>
    </row>
    <row r="1918" spans="1:10" ht="13.15" customHeight="1" x14ac:dyDescent="0.25">
      <c r="A1918">
        <f t="shared" si="234"/>
        <v>1913</v>
      </c>
      <c r="B1918" t="s">
        <v>2590</v>
      </c>
      <c r="C1918" s="2">
        <v>0.46111111111111114</v>
      </c>
      <c r="D1918" s="4">
        <f t="shared" si="239"/>
        <v>0.1256944444444445</v>
      </c>
      <c r="E1918" s="6">
        <v>0.33541666666666664</v>
      </c>
      <c r="F1918" s="5">
        <f t="shared" si="240"/>
        <v>0.72740963855421681</v>
      </c>
      <c r="G1918" s="5">
        <v>0.84099999999999997</v>
      </c>
      <c r="H1918" s="4">
        <f>75.5/1440</f>
        <v>5.2430555555555557E-2</v>
      </c>
      <c r="I1918" s="5">
        <v>0.13100000000000001</v>
      </c>
      <c r="J1918" s="11" t="s">
        <v>2606</v>
      </c>
    </row>
    <row r="1919" spans="1:10" ht="13.15" customHeight="1" x14ac:dyDescent="0.25">
      <c r="A1919">
        <f t="shared" si="234"/>
        <v>1914</v>
      </c>
      <c r="B1919" t="s">
        <v>2591</v>
      </c>
      <c r="C1919" s="2">
        <v>0.50694444444444442</v>
      </c>
      <c r="D1919" s="4">
        <f t="shared" si="239"/>
        <v>0.11249999999999999</v>
      </c>
      <c r="E1919" s="6">
        <v>0.39444444444444443</v>
      </c>
      <c r="F1919" s="5">
        <f t="shared" si="240"/>
        <v>0.77808219178082194</v>
      </c>
      <c r="G1919" s="5">
        <v>0.78600000000000003</v>
      </c>
      <c r="H1919" s="4">
        <f>76.6/1440</f>
        <v>5.319444444444444E-2</v>
      </c>
      <c r="I1919" s="5">
        <v>0.106</v>
      </c>
      <c r="J1919" s="11" t="s">
        <v>2607</v>
      </c>
    </row>
    <row r="1920" spans="1:10" ht="13.15" customHeight="1" x14ac:dyDescent="0.25">
      <c r="A1920">
        <f t="shared" si="234"/>
        <v>1915</v>
      </c>
      <c r="B1920" t="s">
        <v>2592</v>
      </c>
      <c r="C1920" s="2">
        <v>0.54166666666666663</v>
      </c>
      <c r="D1920" s="4">
        <f t="shared" si="239"/>
        <v>0.10833333333333328</v>
      </c>
      <c r="E1920" s="6">
        <v>0.43333333333333335</v>
      </c>
      <c r="F1920" s="5">
        <f t="shared" si="240"/>
        <v>0.8</v>
      </c>
      <c r="G1920" s="5">
        <v>0.95399999999999996</v>
      </c>
      <c r="H1920" s="4">
        <f>90.4/1440</f>
        <v>6.277777777777778E-2</v>
      </c>
      <c r="I1920" s="5">
        <v>0.13800000000000001</v>
      </c>
      <c r="J1920" s="11" t="s">
        <v>2607</v>
      </c>
    </row>
    <row r="1921" spans="1:10" ht="13.15" customHeight="1" x14ac:dyDescent="0.25">
      <c r="A1921">
        <f t="shared" si="234"/>
        <v>1916</v>
      </c>
      <c r="B1921" t="s">
        <v>2593</v>
      </c>
      <c r="C1921" s="2">
        <v>0.45763888888888887</v>
      </c>
      <c r="D1921" s="4">
        <f t="shared" si="239"/>
        <v>9.8611111111111094E-2</v>
      </c>
      <c r="E1921" s="6">
        <v>0.35902777777777778</v>
      </c>
      <c r="F1921" s="5">
        <f t="shared" si="240"/>
        <v>0.78452200303490138</v>
      </c>
      <c r="G1921" s="5">
        <v>0.91500000000000004</v>
      </c>
      <c r="H1921" s="4">
        <f>69.1/1440</f>
        <v>4.7986111111111104E-2</v>
      </c>
      <c r="I1921" s="5">
        <v>0.122</v>
      </c>
      <c r="J1921" s="11" t="s">
        <v>2607</v>
      </c>
    </row>
    <row r="1922" spans="1:10" ht="13.15" customHeight="1" x14ac:dyDescent="0.25">
      <c r="A1922">
        <f t="shared" si="234"/>
        <v>1917</v>
      </c>
      <c r="B1922" t="s">
        <v>2594</v>
      </c>
      <c r="C1922" s="2">
        <v>0.37291666666666667</v>
      </c>
      <c r="D1922" s="4">
        <f t="shared" si="239"/>
        <v>0.11736111111111114</v>
      </c>
      <c r="E1922" s="6">
        <v>0.25555555555555554</v>
      </c>
      <c r="F1922" s="5">
        <f t="shared" si="240"/>
        <v>0.68528864059590311</v>
      </c>
      <c r="G1922" s="5">
        <v>0.84</v>
      </c>
      <c r="H1922" s="4">
        <f>65.4/1440</f>
        <v>4.5416666666666668E-2</v>
      </c>
      <c r="I1922" s="5">
        <v>0.14899999999999999</v>
      </c>
      <c r="J1922" s="11" t="s">
        <v>2607</v>
      </c>
    </row>
    <row r="1923" spans="1:10" ht="13.15" customHeight="1" x14ac:dyDescent="0.25">
      <c r="A1923">
        <f t="shared" si="234"/>
        <v>1918</v>
      </c>
      <c r="B1923" t="s">
        <v>2595</v>
      </c>
      <c r="C1923" s="2">
        <v>0.49722222222222223</v>
      </c>
      <c r="D1923" s="4">
        <f t="shared" si="239"/>
        <v>0.11527777777777781</v>
      </c>
      <c r="E1923" s="6">
        <v>0.38194444444444442</v>
      </c>
      <c r="F1923" s="5">
        <f t="shared" si="240"/>
        <v>0.76815642458100553</v>
      </c>
      <c r="G1923" s="5">
        <v>0.81799999999999995</v>
      </c>
      <c r="H1923" s="4">
        <f>65.8/1440</f>
        <v>4.569444444444444E-2</v>
      </c>
      <c r="I1923" s="5">
        <v>9.8000000000000004E-2</v>
      </c>
      <c r="J1923" s="11" t="s">
        <v>2607</v>
      </c>
    </row>
    <row r="1924" spans="1:10" ht="13.15" customHeight="1" x14ac:dyDescent="0.25">
      <c r="A1924">
        <f t="shared" si="234"/>
        <v>1919</v>
      </c>
      <c r="B1924" t="s">
        <v>2596</v>
      </c>
      <c r="C1924" s="2">
        <v>0.46319444444444446</v>
      </c>
      <c r="D1924" s="4">
        <f t="shared" si="239"/>
        <v>9.8611111111111149E-2</v>
      </c>
      <c r="E1924" s="6">
        <v>0.36458333333333331</v>
      </c>
      <c r="F1924" s="5">
        <f t="shared" si="240"/>
        <v>0.78710644677661157</v>
      </c>
      <c r="G1924" s="5">
        <v>1</v>
      </c>
      <c r="H1924" s="4">
        <f>84.1/1440</f>
        <v>5.8402777777777776E-2</v>
      </c>
      <c r="I1924" s="5">
        <v>0.16</v>
      </c>
      <c r="J1924" s="11" t="s">
        <v>2608</v>
      </c>
    </row>
    <row r="1925" spans="1:10" ht="13.15" customHeight="1" x14ac:dyDescent="0.25">
      <c r="A1925">
        <f t="shared" si="234"/>
        <v>1920</v>
      </c>
      <c r="B1925" t="s">
        <v>2597</v>
      </c>
      <c r="C1925" s="2">
        <v>0.4465277777777778</v>
      </c>
      <c r="D1925" s="4">
        <f t="shared" si="239"/>
        <v>8.9583333333333348E-2</v>
      </c>
      <c r="E1925" s="6">
        <v>0.35694444444444445</v>
      </c>
      <c r="F1925" s="5">
        <f t="shared" si="240"/>
        <v>0.79937791601866248</v>
      </c>
      <c r="G1925" s="5">
        <v>1</v>
      </c>
      <c r="H1925" s="4">
        <f>79.6/1440</f>
        <v>5.5277777777777773E-2</v>
      </c>
      <c r="I1925" s="5">
        <v>0.155</v>
      </c>
      <c r="J1925" s="11" t="s">
        <v>2608</v>
      </c>
    </row>
    <row r="1926" spans="1:10" ht="13.15" customHeight="1" x14ac:dyDescent="0.25">
      <c r="A1926">
        <f t="shared" si="234"/>
        <v>1921</v>
      </c>
      <c r="B1926" t="s">
        <v>2598</v>
      </c>
      <c r="C1926" s="2">
        <v>0.42291666666666666</v>
      </c>
      <c r="D1926" s="4">
        <f t="shared" si="239"/>
        <v>0.10902777777777778</v>
      </c>
      <c r="E1926" s="6">
        <v>0.31388888888888888</v>
      </c>
      <c r="F1926" s="5">
        <f t="shared" si="240"/>
        <v>0.74220032840722494</v>
      </c>
      <c r="G1926" s="5">
        <v>1</v>
      </c>
      <c r="H1926" s="4">
        <f>87.3/1440</f>
        <v>6.0624999999999998E-2</v>
      </c>
      <c r="I1926" s="5">
        <v>0.193</v>
      </c>
      <c r="J1926" s="11" t="s">
        <v>2608</v>
      </c>
    </row>
    <row r="1927" spans="1:10" ht="13.15" customHeight="1" x14ac:dyDescent="0.25">
      <c r="A1927">
        <f t="shared" si="234"/>
        <v>1922</v>
      </c>
      <c r="B1927" t="s">
        <v>2599</v>
      </c>
      <c r="C1927" s="2">
        <v>0.5229166666666667</v>
      </c>
      <c r="D1927" s="4">
        <f t="shared" si="239"/>
        <v>0.10416666666666669</v>
      </c>
      <c r="E1927" s="6">
        <v>0.41875000000000001</v>
      </c>
      <c r="F1927" s="5">
        <f t="shared" si="240"/>
        <v>0.80079681274900394</v>
      </c>
      <c r="G1927" s="5">
        <v>1</v>
      </c>
      <c r="H1927" s="4">
        <f>80/1440</f>
        <v>5.5555555555555552E-2</v>
      </c>
      <c r="I1927" s="5">
        <v>0.13300000000000001</v>
      </c>
      <c r="J1927" s="11" t="s">
        <v>2608</v>
      </c>
    </row>
    <row r="1928" spans="1:10" ht="13.15" customHeight="1" x14ac:dyDescent="0.25">
      <c r="A1928">
        <f t="shared" si="234"/>
        <v>1923</v>
      </c>
      <c r="B1928" t="s">
        <v>2600</v>
      </c>
      <c r="C1928" s="2">
        <v>0.5131944444444444</v>
      </c>
      <c r="D1928" s="4">
        <f t="shared" si="239"/>
        <v>8.3333333333333259E-2</v>
      </c>
      <c r="E1928" s="6">
        <v>0.42986111111111114</v>
      </c>
      <c r="F1928" s="5">
        <f t="shared" si="240"/>
        <v>0.83761840324763204</v>
      </c>
      <c r="G1928" s="5">
        <v>1</v>
      </c>
      <c r="H1928" s="4">
        <f>138.3/1440</f>
        <v>9.6041666666666678E-2</v>
      </c>
      <c r="I1928" s="5">
        <v>0.223</v>
      </c>
      <c r="J1928" s="11" t="s">
        <v>2608</v>
      </c>
    </row>
    <row r="1929" spans="1:10" ht="13.15" customHeight="1" x14ac:dyDescent="0.25">
      <c r="A1929">
        <f t="shared" si="234"/>
        <v>1924</v>
      </c>
      <c r="B1929" t="s">
        <v>2601</v>
      </c>
      <c r="C1929" s="2">
        <v>0.47152777777777777</v>
      </c>
      <c r="D1929" s="4">
        <f t="shared" si="239"/>
        <v>0.10833333333333334</v>
      </c>
      <c r="E1929" s="6">
        <v>0.36319444444444443</v>
      </c>
      <c r="F1929" s="5">
        <f t="shared" si="240"/>
        <v>0.77025036818851256</v>
      </c>
      <c r="G1929" s="5">
        <v>1</v>
      </c>
      <c r="H1929" s="4">
        <f>82.5/1440</f>
        <v>5.7291666666666664E-2</v>
      </c>
      <c r="I1929" s="5">
        <v>0.158</v>
      </c>
      <c r="J1929" s="11" t="s">
        <v>2609</v>
      </c>
    </row>
    <row r="1930" spans="1:10" ht="13.15" customHeight="1" x14ac:dyDescent="0.25">
      <c r="A1930">
        <f t="shared" si="234"/>
        <v>1925</v>
      </c>
      <c r="B1930" t="s">
        <v>2602</v>
      </c>
      <c r="C1930" s="2">
        <v>0.50624999999999998</v>
      </c>
      <c r="D1930" s="4">
        <f t="shared" si="239"/>
        <v>0.1069444444444444</v>
      </c>
      <c r="E1930" s="6">
        <v>0.39930555555555558</v>
      </c>
      <c r="F1930" s="5">
        <f t="shared" si="240"/>
        <v>0.78875171467764071</v>
      </c>
      <c r="G1930" s="5">
        <v>1</v>
      </c>
      <c r="H1930" s="4">
        <f>88.3/1440</f>
        <v>6.131944444444444E-2</v>
      </c>
      <c r="I1930" s="5">
        <v>0.154</v>
      </c>
      <c r="J1930" s="11" t="s">
        <v>2609</v>
      </c>
    </row>
    <row r="1931" spans="1:10" ht="13.15" customHeight="1" x14ac:dyDescent="0.25">
      <c r="A1931">
        <f t="shared" si="234"/>
        <v>1926</v>
      </c>
      <c r="B1931" t="s">
        <v>2603</v>
      </c>
      <c r="C1931" s="2">
        <v>0.51249999999999996</v>
      </c>
      <c r="D1931" s="4">
        <f t="shared" si="239"/>
        <v>0.1243055555555555</v>
      </c>
      <c r="E1931" s="6">
        <v>0.38819444444444445</v>
      </c>
      <c r="F1931" s="5">
        <f t="shared" si="240"/>
        <v>0.75745257452574533</v>
      </c>
      <c r="G1931" s="5">
        <v>1</v>
      </c>
      <c r="H1931" s="4">
        <f>78.3/1440</f>
        <v>5.4375E-2</v>
      </c>
      <c r="I1931" s="5">
        <v>0.14000000000000001</v>
      </c>
      <c r="J1931" s="11" t="s">
        <v>2609</v>
      </c>
    </row>
    <row r="1932" spans="1:10" ht="13.15" customHeight="1" x14ac:dyDescent="0.25">
      <c r="A1932">
        <f t="shared" si="234"/>
        <v>1927</v>
      </c>
      <c r="B1932" t="s">
        <v>2604</v>
      </c>
      <c r="C1932" s="2">
        <v>0.48055555555555557</v>
      </c>
      <c r="D1932" s="4">
        <f t="shared" si="239"/>
        <v>0.12013888888888891</v>
      </c>
      <c r="E1932" s="6">
        <v>0.36041666666666666</v>
      </c>
      <c r="F1932" s="5">
        <f t="shared" si="240"/>
        <v>0.75</v>
      </c>
      <c r="G1932" s="5">
        <v>1</v>
      </c>
      <c r="H1932" s="4">
        <f>98/1440</f>
        <v>6.805555555555555E-2</v>
      </c>
      <c r="I1932" s="5">
        <v>0.189</v>
      </c>
      <c r="J1932" s="11" t="s">
        <v>2609</v>
      </c>
    </row>
    <row r="1933" spans="1:10" ht="13.15" customHeight="1" x14ac:dyDescent="0.25">
      <c r="A1933">
        <f t="shared" si="234"/>
        <v>1928</v>
      </c>
      <c r="B1933" t="s">
        <v>2605</v>
      </c>
      <c r="C1933" s="2">
        <v>0.47222222222222221</v>
      </c>
      <c r="D1933" s="4">
        <f t="shared" si="239"/>
        <v>0.10972222222222222</v>
      </c>
      <c r="E1933" s="6">
        <v>0.36249999999999999</v>
      </c>
      <c r="F1933" s="5">
        <f t="shared" si="240"/>
        <v>0.76764705882352946</v>
      </c>
      <c r="G1933" s="5">
        <v>1</v>
      </c>
      <c r="H1933" s="4">
        <f>82.3/1440</f>
        <v>5.7152777777777775E-2</v>
      </c>
      <c r="I1933" s="5">
        <v>0.157</v>
      </c>
      <c r="J1933" s="11" t="s">
        <v>2609</v>
      </c>
    </row>
    <row r="1934" spans="1:10" ht="13.15" customHeight="1" x14ac:dyDescent="0.25">
      <c r="A1934">
        <f t="shared" si="234"/>
        <v>1929</v>
      </c>
      <c r="B1934" t="s">
        <v>2612</v>
      </c>
      <c r="C1934" s="2">
        <v>0.43402777777777779</v>
      </c>
      <c r="D1934" s="4">
        <f t="shared" ref="D1934:D1942" si="241">C1934-E1934</f>
        <v>0.10902777777777778</v>
      </c>
      <c r="E1934" s="6">
        <v>0.32500000000000001</v>
      </c>
      <c r="F1934" s="5">
        <f t="shared" ref="F1934:F1942" si="242">E1934/C1934</f>
        <v>0.74880000000000002</v>
      </c>
      <c r="G1934" s="5">
        <v>0.81499999999999995</v>
      </c>
      <c r="H1934" s="4">
        <f>62.9/1440</f>
        <v>4.3680555555555556E-2</v>
      </c>
      <c r="I1934" s="5">
        <v>0.109</v>
      </c>
      <c r="J1934" s="11" t="s">
        <v>2610</v>
      </c>
    </row>
    <row r="1935" spans="1:10" ht="13.15" customHeight="1" x14ac:dyDescent="0.25">
      <c r="A1935">
        <f t="shared" si="234"/>
        <v>1930</v>
      </c>
      <c r="B1935" t="s">
        <v>2613</v>
      </c>
      <c r="C1935" s="2">
        <v>0.4548611111111111</v>
      </c>
      <c r="D1935" s="4">
        <f t="shared" si="241"/>
        <v>0.11180555555555555</v>
      </c>
      <c r="E1935" s="6">
        <v>0.34305555555555556</v>
      </c>
      <c r="F1935" s="5">
        <f t="shared" si="242"/>
        <v>0.75419847328244272</v>
      </c>
      <c r="G1935" s="5">
        <v>0.86799999999999999</v>
      </c>
      <c r="H1935" s="4">
        <f>68.7/1440</f>
        <v>4.7708333333333339E-2</v>
      </c>
      <c r="I1935" s="5">
        <v>0.12</v>
      </c>
      <c r="J1935" s="11" t="s">
        <v>2610</v>
      </c>
    </row>
    <row r="1936" spans="1:10" ht="13.15" customHeight="1" x14ac:dyDescent="0.25">
      <c r="A1936">
        <f t="shared" si="234"/>
        <v>1931</v>
      </c>
      <c r="B1936" t="s">
        <v>2614</v>
      </c>
      <c r="C1936" s="2">
        <v>0.4152777777777778</v>
      </c>
      <c r="D1936" s="4">
        <f t="shared" si="241"/>
        <v>0.11111111111111116</v>
      </c>
      <c r="E1936" s="6">
        <v>0.30416666666666664</v>
      </c>
      <c r="F1936" s="5">
        <f t="shared" si="242"/>
        <v>0.7324414715719062</v>
      </c>
      <c r="G1936" s="5">
        <v>0.80500000000000005</v>
      </c>
      <c r="H1936" s="4">
        <f>56.4/1440</f>
        <v>3.9166666666666669E-2</v>
      </c>
      <c r="I1936" s="5">
        <v>0.104</v>
      </c>
      <c r="J1936" s="11" t="s">
        <v>2610</v>
      </c>
    </row>
    <row r="1937" spans="1:10" ht="13.15" customHeight="1" x14ac:dyDescent="0.25">
      <c r="A1937">
        <f t="shared" si="234"/>
        <v>1932</v>
      </c>
      <c r="B1937" t="s">
        <v>2615</v>
      </c>
      <c r="C1937" s="2">
        <v>0.36666666666666664</v>
      </c>
      <c r="D1937" s="4">
        <f t="shared" si="241"/>
        <v>0.10763888888888884</v>
      </c>
      <c r="E1937" s="6">
        <v>0.2590277777777778</v>
      </c>
      <c r="F1937" s="5">
        <f t="shared" si="242"/>
        <v>0.70643939393939403</v>
      </c>
      <c r="G1937" s="5">
        <v>0.69699999999999995</v>
      </c>
      <c r="H1937" s="4">
        <f>51.6/1440</f>
        <v>3.5833333333333335E-2</v>
      </c>
      <c r="I1937" s="5">
        <v>9.6000000000000002E-2</v>
      </c>
      <c r="J1937" s="11" t="s">
        <v>2610</v>
      </c>
    </row>
    <row r="1938" spans="1:10" ht="13.15" customHeight="1" x14ac:dyDescent="0.25">
      <c r="A1938">
        <f t="shared" si="234"/>
        <v>1933</v>
      </c>
      <c r="B1938" t="s">
        <v>2616</v>
      </c>
      <c r="C1938" s="2">
        <v>0.45763888888888887</v>
      </c>
      <c r="D1938" s="4">
        <f t="shared" si="241"/>
        <v>0.10555555555555551</v>
      </c>
      <c r="E1938" s="6">
        <v>0.35208333333333336</v>
      </c>
      <c r="F1938" s="5">
        <f t="shared" si="242"/>
        <v>0.76934749620637333</v>
      </c>
      <c r="G1938" s="5">
        <v>0.82899999999999996</v>
      </c>
      <c r="H1938" s="4">
        <f>70.4/1440</f>
        <v>4.8888888888888891E-2</v>
      </c>
      <c r="I1938" s="5">
        <v>0.115</v>
      </c>
      <c r="J1938" s="11" t="s">
        <v>2610</v>
      </c>
    </row>
    <row r="1939" spans="1:10" ht="13.15" customHeight="1" x14ac:dyDescent="0.25">
      <c r="A1939">
        <f t="shared" si="234"/>
        <v>1934</v>
      </c>
      <c r="B1939" t="s">
        <v>2617</v>
      </c>
      <c r="C1939" s="2">
        <v>0.44305555555555554</v>
      </c>
      <c r="D1939" s="4">
        <f t="shared" si="241"/>
        <v>0.11666666666666664</v>
      </c>
      <c r="E1939" s="6">
        <v>0.3263888888888889</v>
      </c>
      <c r="F1939" s="5">
        <f t="shared" si="242"/>
        <v>0.73667711598746088</v>
      </c>
      <c r="G1939" s="5">
        <v>0.81</v>
      </c>
      <c r="H1939" s="4">
        <f>62.5/1440</f>
        <v>4.3402777777777776E-2</v>
      </c>
      <c r="I1939" s="5">
        <v>0.108</v>
      </c>
      <c r="J1939" s="11" t="s">
        <v>2611</v>
      </c>
    </row>
    <row r="1940" spans="1:10" ht="13.15" customHeight="1" x14ac:dyDescent="0.25">
      <c r="A1940">
        <f t="shared" si="234"/>
        <v>1935</v>
      </c>
      <c r="B1940" t="s">
        <v>2618</v>
      </c>
      <c r="C1940" s="2">
        <v>0.48333333333333334</v>
      </c>
      <c r="D1940" s="4">
        <f t="shared" si="241"/>
        <v>0.12222222222222223</v>
      </c>
      <c r="E1940" s="6">
        <v>0.3611111111111111</v>
      </c>
      <c r="F1940" s="5">
        <f t="shared" si="242"/>
        <v>0.74712643678160917</v>
      </c>
      <c r="G1940" s="5">
        <v>0.86299999999999999</v>
      </c>
      <c r="H1940" s="4">
        <f>61/1440</f>
        <v>4.2361111111111113E-2</v>
      </c>
      <c r="I1940" s="5">
        <v>0.10100000000000001</v>
      </c>
      <c r="J1940" s="11" t="s">
        <v>2611</v>
      </c>
    </row>
    <row r="1941" spans="1:10" ht="13.15" customHeight="1" x14ac:dyDescent="0.25">
      <c r="A1941">
        <f t="shared" si="234"/>
        <v>1936</v>
      </c>
      <c r="B1941" t="s">
        <v>2619</v>
      </c>
      <c r="C1941" s="2">
        <v>0.46527777777777779</v>
      </c>
      <c r="D1941" s="4">
        <f t="shared" si="241"/>
        <v>0.10555555555555557</v>
      </c>
      <c r="E1941" s="6">
        <v>0.35972222222222222</v>
      </c>
      <c r="F1941" s="5">
        <f t="shared" si="242"/>
        <v>0.77313432835820894</v>
      </c>
      <c r="G1941" s="5">
        <v>0.80700000000000005</v>
      </c>
      <c r="H1941" s="4">
        <f>60.9/1440</f>
        <v>4.2291666666666665E-2</v>
      </c>
      <c r="I1941" s="5">
        <v>9.5000000000000001E-2</v>
      </c>
      <c r="J1941" s="11" t="s">
        <v>2611</v>
      </c>
    </row>
    <row r="1942" spans="1:10" ht="13.15" customHeight="1" x14ac:dyDescent="0.25">
      <c r="A1942">
        <f t="shared" si="234"/>
        <v>1937</v>
      </c>
      <c r="B1942" t="s">
        <v>2620</v>
      </c>
      <c r="C1942" s="2">
        <v>0.46111111111111114</v>
      </c>
      <c r="D1942" s="4">
        <f t="shared" si="241"/>
        <v>0.10486111111111113</v>
      </c>
      <c r="E1942" s="6">
        <v>0.35625000000000001</v>
      </c>
      <c r="F1942" s="5">
        <f t="shared" si="242"/>
        <v>0.77259036144578308</v>
      </c>
      <c r="G1942" s="5">
        <v>0.81200000000000006</v>
      </c>
      <c r="H1942" s="4">
        <f>69.1/1440</f>
        <v>4.7986111111111104E-2</v>
      </c>
      <c r="I1942" s="5">
        <v>0.109</v>
      </c>
      <c r="J1942" s="11" t="s">
        <v>2611</v>
      </c>
    </row>
    <row r="1943" spans="1:10" ht="13.15" customHeight="1" x14ac:dyDescent="0.25">
      <c r="A1943">
        <f t="shared" si="234"/>
        <v>1938</v>
      </c>
      <c r="B1943" t="s">
        <v>2623</v>
      </c>
      <c r="C1943" s="2">
        <v>0.4236111111111111</v>
      </c>
      <c r="D1943" s="4">
        <f t="shared" ref="D1943:D1951" si="243">C1943-E1943</f>
        <v>0.10555555555555557</v>
      </c>
      <c r="E1943" s="6">
        <v>0.31805555555555554</v>
      </c>
      <c r="F1943" s="5">
        <f t="shared" ref="F1943:F1951" si="244">E1943/C1943</f>
        <v>0.75081967213114753</v>
      </c>
      <c r="G1943" s="5">
        <v>0.80500000000000005</v>
      </c>
      <c r="H1943" s="4">
        <f>58.7/1440</f>
        <v>4.0763888888888891E-2</v>
      </c>
      <c r="I1943" s="5">
        <v>0.10299999999999999</v>
      </c>
      <c r="J1943" s="11" t="s">
        <v>2621</v>
      </c>
    </row>
    <row r="1944" spans="1:10" ht="13.15" customHeight="1" x14ac:dyDescent="0.25">
      <c r="A1944">
        <f t="shared" ref="A1944:A2008" si="245">A1943+1</f>
        <v>1939</v>
      </c>
      <c r="B1944" t="s">
        <v>2624</v>
      </c>
      <c r="C1944" s="2">
        <v>0.43333333333333335</v>
      </c>
      <c r="D1944" s="4">
        <f t="shared" si="243"/>
        <v>0.10833333333333334</v>
      </c>
      <c r="E1944" s="6">
        <v>0.32500000000000001</v>
      </c>
      <c r="F1944" s="5">
        <f t="shared" si="244"/>
        <v>0.75</v>
      </c>
      <c r="G1944" s="5">
        <v>0.84699999999999998</v>
      </c>
      <c r="H1944" s="4">
        <f>63.7/1440</f>
        <v>4.4236111111111115E-2</v>
      </c>
      <c r="I1944" s="5">
        <v>0.115</v>
      </c>
      <c r="J1944" s="11" t="s">
        <v>2621</v>
      </c>
    </row>
    <row r="1945" spans="1:10" ht="13.15" customHeight="1" x14ac:dyDescent="0.25">
      <c r="A1945">
        <f t="shared" si="245"/>
        <v>1940</v>
      </c>
      <c r="B1945" t="s">
        <v>2625</v>
      </c>
      <c r="C1945" s="2">
        <v>0.3840277777777778</v>
      </c>
      <c r="D1945" s="4">
        <f t="shared" si="243"/>
        <v>0.1076388888888889</v>
      </c>
      <c r="E1945" s="6">
        <v>0.27638888888888891</v>
      </c>
      <c r="F1945" s="5">
        <f t="shared" si="244"/>
        <v>0.71971066907775771</v>
      </c>
      <c r="G1945" s="5">
        <v>0.77500000000000002</v>
      </c>
      <c r="H1945" s="4">
        <f>51.9/1440</f>
        <v>3.6041666666666666E-2</v>
      </c>
      <c r="I1945" s="5">
        <v>0.10100000000000001</v>
      </c>
      <c r="J1945" s="11" t="s">
        <v>2621</v>
      </c>
    </row>
    <row r="1946" spans="1:10" ht="13.15" customHeight="1" x14ac:dyDescent="0.25">
      <c r="A1946">
        <f t="shared" si="245"/>
        <v>1941</v>
      </c>
      <c r="B1946" t="s">
        <v>2626</v>
      </c>
      <c r="C1946" s="2">
        <v>0.4152777777777778</v>
      </c>
      <c r="D1946" s="4">
        <f t="shared" si="243"/>
        <v>0.11250000000000004</v>
      </c>
      <c r="E1946" s="6">
        <v>0.30277777777777776</v>
      </c>
      <c r="F1946" s="5">
        <f t="shared" si="244"/>
        <v>0.72909698996655514</v>
      </c>
      <c r="G1946" s="5">
        <v>0.74399999999999999</v>
      </c>
      <c r="H1946" s="4">
        <f>51/1440</f>
        <v>3.5416666666666666E-2</v>
      </c>
      <c r="I1946" s="5">
        <v>8.6999999999999994E-2</v>
      </c>
      <c r="J1946" s="11" t="s">
        <v>2621</v>
      </c>
    </row>
    <row r="1947" spans="1:10" ht="13.15" customHeight="1" x14ac:dyDescent="0.25">
      <c r="A1947">
        <f t="shared" si="245"/>
        <v>1942</v>
      </c>
      <c r="B1947" t="s">
        <v>2627</v>
      </c>
      <c r="C1947" s="2">
        <v>0.41597222222222224</v>
      </c>
      <c r="D1947" s="4">
        <f t="shared" si="243"/>
        <v>0.10000000000000003</v>
      </c>
      <c r="E1947" s="6">
        <v>0.31597222222222221</v>
      </c>
      <c r="F1947" s="5">
        <f t="shared" si="244"/>
        <v>0.75959933222036724</v>
      </c>
      <c r="G1947" s="5">
        <v>0.80100000000000005</v>
      </c>
      <c r="H1947" s="4">
        <f>61.3/1440</f>
        <v>4.2569444444444444E-2</v>
      </c>
      <c r="I1947" s="5">
        <v>0.108</v>
      </c>
      <c r="J1947" s="11" t="s">
        <v>2621</v>
      </c>
    </row>
    <row r="1948" spans="1:10" ht="13.15" customHeight="1" x14ac:dyDescent="0.25">
      <c r="A1948">
        <f t="shared" si="245"/>
        <v>1943</v>
      </c>
      <c r="B1948" t="s">
        <v>2628</v>
      </c>
      <c r="C1948" s="2">
        <v>0.42083333333333334</v>
      </c>
      <c r="D1948" s="4">
        <f t="shared" si="243"/>
        <v>0.10069444444444448</v>
      </c>
      <c r="E1948" s="6">
        <v>0.32013888888888886</v>
      </c>
      <c r="F1948" s="5">
        <f t="shared" si="244"/>
        <v>0.76072607260726066</v>
      </c>
      <c r="G1948" s="5">
        <v>0.82599999999999996</v>
      </c>
      <c r="H1948" s="4">
        <f>57.6/1440</f>
        <v>0.04</v>
      </c>
      <c r="I1948" s="5">
        <v>0.10299999999999999</v>
      </c>
      <c r="J1948" s="11" t="s">
        <v>2622</v>
      </c>
    </row>
    <row r="1949" spans="1:10" ht="13.15" customHeight="1" x14ac:dyDescent="0.25">
      <c r="A1949">
        <f t="shared" si="245"/>
        <v>1944</v>
      </c>
      <c r="B1949" t="s">
        <v>2629</v>
      </c>
      <c r="C1949" s="2">
        <v>0.4826388888888889</v>
      </c>
      <c r="D1949" s="4">
        <f t="shared" si="243"/>
        <v>0.11944444444444446</v>
      </c>
      <c r="E1949" s="6">
        <v>0.36319444444444443</v>
      </c>
      <c r="F1949" s="5">
        <f t="shared" si="244"/>
        <v>0.75251798561151073</v>
      </c>
      <c r="G1949" s="5">
        <v>0.83799999999999997</v>
      </c>
      <c r="H1949" s="4">
        <f>62.2/1440</f>
        <v>4.3194444444444445E-2</v>
      </c>
      <c r="I1949" s="5">
        <v>0.1</v>
      </c>
      <c r="J1949" s="11" t="s">
        <v>2622</v>
      </c>
    </row>
    <row r="1950" spans="1:10" ht="13.15" customHeight="1" x14ac:dyDescent="0.25">
      <c r="A1950">
        <f t="shared" si="245"/>
        <v>1945</v>
      </c>
      <c r="B1950" t="s">
        <v>2630</v>
      </c>
      <c r="C1950" s="2">
        <v>0.47916666666666669</v>
      </c>
      <c r="D1950" s="4">
        <f t="shared" si="243"/>
        <v>0.11250000000000004</v>
      </c>
      <c r="E1950" s="6">
        <v>0.36666666666666664</v>
      </c>
      <c r="F1950" s="5">
        <f t="shared" si="244"/>
        <v>0.76521739130434774</v>
      </c>
      <c r="G1950" s="5">
        <v>0.80700000000000005</v>
      </c>
      <c r="H1950" s="4">
        <f>56.3/1440</f>
        <v>3.9097222222222221E-2</v>
      </c>
      <c r="I1950" s="5">
        <v>8.5999999999999993E-2</v>
      </c>
      <c r="J1950" s="11" t="s">
        <v>2622</v>
      </c>
    </row>
    <row r="1951" spans="1:10" ht="13.15" customHeight="1" x14ac:dyDescent="0.25">
      <c r="A1951">
        <f t="shared" si="245"/>
        <v>1946</v>
      </c>
      <c r="B1951" t="s">
        <v>2631</v>
      </c>
      <c r="C1951" s="2">
        <v>0.50624999999999998</v>
      </c>
      <c r="D1951" s="4">
        <f t="shared" si="243"/>
        <v>0.10486111111111107</v>
      </c>
      <c r="E1951" s="6">
        <v>0.40138888888888891</v>
      </c>
      <c r="F1951" s="5">
        <f t="shared" si="244"/>
        <v>0.79286694101508925</v>
      </c>
      <c r="G1951" s="5">
        <v>0.78900000000000003</v>
      </c>
      <c r="H1951" s="4">
        <f>67.8/1440</f>
        <v>4.7083333333333331E-2</v>
      </c>
      <c r="I1951" s="5">
        <v>9.1999999999999998E-2</v>
      </c>
      <c r="J1951" s="11" t="s">
        <v>2622</v>
      </c>
    </row>
    <row r="1952" spans="1:10" ht="13.15" customHeight="1" x14ac:dyDescent="0.25">
      <c r="A1952">
        <f t="shared" si="245"/>
        <v>1947</v>
      </c>
      <c r="B1952" t="s">
        <v>2632</v>
      </c>
      <c r="C1952" s="2">
        <v>0.41111111111111109</v>
      </c>
      <c r="D1952" s="4">
        <f t="shared" ref="D1952:D1960" si="246">C1952-E1952</f>
        <v>0.12916666666666665</v>
      </c>
      <c r="E1952" s="6">
        <v>0.28194444444444444</v>
      </c>
      <c r="F1952" s="5">
        <f t="shared" ref="F1952:F1960" si="247">E1952/C1952</f>
        <v>0.68581081081081086</v>
      </c>
      <c r="G1952" s="5">
        <v>0.79</v>
      </c>
      <c r="H1952" s="4">
        <f>57.2/1440</f>
        <v>3.9722222222222221E-2</v>
      </c>
      <c r="I1952" s="5">
        <v>0.111</v>
      </c>
      <c r="J1952" s="11" t="s">
        <v>2641</v>
      </c>
    </row>
    <row r="1953" spans="1:10" ht="13.15" customHeight="1" x14ac:dyDescent="0.25">
      <c r="A1953">
        <f t="shared" si="245"/>
        <v>1948</v>
      </c>
      <c r="B1953" t="s">
        <v>2633</v>
      </c>
      <c r="C1953" s="2">
        <v>0.39930555555555558</v>
      </c>
      <c r="D1953" s="4">
        <f t="shared" si="246"/>
        <v>0.12569444444444444</v>
      </c>
      <c r="E1953" s="6">
        <v>0.27361111111111114</v>
      </c>
      <c r="F1953" s="5">
        <f t="shared" si="247"/>
        <v>0.68521739130434789</v>
      </c>
      <c r="G1953" s="5">
        <v>0.88200000000000001</v>
      </c>
      <c r="H1953" s="4">
        <f>60.6/1440</f>
        <v>4.2083333333333334E-2</v>
      </c>
      <c r="I1953" s="5">
        <v>0.13500000000000001</v>
      </c>
      <c r="J1953" s="11" t="s">
        <v>2641</v>
      </c>
    </row>
    <row r="1954" spans="1:10" ht="13.15" customHeight="1" x14ac:dyDescent="0.25">
      <c r="A1954">
        <f t="shared" si="245"/>
        <v>1949</v>
      </c>
      <c r="B1954" t="s">
        <v>2634</v>
      </c>
      <c r="C1954" s="2">
        <v>0.39791666666666664</v>
      </c>
      <c r="D1954" s="4">
        <f t="shared" si="246"/>
        <v>0.12569444444444444</v>
      </c>
      <c r="E1954" s="6">
        <v>0.2722222222222222</v>
      </c>
      <c r="F1954" s="5">
        <f t="shared" si="247"/>
        <v>0.68411867364746948</v>
      </c>
      <c r="G1954" s="5">
        <v>0.75900000000000001</v>
      </c>
      <c r="H1954" s="4">
        <f>54/1440</f>
        <v>3.7499999999999999E-2</v>
      </c>
      <c r="I1954" s="5">
        <v>0.104</v>
      </c>
      <c r="J1954" s="11" t="s">
        <v>2641</v>
      </c>
    </row>
    <row r="1955" spans="1:10" ht="13.15" customHeight="1" x14ac:dyDescent="0.25">
      <c r="A1955">
        <f t="shared" si="245"/>
        <v>1950</v>
      </c>
      <c r="B1955" t="s">
        <v>2635</v>
      </c>
      <c r="C1955" s="2">
        <v>0.42222222222222222</v>
      </c>
      <c r="D1955" s="4">
        <f t="shared" si="246"/>
        <v>0.12777777777777777</v>
      </c>
      <c r="E1955" s="6">
        <v>0.29444444444444445</v>
      </c>
      <c r="F1955" s="5">
        <f t="shared" si="247"/>
        <v>0.69736842105263164</v>
      </c>
      <c r="G1955" s="5">
        <v>0.67600000000000005</v>
      </c>
      <c r="H1955" s="4">
        <f>54.8/1440</f>
        <v>3.8055555555555551E-2</v>
      </c>
      <c r="I1955" s="5">
        <v>8.6999999999999994E-2</v>
      </c>
      <c r="J1955" s="11" t="s">
        <v>2641</v>
      </c>
    </row>
    <row r="1956" spans="1:10" ht="13.15" customHeight="1" x14ac:dyDescent="0.25">
      <c r="A1956">
        <f t="shared" si="245"/>
        <v>1951</v>
      </c>
      <c r="B1956" t="s">
        <v>2636</v>
      </c>
      <c r="C1956" s="2">
        <v>0.41944444444444445</v>
      </c>
      <c r="D1956" s="4">
        <f t="shared" si="246"/>
        <v>0.13750000000000001</v>
      </c>
      <c r="E1956" s="6">
        <v>0.28194444444444444</v>
      </c>
      <c r="F1956" s="5">
        <f t="shared" si="247"/>
        <v>0.67218543046357615</v>
      </c>
      <c r="G1956" s="5">
        <v>0.86899999999999999</v>
      </c>
      <c r="H1956" s="4">
        <f>63.7/1440</f>
        <v>4.4236111111111115E-2</v>
      </c>
      <c r="I1956" s="5">
        <v>0.13600000000000001</v>
      </c>
      <c r="J1956" s="11" t="s">
        <v>2641</v>
      </c>
    </row>
    <row r="1957" spans="1:10" ht="13.15" customHeight="1" x14ac:dyDescent="0.25">
      <c r="A1957">
        <f t="shared" si="245"/>
        <v>1952</v>
      </c>
      <c r="B1957" t="s">
        <v>2637</v>
      </c>
      <c r="C1957" s="2">
        <v>0.43958333333333333</v>
      </c>
      <c r="D1957" s="4">
        <f t="shared" si="246"/>
        <v>0.12986111111111109</v>
      </c>
      <c r="E1957" s="6">
        <v>0.30972222222222223</v>
      </c>
      <c r="F1957" s="5">
        <f t="shared" si="247"/>
        <v>0.70458135860979465</v>
      </c>
      <c r="G1957" s="5">
        <v>0.79300000000000004</v>
      </c>
      <c r="H1957" s="4">
        <f>66.2/1440</f>
        <v>4.5972222222222227E-2</v>
      </c>
      <c r="I1957" s="5">
        <v>0.11799999999999999</v>
      </c>
      <c r="J1957" s="11" t="s">
        <v>2642</v>
      </c>
    </row>
    <row r="1958" spans="1:10" ht="13.15" customHeight="1" x14ac:dyDescent="0.25">
      <c r="A1958">
        <f t="shared" si="245"/>
        <v>1953</v>
      </c>
      <c r="B1958" t="s">
        <v>2638</v>
      </c>
      <c r="C1958" s="2">
        <v>0.45208333333333334</v>
      </c>
      <c r="D1958" s="4">
        <f t="shared" si="246"/>
        <v>0.12569444444444444</v>
      </c>
      <c r="E1958" s="6">
        <v>0.3263888888888889</v>
      </c>
      <c r="F1958" s="5">
        <f t="shared" si="247"/>
        <v>0.72196620583717364</v>
      </c>
      <c r="G1958" s="5">
        <v>0.84399999999999997</v>
      </c>
      <c r="H1958" s="4">
        <f>58.8/1440</f>
        <v>4.0833333333333333E-2</v>
      </c>
      <c r="I1958" s="5">
        <v>0.105</v>
      </c>
      <c r="J1958" s="11" t="s">
        <v>2642</v>
      </c>
    </row>
    <row r="1959" spans="1:10" ht="13.15" customHeight="1" x14ac:dyDescent="0.25">
      <c r="A1959">
        <f t="shared" si="245"/>
        <v>1954</v>
      </c>
      <c r="B1959" t="s">
        <v>2639</v>
      </c>
      <c r="C1959" s="2">
        <v>0.52083333333333337</v>
      </c>
      <c r="D1959" s="4">
        <f t="shared" si="246"/>
        <v>0.16388888888888892</v>
      </c>
      <c r="E1959" s="6">
        <v>0.35694444444444445</v>
      </c>
      <c r="F1959" s="5">
        <f t="shared" si="247"/>
        <v>0.68533333333333335</v>
      </c>
      <c r="G1959" s="5">
        <v>0.86499999999999999</v>
      </c>
      <c r="H1959" s="4">
        <f>53.7/1440</f>
        <v>3.7291666666666667E-2</v>
      </c>
      <c r="I1959" s="5">
        <v>0.09</v>
      </c>
      <c r="J1959" s="11" t="s">
        <v>2642</v>
      </c>
    </row>
    <row r="1960" spans="1:10" ht="13.15" customHeight="1" x14ac:dyDescent="0.25">
      <c r="A1960">
        <f t="shared" si="245"/>
        <v>1955</v>
      </c>
      <c r="B1960" t="s">
        <v>2640</v>
      </c>
      <c r="C1960" s="2">
        <v>0.37291666666666667</v>
      </c>
      <c r="D1960" s="4">
        <f t="shared" si="246"/>
        <v>0.14652777777777778</v>
      </c>
      <c r="E1960" s="6">
        <v>0.22638888888888889</v>
      </c>
      <c r="F1960" s="5">
        <f t="shared" si="247"/>
        <v>0.6070763500931099</v>
      </c>
      <c r="G1960" s="5">
        <v>0.751</v>
      </c>
      <c r="H1960" s="4">
        <f>42/1440</f>
        <v>2.9166666666666667E-2</v>
      </c>
      <c r="I1960" s="5">
        <v>9.7000000000000003E-2</v>
      </c>
      <c r="J1960" s="11" t="s">
        <v>2642</v>
      </c>
    </row>
    <row r="1961" spans="1:10" ht="13.15" customHeight="1" x14ac:dyDescent="0.25">
      <c r="A1961">
        <f t="shared" si="245"/>
        <v>1956</v>
      </c>
      <c r="B1961" t="s">
        <v>2643</v>
      </c>
      <c r="C1961" s="2">
        <v>0.43333333333333335</v>
      </c>
      <c r="D1961" s="4">
        <f t="shared" ref="D1961:D1969" si="248">C1961-E1961</f>
        <v>0.10972222222222222</v>
      </c>
      <c r="E1961" s="6">
        <v>0.32361111111111113</v>
      </c>
      <c r="F1961" s="5">
        <f t="shared" ref="F1961:F1969" si="249">E1961/C1961</f>
        <v>0.74679487179487181</v>
      </c>
      <c r="G1961" s="5">
        <v>0.78700000000000003</v>
      </c>
      <c r="H1961" s="4">
        <f>58.3/1440</f>
        <v>4.0486111111111112E-2</v>
      </c>
      <c r="I1961" s="5">
        <v>9.8000000000000004E-2</v>
      </c>
      <c r="J1961" s="11" t="s">
        <v>2644</v>
      </c>
    </row>
    <row r="1962" spans="1:10" ht="13.15" customHeight="1" x14ac:dyDescent="0.25">
      <c r="A1962">
        <f t="shared" si="245"/>
        <v>1957</v>
      </c>
      <c r="B1962" t="s">
        <v>2645</v>
      </c>
      <c r="C1962" s="2">
        <v>0.43472222222222223</v>
      </c>
      <c r="D1962" s="4">
        <f t="shared" si="248"/>
        <v>0.11180555555555555</v>
      </c>
      <c r="E1962" s="6">
        <v>0.32291666666666669</v>
      </c>
      <c r="F1962" s="5">
        <f t="shared" si="249"/>
        <v>0.74281150159744413</v>
      </c>
      <c r="G1962" s="5">
        <v>0.82499999999999996</v>
      </c>
      <c r="H1962" s="4">
        <f>68.3/1440</f>
        <v>4.7430555555555552E-2</v>
      </c>
      <c r="I1962" s="5">
        <v>0.121</v>
      </c>
      <c r="J1962" s="11" t="s">
        <v>2644</v>
      </c>
    </row>
    <row r="1963" spans="1:10" ht="13.15" customHeight="1" x14ac:dyDescent="0.25">
      <c r="A1963">
        <f t="shared" si="245"/>
        <v>1958</v>
      </c>
      <c r="B1963" t="s">
        <v>2646</v>
      </c>
      <c r="C1963" s="2">
        <v>0.40694444444444444</v>
      </c>
      <c r="D1963" s="4">
        <f t="shared" si="248"/>
        <v>0.1027777777777778</v>
      </c>
      <c r="E1963" s="6">
        <v>0.30416666666666664</v>
      </c>
      <c r="F1963" s="5">
        <f t="shared" si="249"/>
        <v>0.74744027303754257</v>
      </c>
      <c r="G1963" s="5">
        <v>0.77</v>
      </c>
      <c r="H1963" s="4">
        <f>52.8/1440</f>
        <v>3.6666666666666667E-2</v>
      </c>
      <c r="I1963" s="5">
        <v>9.2999999999999999E-2</v>
      </c>
      <c r="J1963" s="11" t="s">
        <v>2644</v>
      </c>
    </row>
    <row r="1964" spans="1:10" ht="13.15" customHeight="1" x14ac:dyDescent="0.25">
      <c r="A1964">
        <f t="shared" si="245"/>
        <v>1959</v>
      </c>
      <c r="B1964" t="s">
        <v>2647</v>
      </c>
      <c r="C1964" s="2">
        <v>0.40416666666666667</v>
      </c>
      <c r="D1964" s="4">
        <f t="shared" si="248"/>
        <v>0.11736111111111114</v>
      </c>
      <c r="E1964" s="6">
        <v>0.28680555555555554</v>
      </c>
      <c r="F1964" s="5">
        <f t="shared" si="249"/>
        <v>0.70962199312714769</v>
      </c>
      <c r="G1964" s="5">
        <v>0.71899999999999997</v>
      </c>
      <c r="H1964" s="4">
        <f>47.5/1440</f>
        <v>3.2986111111111112E-2</v>
      </c>
      <c r="I1964" s="5">
        <v>8.3000000000000004E-2</v>
      </c>
      <c r="J1964" s="11" t="s">
        <v>2644</v>
      </c>
    </row>
    <row r="1965" spans="1:10" ht="13.15" customHeight="1" x14ac:dyDescent="0.25">
      <c r="A1965">
        <f t="shared" si="245"/>
        <v>1960</v>
      </c>
      <c r="B1965" t="s">
        <v>2648</v>
      </c>
      <c r="C1965" s="2">
        <v>0.43333333333333335</v>
      </c>
      <c r="D1965" s="4">
        <f t="shared" si="248"/>
        <v>9.9305555555555591E-2</v>
      </c>
      <c r="E1965" s="6">
        <v>0.33402777777777776</v>
      </c>
      <c r="F1965" s="5">
        <f t="shared" si="249"/>
        <v>0.77083333333333326</v>
      </c>
      <c r="G1965" s="5">
        <v>0.83799999999999997</v>
      </c>
      <c r="H1965" s="4">
        <f>64.5/1440</f>
        <v>4.4791666666666667E-2</v>
      </c>
      <c r="I1965" s="5">
        <v>0.112</v>
      </c>
      <c r="J1965" s="11" t="s">
        <v>2644</v>
      </c>
    </row>
    <row r="1966" spans="1:10" ht="13.15" customHeight="1" x14ac:dyDescent="0.25">
      <c r="A1966">
        <f t="shared" si="245"/>
        <v>1961</v>
      </c>
      <c r="B1966" t="s">
        <v>2649</v>
      </c>
      <c r="C1966" s="2">
        <v>0.43611111111111112</v>
      </c>
      <c r="D1966" s="4">
        <f t="shared" si="248"/>
        <v>0.11805555555555558</v>
      </c>
      <c r="E1966" s="6">
        <v>0.31805555555555554</v>
      </c>
      <c r="F1966" s="5">
        <f t="shared" si="249"/>
        <v>0.72929936305732479</v>
      </c>
      <c r="G1966" s="5">
        <v>0.78</v>
      </c>
      <c r="H1966" s="4">
        <f>55.8/1440</f>
        <v>3.875E-2</v>
      </c>
      <c r="I1966" s="5">
        <v>9.5000000000000001E-2</v>
      </c>
      <c r="J1966" s="11" t="s">
        <v>2650</v>
      </c>
    </row>
    <row r="1967" spans="1:10" ht="13.15" customHeight="1" x14ac:dyDescent="0.25">
      <c r="A1967">
        <f t="shared" si="245"/>
        <v>1962</v>
      </c>
      <c r="B1967" t="s">
        <v>2651</v>
      </c>
      <c r="C1967" s="2">
        <v>0.52430555555555558</v>
      </c>
      <c r="D1967" s="4">
        <f t="shared" si="248"/>
        <v>0.12916666666666671</v>
      </c>
      <c r="E1967" s="6">
        <v>0.39513888888888887</v>
      </c>
      <c r="F1967" s="5">
        <f t="shared" si="249"/>
        <v>0.75364238410596018</v>
      </c>
      <c r="G1967" s="5">
        <v>0.82499999999999996</v>
      </c>
      <c r="H1967" s="4">
        <f>58.5/1440</f>
        <v>4.0625000000000001E-2</v>
      </c>
      <c r="I1967" s="5">
        <v>8.5000000000000006E-2</v>
      </c>
      <c r="J1967" s="11" t="s">
        <v>2650</v>
      </c>
    </row>
    <row r="1968" spans="1:10" ht="13.15" customHeight="1" x14ac:dyDescent="0.25">
      <c r="A1968">
        <f t="shared" si="245"/>
        <v>1963</v>
      </c>
      <c r="B1968" t="s">
        <v>2652</v>
      </c>
      <c r="C1968" s="2">
        <v>0.51666666666666672</v>
      </c>
      <c r="D1968" s="4">
        <f t="shared" si="248"/>
        <v>0.12500000000000006</v>
      </c>
      <c r="E1968" s="6">
        <v>0.39166666666666666</v>
      </c>
      <c r="F1968" s="5">
        <f t="shared" si="249"/>
        <v>0.75806451612903214</v>
      </c>
      <c r="G1968" s="5">
        <v>0.82399999999999995</v>
      </c>
      <c r="H1968" s="4">
        <f>62.5/1440</f>
        <v>4.3402777777777776E-2</v>
      </c>
      <c r="I1968" s="5">
        <v>9.0999999999999998E-2</v>
      </c>
      <c r="J1968" s="11" t="s">
        <v>2650</v>
      </c>
    </row>
    <row r="1969" spans="1:10" ht="13.15" customHeight="1" x14ac:dyDescent="0.25">
      <c r="A1969">
        <f t="shared" si="245"/>
        <v>1964</v>
      </c>
      <c r="B1969" t="s">
        <v>2653</v>
      </c>
      <c r="C1969" s="2">
        <v>0.47083333333333333</v>
      </c>
      <c r="D1969" s="4">
        <f t="shared" si="248"/>
        <v>0.11319444444444443</v>
      </c>
      <c r="E1969" s="6">
        <v>0.3576388888888889</v>
      </c>
      <c r="F1969" s="5">
        <f t="shared" si="249"/>
        <v>0.75958702064896755</v>
      </c>
      <c r="G1969" s="5">
        <v>0.76600000000000001</v>
      </c>
      <c r="H1969" s="4">
        <f>60.8/1440</f>
        <v>4.2222222222222223E-2</v>
      </c>
      <c r="I1969" s="5">
        <v>0.09</v>
      </c>
      <c r="J1969" s="11" t="s">
        <v>2650</v>
      </c>
    </row>
    <row r="1970" spans="1:10" ht="13.15" customHeight="1" x14ac:dyDescent="0.25">
      <c r="A1970">
        <f t="shared" si="245"/>
        <v>1965</v>
      </c>
      <c r="B1970" t="s">
        <v>2656</v>
      </c>
      <c r="C1970" s="2">
        <v>0.42638888888888887</v>
      </c>
      <c r="D1970" s="4">
        <f t="shared" ref="D1970:D1978" si="250">C1970-E1970</f>
        <v>0.11527777777777776</v>
      </c>
      <c r="E1970" s="6">
        <v>0.31111111111111112</v>
      </c>
      <c r="F1970" s="5">
        <f t="shared" ref="F1970:F1978" si="251">E1970/C1970</f>
        <v>0.72964169381107491</v>
      </c>
      <c r="G1970" s="5">
        <v>0.77100000000000002</v>
      </c>
      <c r="H1970" s="4">
        <f>57.8/1440</f>
        <v>4.0138888888888884E-2</v>
      </c>
      <c r="I1970" s="5">
        <v>9.9000000000000005E-2</v>
      </c>
      <c r="J1970" s="11" t="s">
        <v>2654</v>
      </c>
    </row>
    <row r="1971" spans="1:10" ht="13.15" customHeight="1" x14ac:dyDescent="0.25">
      <c r="A1971">
        <f t="shared" si="245"/>
        <v>1966</v>
      </c>
      <c r="B1971" t="s">
        <v>2657</v>
      </c>
      <c r="C1971" s="2">
        <v>0.43263888888888891</v>
      </c>
      <c r="D1971" s="4">
        <f t="shared" si="250"/>
        <v>0.10902777777777778</v>
      </c>
      <c r="E1971" s="6">
        <v>0.32361111111111113</v>
      </c>
      <c r="F1971" s="5">
        <f t="shared" si="251"/>
        <v>0.7479935794542536</v>
      </c>
      <c r="G1971" s="5">
        <v>0.83099999999999996</v>
      </c>
      <c r="H1971" s="4">
        <f>65.2/1440</f>
        <v>4.5277777777777778E-2</v>
      </c>
      <c r="I1971" s="5">
        <v>0.11600000000000001</v>
      </c>
      <c r="J1971" s="11" t="s">
        <v>2654</v>
      </c>
    </row>
    <row r="1972" spans="1:10" ht="13.15" customHeight="1" x14ac:dyDescent="0.25">
      <c r="A1972">
        <f t="shared" si="245"/>
        <v>1967</v>
      </c>
      <c r="B1972" t="s">
        <v>2658</v>
      </c>
      <c r="C1972" s="2">
        <v>0.40555555555555556</v>
      </c>
      <c r="D1972" s="4">
        <f t="shared" si="250"/>
        <v>0.12638888888888888</v>
      </c>
      <c r="E1972" s="6">
        <v>0.27916666666666667</v>
      </c>
      <c r="F1972" s="5">
        <f t="shared" si="251"/>
        <v>0.68835616438356162</v>
      </c>
      <c r="G1972" s="5">
        <v>0.79500000000000004</v>
      </c>
      <c r="H1972" s="4">
        <f>51.4/1440</f>
        <v>3.5694444444444445E-2</v>
      </c>
      <c r="I1972" s="5">
        <v>0.10199999999999999</v>
      </c>
      <c r="J1972" s="11" t="s">
        <v>2654</v>
      </c>
    </row>
    <row r="1973" spans="1:10" ht="13.15" customHeight="1" x14ac:dyDescent="0.25">
      <c r="A1973">
        <f t="shared" si="245"/>
        <v>1968</v>
      </c>
      <c r="B1973" t="s">
        <v>2659</v>
      </c>
      <c r="C1973" s="2">
        <v>0.39930555555555558</v>
      </c>
      <c r="D1973" s="4">
        <f t="shared" si="250"/>
        <v>0.11736111111111114</v>
      </c>
      <c r="E1973" s="6">
        <v>0.28194444444444444</v>
      </c>
      <c r="F1973" s="5">
        <f t="shared" si="251"/>
        <v>0.70608695652173903</v>
      </c>
      <c r="G1973" s="5">
        <v>0.67200000000000004</v>
      </c>
      <c r="H1973" s="4">
        <f>48/1440</f>
        <v>3.3333333333333333E-2</v>
      </c>
      <c r="I1973" s="5">
        <v>7.9000000000000001E-2</v>
      </c>
      <c r="J1973" s="11" t="s">
        <v>2654</v>
      </c>
    </row>
    <row r="1974" spans="1:10" ht="13.15" customHeight="1" x14ac:dyDescent="0.25">
      <c r="A1974">
        <f t="shared" si="245"/>
        <v>1969</v>
      </c>
      <c r="B1974" t="s">
        <v>2660</v>
      </c>
      <c r="C1974" s="2">
        <v>0.44305555555555554</v>
      </c>
      <c r="D1974" s="4">
        <f t="shared" si="250"/>
        <v>9.8611111111111094E-2</v>
      </c>
      <c r="E1974" s="6">
        <v>0.34444444444444444</v>
      </c>
      <c r="F1974" s="5">
        <f t="shared" si="251"/>
        <v>0.77742946708463956</v>
      </c>
      <c r="G1974" s="5">
        <v>0.80600000000000005</v>
      </c>
      <c r="H1974" s="4">
        <f>62.7/1440</f>
        <v>4.3541666666666666E-2</v>
      </c>
      <c r="I1974" s="5">
        <v>0.10199999999999999</v>
      </c>
      <c r="J1974" s="11" t="s">
        <v>2654</v>
      </c>
    </row>
    <row r="1975" spans="1:10" ht="13.15" customHeight="1" x14ac:dyDescent="0.25">
      <c r="A1975">
        <f t="shared" si="245"/>
        <v>1970</v>
      </c>
      <c r="B1975" t="s">
        <v>2661</v>
      </c>
      <c r="C1975" s="2">
        <v>0.47708333333333336</v>
      </c>
      <c r="D1975" s="4">
        <f t="shared" si="250"/>
        <v>0.13472222222222224</v>
      </c>
      <c r="E1975" s="6">
        <v>0.34236111111111112</v>
      </c>
      <c r="F1975" s="5">
        <f t="shared" si="251"/>
        <v>0.71761280931586602</v>
      </c>
      <c r="G1975" s="5">
        <v>0.76500000000000001</v>
      </c>
      <c r="H1975" s="4">
        <f>58/1440</f>
        <v>4.027777777777778E-2</v>
      </c>
      <c r="I1975" s="5">
        <v>0.09</v>
      </c>
      <c r="J1975" s="11" t="s">
        <v>2655</v>
      </c>
    </row>
    <row r="1976" spans="1:10" ht="13.15" customHeight="1" x14ac:dyDescent="0.25">
      <c r="A1976">
        <f t="shared" si="245"/>
        <v>1971</v>
      </c>
      <c r="B1976" t="s">
        <v>2662</v>
      </c>
      <c r="C1976" s="2">
        <v>0.50069444444444444</v>
      </c>
      <c r="D1976" s="4">
        <f t="shared" si="250"/>
        <v>0.11388888888888887</v>
      </c>
      <c r="E1976" s="6">
        <v>0.38680555555555557</v>
      </c>
      <c r="F1976" s="5">
        <f t="shared" si="251"/>
        <v>0.7725381414701803</v>
      </c>
      <c r="G1976" s="5">
        <v>0.82399999999999995</v>
      </c>
      <c r="H1976" s="4">
        <f>59.4/1440</f>
        <v>4.1250000000000002E-2</v>
      </c>
      <c r="I1976" s="5">
        <v>8.7999999999999995E-2</v>
      </c>
      <c r="J1976" s="11" t="s">
        <v>2655</v>
      </c>
    </row>
    <row r="1977" spans="1:10" ht="13.15" customHeight="1" x14ac:dyDescent="0.25">
      <c r="A1977">
        <f t="shared" si="245"/>
        <v>1972</v>
      </c>
      <c r="B1977" t="s">
        <v>2663</v>
      </c>
      <c r="C1977" s="2">
        <v>0.46319444444444446</v>
      </c>
      <c r="D1977" s="4">
        <f t="shared" si="250"/>
        <v>0.10208333333333336</v>
      </c>
      <c r="E1977" s="6">
        <v>0.3611111111111111</v>
      </c>
      <c r="F1977" s="5">
        <f t="shared" si="251"/>
        <v>0.77961019490254868</v>
      </c>
      <c r="G1977" s="5">
        <v>0.77</v>
      </c>
      <c r="H1977" s="4">
        <f>62.4/1440</f>
        <v>4.3333333333333335E-2</v>
      </c>
      <c r="I1977" s="5">
        <v>9.1999999999999998E-2</v>
      </c>
      <c r="J1977" s="11" t="s">
        <v>2655</v>
      </c>
    </row>
    <row r="1978" spans="1:10" ht="13.15" customHeight="1" x14ac:dyDescent="0.25">
      <c r="A1978">
        <f t="shared" si="245"/>
        <v>1973</v>
      </c>
      <c r="B1978" t="s">
        <v>2664</v>
      </c>
      <c r="C1978" s="2">
        <v>0.44861111111111113</v>
      </c>
      <c r="D1978" s="4">
        <f t="shared" si="250"/>
        <v>0.12222222222222223</v>
      </c>
      <c r="E1978" s="6">
        <v>0.3263888888888889</v>
      </c>
      <c r="F1978" s="5">
        <f t="shared" si="251"/>
        <v>0.72755417956656343</v>
      </c>
      <c r="G1978" s="5">
        <v>0.78500000000000003</v>
      </c>
      <c r="H1978" s="4">
        <f>71/1440</f>
        <v>4.9305555555555554E-2</v>
      </c>
      <c r="I1978" s="5">
        <v>0.11799999999999999</v>
      </c>
      <c r="J1978" s="11" t="s">
        <v>2655</v>
      </c>
    </row>
    <row r="1979" spans="1:10" ht="13.15" customHeight="1" x14ac:dyDescent="0.25">
      <c r="A1979">
        <f t="shared" si="245"/>
        <v>1974</v>
      </c>
      <c r="B1979" t="s">
        <v>2667</v>
      </c>
      <c r="C1979" s="2">
        <v>0.4236111111111111</v>
      </c>
      <c r="D1979" s="4">
        <f t="shared" ref="D1979:D1987" si="252">C1979-E1979</f>
        <v>0.10694444444444445</v>
      </c>
      <c r="E1979" s="6">
        <v>0.31666666666666665</v>
      </c>
      <c r="F1979" s="5">
        <f t="shared" ref="F1979:F1987" si="253">E1979/C1979</f>
        <v>0.74754098360655741</v>
      </c>
      <c r="G1979" s="5">
        <v>0.81</v>
      </c>
      <c r="H1979" s="4">
        <f>62.6/1440</f>
        <v>4.3472222222222225E-2</v>
      </c>
      <c r="I1979" s="5">
        <v>0.111</v>
      </c>
      <c r="J1979" s="11" t="s">
        <v>2665</v>
      </c>
    </row>
    <row r="1980" spans="1:10" ht="13.15" customHeight="1" x14ac:dyDescent="0.25">
      <c r="A1980">
        <f t="shared" si="245"/>
        <v>1975</v>
      </c>
      <c r="B1980" t="s">
        <v>2668</v>
      </c>
      <c r="C1980" s="2">
        <v>0.42291666666666666</v>
      </c>
      <c r="D1980" s="4">
        <f t="shared" si="252"/>
        <v>0.11388888888888887</v>
      </c>
      <c r="E1980" s="6">
        <v>0.30902777777777779</v>
      </c>
      <c r="F1980" s="5">
        <f t="shared" si="253"/>
        <v>0.73070607553366174</v>
      </c>
      <c r="G1980" s="5">
        <v>0.86699999999999999</v>
      </c>
      <c r="H1980" s="4">
        <f>68.3/1440</f>
        <v>4.7430555555555552E-2</v>
      </c>
      <c r="I1980" s="5">
        <v>0.13300000000000001</v>
      </c>
      <c r="J1980" s="11" t="s">
        <v>2665</v>
      </c>
    </row>
    <row r="1981" spans="1:10" ht="13.15" customHeight="1" x14ac:dyDescent="0.25">
      <c r="A1981">
        <f t="shared" si="245"/>
        <v>1976</v>
      </c>
      <c r="B1981" t="s">
        <v>2669</v>
      </c>
      <c r="C1981" s="2">
        <v>0.40138888888888891</v>
      </c>
      <c r="D1981" s="4">
        <f t="shared" si="252"/>
        <v>0.11041666666666666</v>
      </c>
      <c r="E1981" s="6">
        <v>0.29097222222222224</v>
      </c>
      <c r="F1981" s="5">
        <f t="shared" si="253"/>
        <v>0.72491349480968859</v>
      </c>
      <c r="G1981" s="5">
        <v>0.81200000000000006</v>
      </c>
      <c r="H1981" s="4">
        <f>56.6/1440</f>
        <v>3.9305555555555559E-2</v>
      </c>
      <c r="I1981" s="5">
        <v>0.11</v>
      </c>
      <c r="J1981" s="11" t="s">
        <v>2665</v>
      </c>
    </row>
    <row r="1982" spans="1:10" ht="13.15" customHeight="1" x14ac:dyDescent="0.25">
      <c r="A1982">
        <f t="shared" si="245"/>
        <v>1977</v>
      </c>
      <c r="B1982" t="s">
        <v>2670</v>
      </c>
      <c r="C1982" s="2">
        <v>0.40763888888888888</v>
      </c>
      <c r="D1982" s="4">
        <f t="shared" si="252"/>
        <v>0.10833333333333334</v>
      </c>
      <c r="E1982" s="6">
        <v>0.29930555555555555</v>
      </c>
      <c r="F1982" s="5">
        <f t="shared" si="253"/>
        <v>0.73424190800681433</v>
      </c>
      <c r="G1982" s="5">
        <v>0.71099999999999997</v>
      </c>
      <c r="H1982" s="4">
        <f>53.5/1440</f>
        <v>3.7152777777777778E-2</v>
      </c>
      <c r="I1982" s="5">
        <v>8.7999999999999995E-2</v>
      </c>
      <c r="J1982" s="11" t="s">
        <v>2665</v>
      </c>
    </row>
    <row r="1983" spans="1:10" ht="13.15" customHeight="1" x14ac:dyDescent="0.25">
      <c r="A1983">
        <f t="shared" si="245"/>
        <v>1978</v>
      </c>
      <c r="B1983" t="s">
        <v>2671</v>
      </c>
      <c r="C1983" s="2">
        <v>0.42569444444444443</v>
      </c>
      <c r="D1983" s="4">
        <f t="shared" si="252"/>
        <v>9.722222222222221E-2</v>
      </c>
      <c r="E1983" s="6">
        <v>0.32847222222222222</v>
      </c>
      <c r="F1983" s="5">
        <f t="shared" si="253"/>
        <v>0.77161500815660689</v>
      </c>
      <c r="G1983" s="5">
        <v>0.83</v>
      </c>
      <c r="H1983" s="4">
        <f>67.4/1440</f>
        <v>4.6805555555555559E-2</v>
      </c>
      <c r="I1983" s="5">
        <v>0.11799999999999999</v>
      </c>
      <c r="J1983" s="11" t="s">
        <v>2665</v>
      </c>
    </row>
    <row r="1984" spans="1:10" ht="13.15" customHeight="1" x14ac:dyDescent="0.25">
      <c r="A1984">
        <f t="shared" si="245"/>
        <v>1979</v>
      </c>
      <c r="B1984" t="s">
        <v>2672</v>
      </c>
      <c r="C1984" s="2">
        <v>0.44027777777777777</v>
      </c>
      <c r="D1984" s="4">
        <f t="shared" si="252"/>
        <v>0.11874999999999997</v>
      </c>
      <c r="E1984" s="6">
        <v>0.3215277777777778</v>
      </c>
      <c r="F1984" s="5">
        <f t="shared" si="253"/>
        <v>0.73028391167192441</v>
      </c>
      <c r="G1984" s="5">
        <v>0.78900000000000003</v>
      </c>
      <c r="H1984" s="4">
        <f>62.2/1440</f>
        <v>4.3194444444444445E-2</v>
      </c>
      <c r="I1984" s="5">
        <v>0.106</v>
      </c>
      <c r="J1984" s="11" t="s">
        <v>2666</v>
      </c>
    </row>
    <row r="1985" spans="1:10" ht="13.15" customHeight="1" x14ac:dyDescent="0.25">
      <c r="A1985">
        <f t="shared" si="245"/>
        <v>1980</v>
      </c>
      <c r="B1985" t="s">
        <v>2673</v>
      </c>
      <c r="C1985" s="2">
        <v>0.47013888888888888</v>
      </c>
      <c r="D1985" s="4">
        <f t="shared" si="252"/>
        <v>0.11458333333333331</v>
      </c>
      <c r="E1985" s="6">
        <v>0.35555555555555557</v>
      </c>
      <c r="F1985" s="5">
        <f t="shared" si="253"/>
        <v>0.75627769571639591</v>
      </c>
      <c r="G1985" s="5">
        <v>0.80500000000000005</v>
      </c>
      <c r="H1985" s="4">
        <f>58.1/1440</f>
        <v>4.0347222222222222E-2</v>
      </c>
      <c r="I1985" s="5">
        <v>9.0999999999999998E-2</v>
      </c>
      <c r="J1985" s="11" t="s">
        <v>2666</v>
      </c>
    </row>
    <row r="1986" spans="1:10" ht="13.15" customHeight="1" x14ac:dyDescent="0.25">
      <c r="A1986">
        <f t="shared" si="245"/>
        <v>1981</v>
      </c>
      <c r="B1986" t="s">
        <v>2674</v>
      </c>
      <c r="C1986" s="2">
        <v>0.50138888888888888</v>
      </c>
      <c r="D1986" s="4">
        <f t="shared" si="252"/>
        <v>0.11666666666666664</v>
      </c>
      <c r="E1986" s="6">
        <v>0.38472222222222224</v>
      </c>
      <c r="F1986" s="5">
        <f t="shared" si="253"/>
        <v>0.76731301939058172</v>
      </c>
      <c r="G1986" s="5">
        <v>0.81100000000000005</v>
      </c>
      <c r="H1986" s="4">
        <f>65.1/1440</f>
        <v>4.520833333333333E-2</v>
      </c>
      <c r="I1986" s="5">
        <v>9.5000000000000001E-2</v>
      </c>
      <c r="J1986" s="11" t="s">
        <v>2666</v>
      </c>
    </row>
    <row r="1987" spans="1:10" ht="13.15" customHeight="1" x14ac:dyDescent="0.25">
      <c r="A1987">
        <f t="shared" si="245"/>
        <v>1982</v>
      </c>
      <c r="B1987" t="s">
        <v>2675</v>
      </c>
      <c r="C1987" s="2">
        <v>0.42430555555555555</v>
      </c>
      <c r="D1987" s="4">
        <f t="shared" si="252"/>
        <v>0.10277777777777775</v>
      </c>
      <c r="E1987" s="6">
        <v>0.3215277777777778</v>
      </c>
      <c r="F1987" s="5">
        <f t="shared" si="253"/>
        <v>0.7577741407528642</v>
      </c>
      <c r="G1987" s="5">
        <v>0.80300000000000005</v>
      </c>
      <c r="H1987" s="4">
        <f>67/1440</f>
        <v>4.6527777777777779E-2</v>
      </c>
      <c r="I1987" s="5">
        <v>0.11600000000000001</v>
      </c>
      <c r="J1987" s="11" t="s">
        <v>2666</v>
      </c>
    </row>
    <row r="1988" spans="1:10" ht="13.15" customHeight="1" x14ac:dyDescent="0.25">
      <c r="A1988">
        <f t="shared" si="245"/>
        <v>1983</v>
      </c>
      <c r="B1988" t="s">
        <v>2682</v>
      </c>
      <c r="C1988" s="2">
        <v>0.41736111111111113</v>
      </c>
      <c r="D1988" s="4">
        <f t="shared" ref="D1988:D2018" si="254">C1988-E1988</f>
        <v>0.10833333333333334</v>
      </c>
      <c r="E1988" s="6">
        <v>0.30902777777777779</v>
      </c>
      <c r="F1988" s="5">
        <f t="shared" ref="F1988:F2018" si="255">E1988/C1988</f>
        <v>0.74043261231281199</v>
      </c>
      <c r="G1988" s="5">
        <v>1</v>
      </c>
      <c r="H1988" s="4">
        <f>72.3/1440</f>
        <v>5.0208333333333334E-2</v>
      </c>
      <c r="I1988" s="5">
        <v>0.16200000000000001</v>
      </c>
      <c r="J1988" s="11" t="s">
        <v>2696</v>
      </c>
    </row>
    <row r="1989" spans="1:10" ht="13.15" customHeight="1" x14ac:dyDescent="0.25">
      <c r="A1989">
        <f t="shared" si="245"/>
        <v>1984</v>
      </c>
      <c r="B1989" t="s">
        <v>2692</v>
      </c>
      <c r="C1989" s="2">
        <v>0.43402777777777779</v>
      </c>
      <c r="D1989" s="4">
        <f t="shared" si="254"/>
        <v>9.6527777777777768E-2</v>
      </c>
      <c r="E1989" s="6">
        <v>0.33750000000000002</v>
      </c>
      <c r="F1989" s="5">
        <f t="shared" si="255"/>
        <v>0.77760000000000007</v>
      </c>
      <c r="G1989" s="5">
        <v>1</v>
      </c>
      <c r="H1989" s="4">
        <f>86.9/1440</f>
        <v>6.0347222222222226E-2</v>
      </c>
      <c r="I1989" s="5">
        <v>0.17899999999999999</v>
      </c>
      <c r="J1989" s="11" t="s">
        <v>2696</v>
      </c>
    </row>
    <row r="1990" spans="1:10" ht="13.15" customHeight="1" x14ac:dyDescent="0.25">
      <c r="A1990">
        <f t="shared" si="245"/>
        <v>1985</v>
      </c>
      <c r="B1990" t="s">
        <v>2693</v>
      </c>
      <c r="C1990" s="2">
        <v>0.43402777777777779</v>
      </c>
      <c r="D1990" s="4">
        <f t="shared" si="254"/>
        <v>0.12708333333333333</v>
      </c>
      <c r="E1990" s="6">
        <v>0.30694444444444446</v>
      </c>
      <c r="F1990" s="5">
        <f t="shared" si="255"/>
        <v>0.70720000000000005</v>
      </c>
      <c r="G1990" s="5">
        <v>1</v>
      </c>
      <c r="H1990" s="4">
        <f>84.2/1440</f>
        <v>5.8472222222222224E-2</v>
      </c>
      <c r="I1990" s="5">
        <v>0.19</v>
      </c>
      <c r="J1990" s="11" t="s">
        <v>2696</v>
      </c>
    </row>
    <row r="1991" spans="1:10" ht="13.15" customHeight="1" x14ac:dyDescent="0.25">
      <c r="A1991">
        <f t="shared" si="245"/>
        <v>1986</v>
      </c>
      <c r="B1991" t="s">
        <v>2694</v>
      </c>
      <c r="C1991" s="2">
        <v>0.46805555555555556</v>
      </c>
      <c r="D1991" s="4">
        <f t="shared" si="254"/>
        <v>0.11458333333333331</v>
      </c>
      <c r="E1991" s="6">
        <v>0.35347222222222224</v>
      </c>
      <c r="F1991" s="5">
        <f t="shared" si="255"/>
        <v>0.75519287833827897</v>
      </c>
      <c r="G1991" s="5">
        <v>1</v>
      </c>
      <c r="H1991" s="4">
        <f>78.6/1440</f>
        <v>5.4583333333333331E-2</v>
      </c>
      <c r="I1991" s="5">
        <v>0.154</v>
      </c>
      <c r="J1991" s="11" t="s">
        <v>2696</v>
      </c>
    </row>
    <row r="1992" spans="1:10" ht="13.15" customHeight="1" x14ac:dyDescent="0.25">
      <c r="A1992">
        <f t="shared" si="245"/>
        <v>1987</v>
      </c>
      <c r="B1992" t="s">
        <v>2695</v>
      </c>
      <c r="C1992" s="2">
        <v>0.38263888888888886</v>
      </c>
      <c r="D1992" s="4">
        <f t="shared" si="254"/>
        <v>0.10416666666666663</v>
      </c>
      <c r="E1992" s="6">
        <v>0.27847222222222223</v>
      </c>
      <c r="F1992" s="5">
        <f t="shared" si="255"/>
        <v>0.72776769509981853</v>
      </c>
      <c r="G1992" s="5">
        <v>1</v>
      </c>
      <c r="H1992" s="4">
        <f>75.4/1440</f>
        <v>5.2361111111111115E-2</v>
      </c>
      <c r="I1992" s="5">
        <v>0.188</v>
      </c>
      <c r="J1992" s="11" t="s">
        <v>2696</v>
      </c>
    </row>
    <row r="1993" spans="1:10" ht="13.15" customHeight="1" x14ac:dyDescent="0.25">
      <c r="A1993">
        <f t="shared" si="245"/>
        <v>1988</v>
      </c>
      <c r="B1993" t="s">
        <v>2681</v>
      </c>
      <c r="C1993" s="2">
        <v>0.41249999999999998</v>
      </c>
      <c r="D1993" s="4">
        <f t="shared" si="254"/>
        <v>0.10069444444444442</v>
      </c>
      <c r="E1993" s="6">
        <v>0.31180555555555556</v>
      </c>
      <c r="F1993" s="5">
        <f t="shared" si="255"/>
        <v>0.75589225589225595</v>
      </c>
      <c r="G1993" s="5">
        <v>1</v>
      </c>
      <c r="H1993" s="4">
        <f>67.9/1440</f>
        <v>4.715277777777778E-2</v>
      </c>
      <c r="I1993" s="5">
        <v>0.151</v>
      </c>
      <c r="J1993" s="11" t="s">
        <v>2697</v>
      </c>
    </row>
    <row r="1994" spans="1:10" ht="13.15" customHeight="1" x14ac:dyDescent="0.25">
      <c r="A1994">
        <f t="shared" si="245"/>
        <v>1989</v>
      </c>
      <c r="B1994" t="s">
        <v>2688</v>
      </c>
      <c r="C1994" s="2">
        <v>0.39930555555555558</v>
      </c>
      <c r="D1994" s="4">
        <f t="shared" si="254"/>
        <v>0.1027777777777778</v>
      </c>
      <c r="E1994" s="6">
        <v>0.29652777777777778</v>
      </c>
      <c r="F1994" s="5">
        <f t="shared" si="255"/>
        <v>0.74260869565217391</v>
      </c>
      <c r="G1994" s="5">
        <v>1</v>
      </c>
      <c r="H1994" s="4">
        <f>74.5/1440</f>
        <v>5.1736111111111108E-2</v>
      </c>
      <c r="I1994" s="5">
        <v>0.17399999999999999</v>
      </c>
      <c r="J1994" s="11" t="s">
        <v>2697</v>
      </c>
    </row>
    <row r="1995" spans="1:10" ht="13.15" customHeight="1" x14ac:dyDescent="0.25">
      <c r="A1995">
        <f t="shared" si="245"/>
        <v>1990</v>
      </c>
      <c r="B1995" t="s">
        <v>2689</v>
      </c>
      <c r="C1995" s="2">
        <v>0.4</v>
      </c>
      <c r="D1995" s="4">
        <f t="shared" si="254"/>
        <v>9.7916666666666707E-2</v>
      </c>
      <c r="E1995" s="6">
        <v>0.30208333333333331</v>
      </c>
      <c r="F1995" s="5">
        <f t="shared" si="255"/>
        <v>0.75520833333333326</v>
      </c>
      <c r="G1995" s="5">
        <v>1</v>
      </c>
      <c r="H1995" s="4">
        <f>77.7/1440</f>
        <v>5.3958333333333337E-2</v>
      </c>
      <c r="I1995" s="5">
        <v>0.17899999999999999</v>
      </c>
      <c r="J1995" s="11" t="s">
        <v>2697</v>
      </c>
    </row>
    <row r="1996" spans="1:10" ht="13.15" customHeight="1" x14ac:dyDescent="0.25">
      <c r="A1996">
        <f t="shared" si="245"/>
        <v>1991</v>
      </c>
      <c r="B1996" t="s">
        <v>2690</v>
      </c>
      <c r="C1996" s="2">
        <v>0.43402777777777779</v>
      </c>
      <c r="D1996" s="4">
        <f t="shared" si="254"/>
        <v>0.10000000000000003</v>
      </c>
      <c r="E1996" s="6">
        <v>0.33402777777777776</v>
      </c>
      <c r="F1996" s="5">
        <f t="shared" si="255"/>
        <v>0.76959999999999995</v>
      </c>
      <c r="G1996" s="5">
        <v>1</v>
      </c>
      <c r="H1996" s="4">
        <f>74.9/1440</f>
        <v>5.2013888888888894E-2</v>
      </c>
      <c r="I1996" s="5">
        <v>0.155</v>
      </c>
      <c r="J1996" s="11" t="s">
        <v>2697</v>
      </c>
    </row>
    <row r="1997" spans="1:10" ht="13.15" customHeight="1" x14ac:dyDescent="0.25">
      <c r="A1997">
        <f t="shared" si="245"/>
        <v>1992</v>
      </c>
      <c r="B1997" t="s">
        <v>2691</v>
      </c>
      <c r="C1997" s="2">
        <v>0.45347222222222222</v>
      </c>
      <c r="D1997" s="4">
        <f t="shared" si="254"/>
        <v>0.10833333333333334</v>
      </c>
      <c r="E1997" s="6">
        <v>0.34513888888888888</v>
      </c>
      <c r="F1997" s="5">
        <f t="shared" si="255"/>
        <v>0.76110260336906588</v>
      </c>
      <c r="G1997" s="5">
        <v>1</v>
      </c>
      <c r="H1997" s="4">
        <f>78.1/1440</f>
        <v>5.423611111111111E-2</v>
      </c>
      <c r="I1997" s="5">
        <v>0.157</v>
      </c>
      <c r="J1997" s="11" t="s">
        <v>2697</v>
      </c>
    </row>
    <row r="1998" spans="1:10" ht="13.15" customHeight="1" x14ac:dyDescent="0.25">
      <c r="A1998">
        <f t="shared" si="245"/>
        <v>1993</v>
      </c>
      <c r="B1998" t="s">
        <v>2683</v>
      </c>
      <c r="C1998" s="2">
        <v>0.40486111111111112</v>
      </c>
      <c r="D1998" s="4">
        <f t="shared" si="254"/>
        <v>0.10208333333333336</v>
      </c>
      <c r="E1998" s="6">
        <v>0.30277777777777776</v>
      </c>
      <c r="F1998" s="5">
        <f t="shared" si="255"/>
        <v>0.74785591766723836</v>
      </c>
      <c r="G1998" s="5">
        <v>0.84899999999999998</v>
      </c>
      <c r="H1998" s="4">
        <f>52.1/1440</f>
        <v>3.6180555555555556E-2</v>
      </c>
      <c r="I1998" s="5">
        <v>0.10100000000000001</v>
      </c>
      <c r="J1998" s="11" t="s">
        <v>2698</v>
      </c>
    </row>
    <row r="1999" spans="1:10" ht="13.15" customHeight="1" x14ac:dyDescent="0.25">
      <c r="A1999">
        <f t="shared" si="245"/>
        <v>1994</v>
      </c>
      <c r="B1999" t="s">
        <v>2684</v>
      </c>
      <c r="C1999" s="2">
        <v>0.44027777777777777</v>
      </c>
      <c r="D1999" s="4">
        <f t="shared" si="254"/>
        <v>0.13055555555555554</v>
      </c>
      <c r="E1999" s="6">
        <v>0.30972222222222223</v>
      </c>
      <c r="F1999" s="5">
        <f t="shared" si="255"/>
        <v>0.70347003154574139</v>
      </c>
      <c r="G1999" s="5">
        <v>0.83299999999999996</v>
      </c>
      <c r="H1999" s="4">
        <f>61/1440</f>
        <v>4.2361111111111113E-2</v>
      </c>
      <c r="I1999" s="5">
        <v>0.114</v>
      </c>
      <c r="J1999" s="11" t="s">
        <v>2698</v>
      </c>
    </row>
    <row r="2000" spans="1:10" ht="13.15" customHeight="1" x14ac:dyDescent="0.25">
      <c r="A2000">
        <f t="shared" si="245"/>
        <v>1995</v>
      </c>
      <c r="B2000" t="s">
        <v>2685</v>
      </c>
      <c r="C2000" s="2">
        <v>0.43194444444444446</v>
      </c>
      <c r="D2000" s="4">
        <f t="shared" si="254"/>
        <v>0.10833333333333334</v>
      </c>
      <c r="E2000" s="6">
        <v>0.32361111111111113</v>
      </c>
      <c r="F2000" s="5">
        <f t="shared" si="255"/>
        <v>0.74919614147909963</v>
      </c>
      <c r="G2000" s="5">
        <v>0.86599999999999999</v>
      </c>
      <c r="H2000" s="4">
        <f>54.9/1440</f>
        <v>3.8124999999999999E-2</v>
      </c>
      <c r="I2000" s="5">
        <v>0.10199999999999999</v>
      </c>
      <c r="J2000" s="11" t="s">
        <v>2698</v>
      </c>
    </row>
    <row r="2001" spans="1:10" ht="13.15" customHeight="1" x14ac:dyDescent="0.25">
      <c r="A2001">
        <f t="shared" si="245"/>
        <v>1996</v>
      </c>
      <c r="B2001" t="s">
        <v>2686</v>
      </c>
      <c r="C2001" s="2">
        <v>0.45277777777777778</v>
      </c>
      <c r="D2001" s="4">
        <f t="shared" si="254"/>
        <v>0.125</v>
      </c>
      <c r="E2001" s="6">
        <v>0.32777777777777778</v>
      </c>
      <c r="F2001" s="5">
        <f t="shared" si="255"/>
        <v>0.7239263803680982</v>
      </c>
      <c r="G2001" s="5">
        <v>0.877</v>
      </c>
      <c r="H2001" s="4">
        <f>45/1440</f>
        <v>3.125E-2</v>
      </c>
      <c r="I2001" s="5">
        <v>8.4000000000000005E-2</v>
      </c>
      <c r="J2001" s="11" t="s">
        <v>2698</v>
      </c>
    </row>
    <row r="2002" spans="1:10" ht="13.15" customHeight="1" x14ac:dyDescent="0.25">
      <c r="A2002">
        <f t="shared" si="245"/>
        <v>1997</v>
      </c>
      <c r="B2002" t="s">
        <v>2687</v>
      </c>
      <c r="C2002" s="2">
        <v>0.43194444444444446</v>
      </c>
      <c r="D2002" s="4">
        <f t="shared" si="254"/>
        <v>0.10416666666666669</v>
      </c>
      <c r="E2002" s="6">
        <v>0.32777777777777778</v>
      </c>
      <c r="F2002" s="5">
        <f t="shared" si="255"/>
        <v>0.7588424437299035</v>
      </c>
      <c r="G2002" s="5">
        <v>0.83299999999999996</v>
      </c>
      <c r="H2002" s="4">
        <f>67.6/1440</f>
        <v>4.6944444444444441E-2</v>
      </c>
      <c r="I2002" s="5">
        <v>0.11899999999999999</v>
      </c>
      <c r="J2002" s="11" t="s">
        <v>2698</v>
      </c>
    </row>
    <row r="2003" spans="1:10" ht="13.15" customHeight="1" x14ac:dyDescent="0.25">
      <c r="A2003">
        <f t="shared" si="245"/>
        <v>1998</v>
      </c>
      <c r="B2003" t="s">
        <v>2676</v>
      </c>
      <c r="C2003" s="2">
        <v>0.39374999999999999</v>
      </c>
      <c r="D2003" s="4">
        <f t="shared" si="254"/>
        <v>9.4444444444444442E-2</v>
      </c>
      <c r="E2003" s="6">
        <v>0.29930555555555555</v>
      </c>
      <c r="F2003" s="5">
        <f t="shared" si="255"/>
        <v>0.76014109347442682</v>
      </c>
      <c r="G2003" s="5">
        <v>0.81</v>
      </c>
      <c r="H2003" s="4">
        <f>56.6/1440</f>
        <v>3.9305555555555559E-2</v>
      </c>
      <c r="I2003" s="5">
        <v>0.106</v>
      </c>
      <c r="J2003" s="11" t="s">
        <v>2699</v>
      </c>
    </row>
    <row r="2004" spans="1:10" ht="13.15" customHeight="1" x14ac:dyDescent="0.25">
      <c r="A2004">
        <f t="shared" si="245"/>
        <v>1999</v>
      </c>
      <c r="B2004" t="s">
        <v>2677</v>
      </c>
      <c r="C2004" s="2">
        <v>0.37013888888888891</v>
      </c>
      <c r="D2004" s="4">
        <f t="shared" si="254"/>
        <v>0.11041666666666666</v>
      </c>
      <c r="E2004" s="6">
        <v>0.25972222222222224</v>
      </c>
      <c r="F2004" s="5">
        <f t="shared" si="255"/>
        <v>0.70168855534709196</v>
      </c>
      <c r="G2004" s="5">
        <v>0.80800000000000005</v>
      </c>
      <c r="H2004" s="4">
        <f>54.7/1440</f>
        <v>3.7986111111111116E-2</v>
      </c>
      <c r="I2004" s="5">
        <v>0.11799999999999999</v>
      </c>
      <c r="J2004" s="11" t="s">
        <v>2699</v>
      </c>
    </row>
    <row r="2005" spans="1:10" ht="13.15" customHeight="1" x14ac:dyDescent="0.25">
      <c r="A2005">
        <f t="shared" si="245"/>
        <v>2000</v>
      </c>
      <c r="B2005" t="s">
        <v>2678</v>
      </c>
      <c r="C2005" s="2">
        <v>0.38819444444444445</v>
      </c>
      <c r="D2005" s="4">
        <f t="shared" si="254"/>
        <v>0.14166666666666666</v>
      </c>
      <c r="E2005" s="6">
        <v>0.24652777777777779</v>
      </c>
      <c r="F2005" s="5">
        <f t="shared" si="255"/>
        <v>0.63506261180679791</v>
      </c>
      <c r="G2005" s="5">
        <v>0.82299999999999995</v>
      </c>
      <c r="H2005" s="4">
        <f>51/1440</f>
        <v>3.5416666666666666E-2</v>
      </c>
      <c r="I2005" s="5">
        <v>0.11799999999999999</v>
      </c>
      <c r="J2005" s="11" t="s">
        <v>2699</v>
      </c>
    </row>
    <row r="2006" spans="1:10" ht="13.15" customHeight="1" x14ac:dyDescent="0.25">
      <c r="A2006">
        <f t="shared" si="245"/>
        <v>2001</v>
      </c>
      <c r="B2006" t="s">
        <v>2679</v>
      </c>
      <c r="C2006" s="2">
        <v>0.37152777777777779</v>
      </c>
      <c r="D2006" s="4">
        <f t="shared" si="254"/>
        <v>0.10347222222222224</v>
      </c>
      <c r="E2006" s="6">
        <v>0.26805555555555555</v>
      </c>
      <c r="F2006" s="5">
        <f t="shared" si="255"/>
        <v>0.72149532710280373</v>
      </c>
      <c r="G2006" s="5">
        <v>0.79400000000000004</v>
      </c>
      <c r="H2006" s="4">
        <f>58.3/1440</f>
        <v>4.0486111111111112E-2</v>
      </c>
      <c r="I2006" s="5">
        <v>0.12</v>
      </c>
      <c r="J2006" s="11" t="s">
        <v>2699</v>
      </c>
    </row>
    <row r="2007" spans="1:10" ht="13.15" customHeight="1" x14ac:dyDescent="0.25">
      <c r="A2007">
        <f t="shared" si="245"/>
        <v>2002</v>
      </c>
      <c r="B2007" t="s">
        <v>2680</v>
      </c>
      <c r="C2007" s="2">
        <v>0.38958333333333334</v>
      </c>
      <c r="D2007" s="4">
        <f t="shared" si="254"/>
        <v>0.1027777777777778</v>
      </c>
      <c r="E2007" s="6">
        <v>0.28680555555555554</v>
      </c>
      <c r="F2007" s="5">
        <f t="shared" si="255"/>
        <v>0.73618538324420668</v>
      </c>
      <c r="G2007" s="5">
        <v>0.85899999999999999</v>
      </c>
      <c r="H2007" s="4">
        <f>65.6/1440</f>
        <v>4.5555555555555551E-2</v>
      </c>
      <c r="I2007" s="5">
        <v>0.13600000000000001</v>
      </c>
      <c r="J2007" s="11" t="s">
        <v>2699</v>
      </c>
    </row>
    <row r="2008" spans="1:10" ht="13.15" customHeight="1" x14ac:dyDescent="0.25">
      <c r="A2008">
        <f t="shared" si="245"/>
        <v>2003</v>
      </c>
      <c r="B2008" t="s">
        <v>2700</v>
      </c>
      <c r="C2008" s="2">
        <v>0.33124999999999999</v>
      </c>
      <c r="D2008" s="4">
        <f t="shared" si="254"/>
        <v>8.4027777777777757E-2</v>
      </c>
      <c r="E2008" s="6">
        <v>0.24722222222222223</v>
      </c>
      <c r="F2008" s="5">
        <f t="shared" si="255"/>
        <v>0.74633123689727465</v>
      </c>
      <c r="G2008" s="5">
        <v>0.73199999999999998</v>
      </c>
      <c r="H2008" s="4">
        <f>40.5/1440</f>
        <v>2.8125000000000001E-2</v>
      </c>
      <c r="I2008" s="5">
        <v>8.3000000000000004E-2</v>
      </c>
      <c r="J2008" s="11" t="s">
        <v>2701</v>
      </c>
    </row>
    <row r="2009" spans="1:10" ht="13.15" customHeight="1" x14ac:dyDescent="0.25">
      <c r="A2009">
        <f t="shared" ref="A2009:A2072" si="256">A2008+1</f>
        <v>2004</v>
      </c>
      <c r="B2009" t="s">
        <v>2702</v>
      </c>
      <c r="C2009" s="2">
        <v>0.45763888888888887</v>
      </c>
      <c r="D2009" s="4">
        <f t="shared" si="254"/>
        <v>8.1249999999999989E-2</v>
      </c>
      <c r="E2009" s="6">
        <v>0.37638888888888888</v>
      </c>
      <c r="F2009" s="5">
        <f t="shared" si="255"/>
        <v>0.82245827010622152</v>
      </c>
      <c r="G2009" s="5">
        <v>0.83099999999999996</v>
      </c>
      <c r="H2009" s="4">
        <f>56.3/1440</f>
        <v>3.9097222222222221E-2</v>
      </c>
      <c r="I2009" s="5">
        <v>8.5999999999999993E-2</v>
      </c>
      <c r="J2009" s="11" t="s">
        <v>2703</v>
      </c>
    </row>
    <row r="2010" spans="1:10" ht="13.15" customHeight="1" x14ac:dyDescent="0.25">
      <c r="A2010">
        <f t="shared" si="256"/>
        <v>2005</v>
      </c>
      <c r="B2010" t="s">
        <v>2704</v>
      </c>
      <c r="C2010" s="2">
        <v>0.45208333333333334</v>
      </c>
      <c r="D2010" s="4">
        <f t="shared" si="254"/>
        <v>0.11319444444444443</v>
      </c>
      <c r="E2010" s="6">
        <v>0.33888888888888891</v>
      </c>
      <c r="F2010" s="5">
        <f t="shared" si="255"/>
        <v>0.74961597542242708</v>
      </c>
      <c r="G2010" s="5">
        <v>0.83599999999999997</v>
      </c>
      <c r="H2010" s="4">
        <f>64.7/1440</f>
        <v>4.4930555555555557E-2</v>
      </c>
      <c r="I2010" s="5">
        <v>0.111</v>
      </c>
      <c r="J2010" s="11" t="s">
        <v>2705</v>
      </c>
    </row>
    <row r="2011" spans="1:10" ht="13.15" customHeight="1" x14ac:dyDescent="0.25">
      <c r="A2011">
        <f t="shared" si="256"/>
        <v>2006</v>
      </c>
      <c r="B2011" t="s">
        <v>2706</v>
      </c>
      <c r="C2011" s="2">
        <v>0.39861111111111114</v>
      </c>
      <c r="D2011" s="4">
        <f t="shared" si="254"/>
        <v>0.1076388888888889</v>
      </c>
      <c r="E2011" s="6">
        <v>0.29097222222222224</v>
      </c>
      <c r="F2011" s="5">
        <f t="shared" si="255"/>
        <v>0.72996515679442509</v>
      </c>
      <c r="G2011" s="5">
        <v>0.88400000000000001</v>
      </c>
      <c r="H2011" s="4">
        <f>80.5/1440</f>
        <v>5.590277777777778E-2</v>
      </c>
      <c r="I2011" s="5">
        <v>0.17</v>
      </c>
      <c r="J2011" s="11" t="s">
        <v>2705</v>
      </c>
    </row>
    <row r="2012" spans="1:10" ht="13.15" customHeight="1" x14ac:dyDescent="0.25">
      <c r="A2012">
        <f t="shared" si="256"/>
        <v>2007</v>
      </c>
      <c r="B2012" t="s">
        <v>2707</v>
      </c>
      <c r="C2012" s="2">
        <v>0.42499999999999999</v>
      </c>
      <c r="D2012" s="4">
        <f t="shared" si="254"/>
        <v>0.10416666666666663</v>
      </c>
      <c r="E2012" s="6">
        <v>0.32083333333333336</v>
      </c>
      <c r="F2012" s="5">
        <f t="shared" si="255"/>
        <v>0.75490196078431382</v>
      </c>
      <c r="G2012" s="5">
        <v>0.85</v>
      </c>
      <c r="H2012" s="4">
        <f>59.3/1440</f>
        <v>4.1180555555555554E-2</v>
      </c>
      <c r="I2012" s="5">
        <v>0.109</v>
      </c>
      <c r="J2012" s="11" t="s">
        <v>2705</v>
      </c>
    </row>
    <row r="2013" spans="1:10" ht="13.15" customHeight="1" x14ac:dyDescent="0.25">
      <c r="A2013">
        <f t="shared" si="256"/>
        <v>2008</v>
      </c>
      <c r="B2013" t="s">
        <v>2708</v>
      </c>
      <c r="C2013" s="2">
        <v>0.43611111111111112</v>
      </c>
      <c r="D2013" s="4">
        <f t="shared" si="254"/>
        <v>0.12361111111111112</v>
      </c>
      <c r="E2013" s="6">
        <v>0.3125</v>
      </c>
      <c r="F2013" s="5">
        <f t="shared" si="255"/>
        <v>0.71656050955414008</v>
      </c>
      <c r="G2013" s="5">
        <v>0.77800000000000002</v>
      </c>
      <c r="H2013" s="4">
        <f>60.7/1440</f>
        <v>4.2152777777777782E-2</v>
      </c>
      <c r="I2013" s="5">
        <v>0.105</v>
      </c>
      <c r="J2013" s="11" t="s">
        <v>2705</v>
      </c>
    </row>
    <row r="2014" spans="1:10" ht="13.15" customHeight="1" x14ac:dyDescent="0.25">
      <c r="A2014">
        <f t="shared" si="256"/>
        <v>2009</v>
      </c>
      <c r="B2014" t="s">
        <v>2709</v>
      </c>
      <c r="C2014" s="2">
        <v>0.40347222222222223</v>
      </c>
      <c r="D2014" s="4">
        <f t="shared" si="254"/>
        <v>9.6527777777777768E-2</v>
      </c>
      <c r="E2014" s="6">
        <v>0.30694444444444446</v>
      </c>
      <c r="F2014" s="5">
        <f t="shared" si="255"/>
        <v>0.76075731497418242</v>
      </c>
      <c r="G2014" s="5">
        <v>0.83399999999999996</v>
      </c>
      <c r="H2014" s="4">
        <f>60.6/1440</f>
        <v>4.2083333333333334E-2</v>
      </c>
      <c r="I2014" s="5">
        <v>0.114</v>
      </c>
      <c r="J2014" s="11" t="s">
        <v>2705</v>
      </c>
    </row>
    <row r="2015" spans="1:10" ht="13.15" customHeight="1" x14ac:dyDescent="0.25">
      <c r="A2015">
        <f t="shared" si="256"/>
        <v>2010</v>
      </c>
      <c r="B2015" t="s">
        <v>2710</v>
      </c>
      <c r="C2015" s="2">
        <v>0.41458333333333336</v>
      </c>
      <c r="D2015" s="4">
        <f t="shared" si="254"/>
        <v>9.8611111111111149E-2</v>
      </c>
      <c r="E2015" s="6">
        <v>0.31597222222222221</v>
      </c>
      <c r="F2015" s="5">
        <f t="shared" si="255"/>
        <v>0.76214405360133997</v>
      </c>
      <c r="G2015" s="5">
        <v>0.83699999999999997</v>
      </c>
      <c r="H2015" s="4">
        <f>48.6/1440</f>
        <v>3.3750000000000002E-2</v>
      </c>
      <c r="I2015" s="5">
        <v>8.8999999999999996E-2</v>
      </c>
      <c r="J2015" s="11" t="s">
        <v>2711</v>
      </c>
    </row>
    <row r="2016" spans="1:10" ht="13.15" customHeight="1" x14ac:dyDescent="0.25">
      <c r="A2016">
        <f t="shared" si="256"/>
        <v>2011</v>
      </c>
      <c r="B2016" t="s">
        <v>2712</v>
      </c>
      <c r="C2016" s="2">
        <v>0.51111111111111107</v>
      </c>
      <c r="D2016" s="4">
        <f t="shared" si="254"/>
        <v>0.16180555555555554</v>
      </c>
      <c r="E2016" s="6">
        <v>0.34930555555555554</v>
      </c>
      <c r="F2016" s="5">
        <f t="shared" si="255"/>
        <v>0.68342391304347827</v>
      </c>
      <c r="G2016" s="5">
        <v>0.81399999999999995</v>
      </c>
      <c r="H2016" s="4">
        <f>66.7/1440</f>
        <v>4.6319444444444448E-2</v>
      </c>
      <c r="I2016" s="5">
        <v>0.108</v>
      </c>
      <c r="J2016" s="11" t="s">
        <v>2711</v>
      </c>
    </row>
    <row r="2017" spans="1:10" ht="13.15" customHeight="1" x14ac:dyDescent="0.25">
      <c r="A2017">
        <f t="shared" si="256"/>
        <v>2012</v>
      </c>
      <c r="B2017" t="s">
        <v>2713</v>
      </c>
      <c r="C2017" s="2">
        <v>0.43680555555555556</v>
      </c>
      <c r="D2017" s="4">
        <f t="shared" si="254"/>
        <v>0.11319444444444443</v>
      </c>
      <c r="E2017" s="6">
        <v>0.32361111111111113</v>
      </c>
      <c r="F2017" s="5">
        <f t="shared" si="255"/>
        <v>0.74085850556438793</v>
      </c>
      <c r="G2017" s="5">
        <v>0.89500000000000002</v>
      </c>
      <c r="H2017" s="4">
        <f>65.2/1440</f>
        <v>4.5277777777777778E-2</v>
      </c>
      <c r="I2017" s="5">
        <v>0.125</v>
      </c>
      <c r="J2017" s="11" t="s">
        <v>2711</v>
      </c>
    </row>
    <row r="2018" spans="1:10" ht="13.15" customHeight="1" x14ac:dyDescent="0.25">
      <c r="A2018">
        <f t="shared" si="256"/>
        <v>2013</v>
      </c>
      <c r="B2018" t="s">
        <v>2714</v>
      </c>
      <c r="C2018" s="2">
        <v>0.46944444444444444</v>
      </c>
      <c r="D2018" s="4">
        <f t="shared" si="254"/>
        <v>0.12986111111111109</v>
      </c>
      <c r="E2018" s="6">
        <v>0.33958333333333335</v>
      </c>
      <c r="F2018" s="5">
        <f t="shared" si="255"/>
        <v>0.72337278106508884</v>
      </c>
      <c r="G2018" s="5">
        <v>0.81200000000000006</v>
      </c>
      <c r="H2018" s="4">
        <f>72.1/1440</f>
        <v>5.0069444444444437E-2</v>
      </c>
      <c r="I2018" s="5">
        <v>0.12</v>
      </c>
      <c r="J2018" s="11" t="s">
        <v>2711</v>
      </c>
    </row>
    <row r="2019" spans="1:10" ht="13.15" customHeight="1" x14ac:dyDescent="0.25">
      <c r="A2019">
        <f t="shared" si="256"/>
        <v>2014</v>
      </c>
      <c r="B2019" t="s">
        <v>2715</v>
      </c>
      <c r="C2019" s="2">
        <v>0.43541666666666667</v>
      </c>
      <c r="D2019" s="4">
        <f t="shared" ref="D2019:D2038" si="257">C2019-E2019</f>
        <v>0.11944444444444446</v>
      </c>
      <c r="E2019" s="6">
        <v>0.31597222222222221</v>
      </c>
      <c r="F2019" s="5">
        <f t="shared" ref="F2019:F2038" si="258">E2019/C2019</f>
        <v>0.72567783094098881</v>
      </c>
      <c r="G2019" s="5">
        <v>1</v>
      </c>
      <c r="H2019" s="4">
        <f>76.3/1440</f>
        <v>5.2986111111111109E-2</v>
      </c>
      <c r="I2019" s="5">
        <v>0.16800000000000001</v>
      </c>
      <c r="J2019" s="11" t="s">
        <v>2747</v>
      </c>
    </row>
    <row r="2020" spans="1:10" ht="13.15" customHeight="1" x14ac:dyDescent="0.25">
      <c r="A2020">
        <f t="shared" si="256"/>
        <v>2015</v>
      </c>
      <c r="B2020" t="s">
        <v>2716</v>
      </c>
      <c r="C2020" s="2">
        <v>0.47916666666666669</v>
      </c>
      <c r="D2020" s="4">
        <f t="shared" si="257"/>
        <v>9.8611111111111149E-2</v>
      </c>
      <c r="E2020" s="6">
        <v>0.38055555555555554</v>
      </c>
      <c r="F2020" s="5">
        <f t="shared" si="258"/>
        <v>0.79420289855072457</v>
      </c>
      <c r="G2020" s="5">
        <v>1</v>
      </c>
      <c r="H2020" s="4">
        <f>120.6/1440</f>
        <v>8.3749999999999991E-2</v>
      </c>
      <c r="I2020" s="5">
        <v>0.22</v>
      </c>
      <c r="J2020" s="11" t="s">
        <v>2747</v>
      </c>
    </row>
    <row r="2021" spans="1:10" ht="13.15" customHeight="1" x14ac:dyDescent="0.25">
      <c r="A2021">
        <f t="shared" si="256"/>
        <v>2016</v>
      </c>
      <c r="B2021" t="s">
        <v>2717</v>
      </c>
      <c r="C2021" s="2">
        <v>0.42708333333333331</v>
      </c>
      <c r="D2021" s="4">
        <f t="shared" ref="D2021" si="259">C2021-E2021</f>
        <v>0.11458333333333331</v>
      </c>
      <c r="E2021" s="6">
        <v>0.3125</v>
      </c>
      <c r="F2021" s="5">
        <f t="shared" ref="F2021" si="260">E2021/C2021</f>
        <v>0.73170731707317072</v>
      </c>
      <c r="G2021" s="5">
        <v>1</v>
      </c>
      <c r="H2021" s="4">
        <f>77.8/1440</f>
        <v>5.4027777777777779E-2</v>
      </c>
      <c r="I2021" s="5">
        <v>0.17299999999999999</v>
      </c>
      <c r="J2021" s="11" t="s">
        <v>2747</v>
      </c>
    </row>
    <row r="2022" spans="1:10" ht="13.15" customHeight="1" x14ac:dyDescent="0.25">
      <c r="A2022">
        <f t="shared" si="256"/>
        <v>2017</v>
      </c>
      <c r="B2022" t="s">
        <v>2718</v>
      </c>
      <c r="C2022" s="2">
        <v>0.47499999999999998</v>
      </c>
      <c r="D2022" s="4">
        <f t="shared" si="257"/>
        <v>0.1423611111111111</v>
      </c>
      <c r="E2022" s="6">
        <v>0.33263888888888887</v>
      </c>
      <c r="F2022" s="5">
        <f t="shared" si="258"/>
        <v>0.70029239766081874</v>
      </c>
      <c r="G2022" s="5">
        <v>1</v>
      </c>
      <c r="H2022" s="4">
        <f>68.4/1440</f>
        <v>4.7500000000000001E-2</v>
      </c>
      <c r="I2022" s="5">
        <v>0.14299999999999999</v>
      </c>
      <c r="J2022" s="11" t="s">
        <v>2747</v>
      </c>
    </row>
    <row r="2023" spans="1:10" ht="13.15" customHeight="1" x14ac:dyDescent="0.25">
      <c r="A2023">
        <f t="shared" si="256"/>
        <v>2018</v>
      </c>
      <c r="B2023" t="s">
        <v>2719</v>
      </c>
      <c r="C2023" s="2">
        <v>0.46805555555555556</v>
      </c>
      <c r="D2023" s="4">
        <f t="shared" si="257"/>
        <v>0.12916666666666665</v>
      </c>
      <c r="E2023" s="6">
        <v>0.33888888888888891</v>
      </c>
      <c r="F2023" s="5">
        <f t="shared" si="258"/>
        <v>0.72403560830860536</v>
      </c>
      <c r="G2023" s="5">
        <v>0.75</v>
      </c>
      <c r="H2023" s="4">
        <f>61.8/1440</f>
        <v>4.2916666666666665E-2</v>
      </c>
      <c r="I2023" s="5">
        <v>9.5000000000000001E-2</v>
      </c>
      <c r="J2023" s="11" t="s">
        <v>2747</v>
      </c>
    </row>
    <row r="2024" spans="1:10" ht="13.15" customHeight="1" x14ac:dyDescent="0.25">
      <c r="A2024">
        <f t="shared" si="256"/>
        <v>2019</v>
      </c>
      <c r="B2024" t="s">
        <v>2720</v>
      </c>
      <c r="C2024" s="2">
        <v>0.40069444444444446</v>
      </c>
      <c r="D2024" s="4">
        <f t="shared" si="257"/>
        <v>9.2361111111111116E-2</v>
      </c>
      <c r="E2024" s="6">
        <v>0.30833333333333335</v>
      </c>
      <c r="F2024" s="5">
        <f t="shared" si="258"/>
        <v>0.7694974003466204</v>
      </c>
      <c r="G2024" s="5">
        <v>1</v>
      </c>
      <c r="H2024" s="4">
        <f>69.4/1440</f>
        <v>4.8194444444444449E-2</v>
      </c>
      <c r="I2024" s="5">
        <v>0.156</v>
      </c>
      <c r="J2024" s="11" t="s">
        <v>2748</v>
      </c>
    </row>
    <row r="2025" spans="1:10" ht="13.15" customHeight="1" x14ac:dyDescent="0.25">
      <c r="A2025">
        <f t="shared" si="256"/>
        <v>2020</v>
      </c>
      <c r="B2025" t="s">
        <v>2721</v>
      </c>
      <c r="C2025" s="2">
        <v>0.38055555555555554</v>
      </c>
      <c r="D2025" s="4">
        <f t="shared" si="257"/>
        <v>9.5833333333333326E-2</v>
      </c>
      <c r="E2025" s="6">
        <v>0.28472222222222221</v>
      </c>
      <c r="F2025" s="5">
        <f t="shared" si="258"/>
        <v>0.74817518248175185</v>
      </c>
      <c r="G2025" s="5">
        <v>1</v>
      </c>
      <c r="H2025" s="4">
        <f>70.3/1440</f>
        <v>4.8819444444444443E-2</v>
      </c>
      <c r="I2025" s="5">
        <v>0.17199999999999999</v>
      </c>
      <c r="J2025" s="11" t="s">
        <v>2748</v>
      </c>
    </row>
    <row r="2026" spans="1:10" ht="13.15" customHeight="1" x14ac:dyDescent="0.25">
      <c r="A2026">
        <f t="shared" si="256"/>
        <v>2021</v>
      </c>
      <c r="B2026" t="s">
        <v>2722</v>
      </c>
      <c r="C2026" s="2">
        <v>0.39305555555555555</v>
      </c>
      <c r="D2026" s="4">
        <f t="shared" si="257"/>
        <v>9.1666666666666674E-2</v>
      </c>
      <c r="E2026" s="6">
        <v>0.30138888888888887</v>
      </c>
      <c r="F2026" s="5">
        <f t="shared" si="258"/>
        <v>0.7667844522968198</v>
      </c>
      <c r="G2026" s="5">
        <v>1</v>
      </c>
      <c r="H2026" s="4">
        <f>82.2/1440</f>
        <v>5.7083333333333333E-2</v>
      </c>
      <c r="I2026" s="5">
        <v>0.189</v>
      </c>
      <c r="J2026" s="11" t="s">
        <v>2748</v>
      </c>
    </row>
    <row r="2027" spans="1:10" ht="13.15" customHeight="1" x14ac:dyDescent="0.25">
      <c r="A2027">
        <f t="shared" si="256"/>
        <v>2022</v>
      </c>
      <c r="B2027" t="s">
        <v>2723</v>
      </c>
      <c r="C2027" s="2">
        <v>0.4236111111111111</v>
      </c>
      <c r="D2027" s="4">
        <f t="shared" si="257"/>
        <v>8.6111111111111083E-2</v>
      </c>
      <c r="E2027" s="6">
        <v>0.33750000000000002</v>
      </c>
      <c r="F2027" s="5">
        <f t="shared" si="258"/>
        <v>0.79672131147540992</v>
      </c>
      <c r="G2027" s="5">
        <v>1</v>
      </c>
      <c r="H2027" s="4">
        <f>88/1440</f>
        <v>6.1111111111111109E-2</v>
      </c>
      <c r="I2027" s="5">
        <v>0.18099999999999999</v>
      </c>
      <c r="J2027" s="11" t="s">
        <v>2748</v>
      </c>
    </row>
    <row r="2028" spans="1:10" ht="13.15" customHeight="1" x14ac:dyDescent="0.25">
      <c r="A2028">
        <f t="shared" si="256"/>
        <v>2023</v>
      </c>
      <c r="B2028" t="s">
        <v>2724</v>
      </c>
      <c r="C2028" s="2">
        <v>0.42083333333333334</v>
      </c>
      <c r="D2028" s="4">
        <f t="shared" si="257"/>
        <v>9.722222222222221E-2</v>
      </c>
      <c r="E2028" s="6">
        <v>0.32361111111111113</v>
      </c>
      <c r="F2028" s="5">
        <f t="shared" si="258"/>
        <v>0.76897689768976896</v>
      </c>
      <c r="G2028" s="5">
        <v>1</v>
      </c>
      <c r="H2028" s="4">
        <f>75.3/1440</f>
        <v>5.2291666666666667E-2</v>
      </c>
      <c r="I2028" s="5">
        <v>0.161</v>
      </c>
      <c r="J2028" s="11" t="s">
        <v>2748</v>
      </c>
    </row>
    <row r="2029" spans="1:10" ht="13.15" customHeight="1" x14ac:dyDescent="0.25">
      <c r="A2029">
        <f t="shared" si="256"/>
        <v>2024</v>
      </c>
      <c r="B2029" t="s">
        <v>2725</v>
      </c>
      <c r="C2029" s="2">
        <v>0.43958333333333333</v>
      </c>
      <c r="D2029" s="4">
        <f t="shared" si="257"/>
        <v>0.11180555555555555</v>
      </c>
      <c r="E2029" s="6">
        <v>0.32777777777777778</v>
      </c>
      <c r="F2029" s="5">
        <f t="shared" si="258"/>
        <v>0.74565560821484989</v>
      </c>
      <c r="G2029" s="5">
        <v>0.81100000000000005</v>
      </c>
      <c r="H2029" s="4">
        <f>61.4/1440</f>
        <v>4.2638888888888886E-2</v>
      </c>
      <c r="I2029" s="5">
        <v>0.105</v>
      </c>
      <c r="J2029" s="11" t="s">
        <v>2749</v>
      </c>
    </row>
    <row r="2030" spans="1:10" ht="13.15" customHeight="1" x14ac:dyDescent="0.25">
      <c r="A2030">
        <f t="shared" si="256"/>
        <v>2025</v>
      </c>
      <c r="B2030" t="s">
        <v>2726</v>
      </c>
      <c r="C2030" s="2">
        <v>0.4465277777777778</v>
      </c>
      <c r="D2030" s="4">
        <f t="shared" si="257"/>
        <v>0.11458333333333337</v>
      </c>
      <c r="E2030" s="6">
        <v>0.33194444444444443</v>
      </c>
      <c r="F2030" s="5">
        <f t="shared" si="258"/>
        <v>0.74339035769828921</v>
      </c>
      <c r="G2030" s="5">
        <v>0.77700000000000002</v>
      </c>
      <c r="H2030" s="4">
        <f>61.6/1440</f>
        <v>4.2777777777777776E-2</v>
      </c>
      <c r="I2030" s="5">
        <v>0.1</v>
      </c>
      <c r="J2030" s="11" t="s">
        <v>2749</v>
      </c>
    </row>
    <row r="2031" spans="1:10" ht="13.15" customHeight="1" x14ac:dyDescent="0.25">
      <c r="A2031">
        <f t="shared" si="256"/>
        <v>2026</v>
      </c>
      <c r="B2031" t="s">
        <v>2727</v>
      </c>
      <c r="C2031" s="2">
        <v>0.42569444444444443</v>
      </c>
      <c r="D2031" s="4">
        <f t="shared" si="257"/>
        <v>0.1076388888888889</v>
      </c>
      <c r="E2031" s="6">
        <v>0.31805555555555554</v>
      </c>
      <c r="F2031" s="5">
        <f t="shared" si="258"/>
        <v>0.74714518760195758</v>
      </c>
      <c r="G2031" s="5">
        <v>0.84099999999999997</v>
      </c>
      <c r="H2031" s="4">
        <f>65.3/1440</f>
        <v>4.5347222222222219E-2</v>
      </c>
      <c r="I2031" s="5">
        <v>0.12</v>
      </c>
      <c r="J2031" s="11" t="s">
        <v>2749</v>
      </c>
    </row>
    <row r="2032" spans="1:10" ht="13.15" customHeight="1" x14ac:dyDescent="0.25">
      <c r="A2032">
        <f t="shared" si="256"/>
        <v>2027</v>
      </c>
      <c r="B2032" t="s">
        <v>2728</v>
      </c>
      <c r="C2032" s="2">
        <v>0.4236111111111111</v>
      </c>
      <c r="D2032" s="4">
        <f t="shared" si="257"/>
        <v>9.8611111111111094E-2</v>
      </c>
      <c r="E2032" s="6">
        <v>0.32500000000000001</v>
      </c>
      <c r="F2032" s="5">
        <f t="shared" si="258"/>
        <v>0.76721311475409837</v>
      </c>
      <c r="G2032" s="5">
        <v>0.83</v>
      </c>
      <c r="H2032" s="4">
        <f>64.2/1440</f>
        <v>4.4583333333333336E-2</v>
      </c>
      <c r="I2032" s="5">
        <v>0.114</v>
      </c>
      <c r="J2032" s="11" t="s">
        <v>2749</v>
      </c>
    </row>
    <row r="2033" spans="1:10" ht="13.15" customHeight="1" x14ac:dyDescent="0.25">
      <c r="A2033">
        <f t="shared" si="256"/>
        <v>2028</v>
      </c>
      <c r="B2033" t="s">
        <v>2729</v>
      </c>
      <c r="C2033" s="2">
        <v>0.46180555555555558</v>
      </c>
      <c r="D2033" s="4">
        <f t="shared" si="257"/>
        <v>0.125</v>
      </c>
      <c r="E2033" s="6">
        <v>0.33680555555555558</v>
      </c>
      <c r="F2033" s="5">
        <f t="shared" si="258"/>
        <v>0.72932330827067671</v>
      </c>
      <c r="G2033" s="5">
        <v>0.77800000000000002</v>
      </c>
      <c r="H2033" s="4">
        <f>66.2/1440</f>
        <v>4.5972222222222227E-2</v>
      </c>
      <c r="I2033" s="5">
        <v>0.106</v>
      </c>
      <c r="J2033" s="11" t="s">
        <v>2749</v>
      </c>
    </row>
    <row r="2034" spans="1:10" ht="13.15" customHeight="1" x14ac:dyDescent="0.25">
      <c r="A2034">
        <f t="shared" si="256"/>
        <v>2029</v>
      </c>
      <c r="B2034" t="s">
        <v>2730</v>
      </c>
      <c r="C2034" s="2">
        <v>0.40347222222222223</v>
      </c>
      <c r="D2034" s="4">
        <f t="shared" si="257"/>
        <v>9.7916666666666652E-2</v>
      </c>
      <c r="E2034" s="6">
        <v>0.30555555555555558</v>
      </c>
      <c r="F2034" s="5">
        <f t="shared" si="258"/>
        <v>0.75731497418244409</v>
      </c>
      <c r="G2034" s="5">
        <v>0.79</v>
      </c>
      <c r="H2034" s="4">
        <f>60.2/1440</f>
        <v>4.1805555555555554E-2</v>
      </c>
      <c r="I2034" s="5">
        <v>0.108</v>
      </c>
      <c r="J2034" s="11" t="s">
        <v>2750</v>
      </c>
    </row>
    <row r="2035" spans="1:10" ht="13.15" customHeight="1" x14ac:dyDescent="0.25">
      <c r="A2035">
        <f t="shared" si="256"/>
        <v>2030</v>
      </c>
      <c r="B2035" t="s">
        <v>2731</v>
      </c>
      <c r="C2035" s="2">
        <v>0.38472222222222224</v>
      </c>
      <c r="D2035" s="4">
        <f t="shared" si="257"/>
        <v>0.12013888888888891</v>
      </c>
      <c r="E2035" s="6">
        <v>0.26458333333333334</v>
      </c>
      <c r="F2035" s="5">
        <f t="shared" si="258"/>
        <v>0.68772563176895307</v>
      </c>
      <c r="G2035" s="5">
        <v>0.80500000000000005</v>
      </c>
      <c r="H2035" s="4">
        <f>61.5/1440</f>
        <v>4.2708333333333334E-2</v>
      </c>
      <c r="I2035" s="5">
        <v>0.13</v>
      </c>
      <c r="J2035" s="11" t="s">
        <v>2750</v>
      </c>
    </row>
    <row r="2036" spans="1:10" ht="13.15" customHeight="1" x14ac:dyDescent="0.25">
      <c r="A2036">
        <f t="shared" si="256"/>
        <v>2031</v>
      </c>
      <c r="B2036" t="s">
        <v>2732</v>
      </c>
      <c r="C2036" s="2">
        <v>0.36666666666666664</v>
      </c>
      <c r="D2036" s="4">
        <f t="shared" si="257"/>
        <v>0.11041666666666666</v>
      </c>
      <c r="E2036" s="6">
        <v>0.25624999999999998</v>
      </c>
      <c r="F2036" s="5">
        <f t="shared" si="258"/>
        <v>0.69886363636363635</v>
      </c>
      <c r="G2036" s="5">
        <v>0.79800000000000004</v>
      </c>
      <c r="H2036" s="4">
        <f>57.7/1440</f>
        <v>4.0069444444444449E-2</v>
      </c>
      <c r="I2036" s="5">
        <v>0.124</v>
      </c>
      <c r="J2036" s="11" t="s">
        <v>2750</v>
      </c>
    </row>
    <row r="2037" spans="1:10" ht="13.15" customHeight="1" x14ac:dyDescent="0.25">
      <c r="A2037">
        <f t="shared" si="256"/>
        <v>2032</v>
      </c>
      <c r="B2037" t="s">
        <v>2733</v>
      </c>
      <c r="C2037" s="2">
        <v>0.4</v>
      </c>
      <c r="D2037" s="4">
        <f t="shared" si="257"/>
        <v>0.12708333333333338</v>
      </c>
      <c r="E2037" s="6">
        <v>0.27291666666666664</v>
      </c>
      <c r="F2037" s="5">
        <f t="shared" si="258"/>
        <v>0.68229166666666652</v>
      </c>
      <c r="G2037" s="5">
        <v>0.81200000000000006</v>
      </c>
      <c r="H2037" s="4">
        <f>64.9/1440</f>
        <v>4.5069444444444447E-2</v>
      </c>
      <c r="I2037" s="5">
        <v>0.13400000000000001</v>
      </c>
      <c r="J2037" s="11" t="s">
        <v>2750</v>
      </c>
    </row>
    <row r="2038" spans="1:10" ht="13.15" customHeight="1" x14ac:dyDescent="0.25">
      <c r="A2038">
        <f t="shared" si="256"/>
        <v>2033</v>
      </c>
      <c r="B2038" t="s">
        <v>2734</v>
      </c>
      <c r="C2038" s="2">
        <v>0.4201388888888889</v>
      </c>
      <c r="D2038" s="4">
        <f t="shared" si="257"/>
        <v>0.11319444444444443</v>
      </c>
      <c r="E2038" s="6">
        <v>0.30694444444444446</v>
      </c>
      <c r="F2038" s="5">
        <f t="shared" si="258"/>
        <v>0.73057851239669425</v>
      </c>
      <c r="G2038" s="5">
        <v>0.83199999999999996</v>
      </c>
      <c r="H2038" s="4">
        <f>65.5/1440</f>
        <v>4.5486111111111109E-2</v>
      </c>
      <c r="I2038" s="5">
        <v>0.123</v>
      </c>
      <c r="J2038" s="11" t="s">
        <v>2750</v>
      </c>
    </row>
    <row r="2039" spans="1:10" ht="13.15" customHeight="1" x14ac:dyDescent="0.25">
      <c r="A2039">
        <f t="shared" si="256"/>
        <v>2034</v>
      </c>
      <c r="B2039" t="s">
        <v>2735</v>
      </c>
      <c r="C2039" s="2">
        <v>0.43611111111111112</v>
      </c>
      <c r="D2039" s="4">
        <f t="shared" ref="D2039:D2047" si="261">C2039-E2039</f>
        <v>0.10902777777777778</v>
      </c>
      <c r="E2039" s="6">
        <v>0.32708333333333334</v>
      </c>
      <c r="F2039" s="5">
        <f t="shared" ref="F2039:F2047" si="262">E2039/C2039</f>
        <v>0.75</v>
      </c>
      <c r="G2039" s="5">
        <v>0.82899999999999996</v>
      </c>
      <c r="H2039" s="4">
        <f>63.1/1440</f>
        <v>4.3819444444444446E-2</v>
      </c>
      <c r="I2039" s="5">
        <v>0.111</v>
      </c>
      <c r="J2039" s="11" t="s">
        <v>2744</v>
      </c>
    </row>
    <row r="2040" spans="1:10" ht="13.15" customHeight="1" x14ac:dyDescent="0.25">
      <c r="A2040">
        <f t="shared" si="256"/>
        <v>2035</v>
      </c>
      <c r="B2040" t="s">
        <v>2736</v>
      </c>
      <c r="C2040" s="2">
        <v>0.43263888888888891</v>
      </c>
      <c r="D2040" s="4">
        <f t="shared" si="261"/>
        <v>0.10833333333333334</v>
      </c>
      <c r="E2040" s="6">
        <v>0.32430555555555557</v>
      </c>
      <c r="F2040" s="5">
        <f t="shared" si="262"/>
        <v>0.7495987158908507</v>
      </c>
      <c r="G2040" s="5">
        <v>0.84499999999999997</v>
      </c>
      <c r="H2040" s="4">
        <f>68.5/1440</f>
        <v>4.7569444444444442E-2</v>
      </c>
      <c r="I2040" s="5">
        <v>0.124</v>
      </c>
      <c r="J2040" s="11" t="s">
        <v>2744</v>
      </c>
    </row>
    <row r="2041" spans="1:10" ht="13.15" customHeight="1" x14ac:dyDescent="0.25">
      <c r="A2041">
        <f t="shared" si="256"/>
        <v>2036</v>
      </c>
      <c r="B2041" t="s">
        <v>2737</v>
      </c>
      <c r="C2041" s="2">
        <v>0.41388888888888886</v>
      </c>
      <c r="D2041" s="4">
        <f t="shared" si="261"/>
        <v>0.10416666666666663</v>
      </c>
      <c r="E2041" s="6">
        <v>0.30972222222222223</v>
      </c>
      <c r="F2041" s="5">
        <f t="shared" si="262"/>
        <v>0.7483221476510068</v>
      </c>
      <c r="G2041" s="5">
        <v>0.79700000000000004</v>
      </c>
      <c r="H2041" s="4">
        <f>56.8/1440</f>
        <v>3.9444444444444442E-2</v>
      </c>
      <c r="I2041" s="5">
        <v>0.10100000000000001</v>
      </c>
      <c r="J2041" s="11" t="s">
        <v>2744</v>
      </c>
    </row>
    <row r="2042" spans="1:10" ht="13.15" customHeight="1" x14ac:dyDescent="0.25">
      <c r="A2042">
        <f t="shared" si="256"/>
        <v>2037</v>
      </c>
      <c r="B2042" t="s">
        <v>2738</v>
      </c>
      <c r="C2042" s="2">
        <v>0.40069444444444446</v>
      </c>
      <c r="D2042" s="4">
        <f t="shared" si="261"/>
        <v>0.1076388888888889</v>
      </c>
      <c r="E2042" s="6">
        <v>0.29305555555555557</v>
      </c>
      <c r="F2042" s="5">
        <f t="shared" si="262"/>
        <v>0.73136915077989606</v>
      </c>
      <c r="G2042" s="5">
        <v>0.68400000000000005</v>
      </c>
      <c r="H2042" s="4">
        <f>51.8/1440</f>
        <v>3.5972222222222218E-2</v>
      </c>
      <c r="I2042" s="5">
        <v>8.4000000000000005E-2</v>
      </c>
      <c r="J2042" s="11" t="s">
        <v>2744</v>
      </c>
    </row>
    <row r="2043" spans="1:10" ht="13.15" customHeight="1" x14ac:dyDescent="0.25">
      <c r="A2043">
        <f t="shared" si="256"/>
        <v>2038</v>
      </c>
      <c r="B2043" t="s">
        <v>2739</v>
      </c>
      <c r="C2043" s="2">
        <v>0.42152777777777778</v>
      </c>
      <c r="D2043" s="4">
        <f t="shared" si="261"/>
        <v>0.10069444444444442</v>
      </c>
      <c r="E2043" s="6">
        <v>0.32083333333333336</v>
      </c>
      <c r="F2043" s="5">
        <f t="shared" si="262"/>
        <v>0.76112026359143337</v>
      </c>
      <c r="G2043" s="5">
        <v>0.873</v>
      </c>
      <c r="H2043" s="4">
        <f>58/1440</f>
        <v>4.027777777777778E-2</v>
      </c>
      <c r="I2043" s="5">
        <v>0.109</v>
      </c>
      <c r="J2043" s="11" t="s">
        <v>2744</v>
      </c>
    </row>
    <row r="2044" spans="1:10" ht="13.15" customHeight="1" x14ac:dyDescent="0.25">
      <c r="A2044">
        <f t="shared" si="256"/>
        <v>2039</v>
      </c>
      <c r="B2044" t="s">
        <v>2740</v>
      </c>
      <c r="C2044" s="2">
        <v>0.45624999999999999</v>
      </c>
      <c r="D2044" s="4">
        <f t="shared" si="261"/>
        <v>0.12916666666666665</v>
      </c>
      <c r="E2044" s="6">
        <v>0.32708333333333334</v>
      </c>
      <c r="F2044" s="5">
        <f t="shared" si="262"/>
        <v>0.71689497716894979</v>
      </c>
      <c r="G2044" s="5">
        <v>0.81899999999999995</v>
      </c>
      <c r="H2044" s="4">
        <f>60.5/1440</f>
        <v>4.2013888888888892E-2</v>
      </c>
      <c r="I2044" s="5" t="s">
        <v>2746</v>
      </c>
      <c r="J2044" s="11" t="s">
        <v>2745</v>
      </c>
    </row>
    <row r="2045" spans="1:10" ht="13.15" customHeight="1" x14ac:dyDescent="0.25">
      <c r="A2045">
        <f t="shared" si="256"/>
        <v>2040</v>
      </c>
      <c r="B2045" t="s">
        <v>2741</v>
      </c>
      <c r="C2045" s="2">
        <v>0.47361111111111109</v>
      </c>
      <c r="D2045" s="4">
        <f t="shared" si="261"/>
        <v>0.11874999999999997</v>
      </c>
      <c r="E2045" s="6">
        <v>0.35486111111111113</v>
      </c>
      <c r="F2045" s="5">
        <f t="shared" si="262"/>
        <v>0.74926686217008809</v>
      </c>
      <c r="G2045" s="5">
        <v>0.85599999999999998</v>
      </c>
      <c r="H2045" s="4">
        <f>63.5/1440</f>
        <v>4.4097222222222225E-2</v>
      </c>
      <c r="I2045" s="5">
        <v>0.106</v>
      </c>
      <c r="J2045" s="11" t="s">
        <v>2745</v>
      </c>
    </row>
    <row r="2046" spans="1:10" ht="13.15" customHeight="1" x14ac:dyDescent="0.25">
      <c r="A2046">
        <f t="shared" si="256"/>
        <v>2041</v>
      </c>
      <c r="B2046" t="s">
        <v>2742</v>
      </c>
      <c r="C2046" s="2">
        <v>0.50972222222222219</v>
      </c>
      <c r="D2046" s="4">
        <f t="shared" si="261"/>
        <v>0.11736111111111108</v>
      </c>
      <c r="E2046" s="6">
        <v>0.3923611111111111</v>
      </c>
      <c r="F2046" s="5">
        <f t="shared" si="262"/>
        <v>0.76975476839237056</v>
      </c>
      <c r="G2046" s="5">
        <v>0.82899999999999996</v>
      </c>
      <c r="H2046" s="4">
        <f>63.8/1440</f>
        <v>4.4305555555555556E-2</v>
      </c>
      <c r="I2046" s="5">
        <v>9.2999999999999999E-2</v>
      </c>
      <c r="J2046" s="11" t="s">
        <v>2745</v>
      </c>
    </row>
    <row r="2047" spans="1:10" ht="13.15" customHeight="1" x14ac:dyDescent="0.25">
      <c r="A2047">
        <f t="shared" si="256"/>
        <v>2042</v>
      </c>
      <c r="B2047" t="s">
        <v>2743</v>
      </c>
      <c r="C2047" s="2">
        <v>0.46875</v>
      </c>
      <c r="D2047" s="4">
        <f t="shared" si="261"/>
        <v>0.11180555555555555</v>
      </c>
      <c r="E2047" s="6">
        <v>0.35694444444444445</v>
      </c>
      <c r="F2047" s="5">
        <f t="shared" si="262"/>
        <v>0.76148148148148154</v>
      </c>
      <c r="G2047" s="5">
        <v>0.83499999999999996</v>
      </c>
      <c r="H2047" s="4">
        <f>68.8/1440</f>
        <v>4.7777777777777773E-2</v>
      </c>
      <c r="I2047" s="5">
        <v>0.111</v>
      </c>
      <c r="J2047" s="11" t="s">
        <v>2745</v>
      </c>
    </row>
    <row r="2048" spans="1:10" ht="13.15" customHeight="1" x14ac:dyDescent="0.25">
      <c r="A2048">
        <f t="shared" si="256"/>
        <v>2043</v>
      </c>
      <c r="B2048" t="s">
        <v>2751</v>
      </c>
      <c r="C2048" s="2">
        <v>0.41597222222222224</v>
      </c>
      <c r="D2048" s="4">
        <f t="shared" ref="D2048:D2056" si="263">C2048-E2048</f>
        <v>0.10972222222222222</v>
      </c>
      <c r="E2048" s="6">
        <v>0.30625000000000002</v>
      </c>
      <c r="F2048" s="5">
        <f t="shared" ref="F2048:F2056" si="264">E2048/C2048</f>
        <v>0.73622704507512526</v>
      </c>
      <c r="G2048" s="5">
        <v>0.79600000000000004</v>
      </c>
      <c r="H2048" s="4">
        <f>56.8/1440</f>
        <v>3.9444444444444442E-2</v>
      </c>
      <c r="I2048" s="5">
        <v>0.10299999999999999</v>
      </c>
      <c r="J2048" s="11" t="s">
        <v>2760</v>
      </c>
    </row>
    <row r="2049" spans="1:10" ht="13.15" customHeight="1" x14ac:dyDescent="0.25">
      <c r="A2049">
        <f t="shared" si="256"/>
        <v>2044</v>
      </c>
      <c r="B2049" t="s">
        <v>2752</v>
      </c>
      <c r="C2049" s="2">
        <v>0.46180555555555558</v>
      </c>
      <c r="D2049" s="4">
        <f t="shared" si="263"/>
        <v>0.11875000000000002</v>
      </c>
      <c r="E2049" s="6">
        <v>0.34305555555555556</v>
      </c>
      <c r="F2049" s="5">
        <f t="shared" si="264"/>
        <v>0.74285714285714277</v>
      </c>
      <c r="G2049" s="5">
        <v>0.88300000000000001</v>
      </c>
      <c r="H2049" s="4">
        <f>60.6/1440</f>
        <v>4.2083333333333334E-2</v>
      </c>
      <c r="I2049" s="5">
        <v>0.108</v>
      </c>
      <c r="J2049" s="11" t="s">
        <v>2760</v>
      </c>
    </row>
    <row r="2050" spans="1:10" ht="13.15" customHeight="1" x14ac:dyDescent="0.25">
      <c r="A2050">
        <f t="shared" si="256"/>
        <v>2045</v>
      </c>
      <c r="B2050" t="s">
        <v>2753</v>
      </c>
      <c r="C2050" s="2">
        <v>0.39305555555555555</v>
      </c>
      <c r="D2050" s="4">
        <f t="shared" si="263"/>
        <v>0.10694444444444445</v>
      </c>
      <c r="E2050" s="6">
        <v>0.28611111111111109</v>
      </c>
      <c r="F2050" s="5">
        <f t="shared" si="264"/>
        <v>0.72791519434628971</v>
      </c>
      <c r="G2050" s="5">
        <v>0.78900000000000003</v>
      </c>
      <c r="H2050" s="4">
        <f>53.7/1440</f>
        <v>3.7291666666666667E-2</v>
      </c>
      <c r="I2050" s="5">
        <v>0.10299999999999999</v>
      </c>
      <c r="J2050" s="11" t="s">
        <v>2760</v>
      </c>
    </row>
    <row r="2051" spans="1:10" ht="13.15" customHeight="1" x14ac:dyDescent="0.25">
      <c r="A2051">
        <f t="shared" si="256"/>
        <v>2046</v>
      </c>
      <c r="B2051" t="s">
        <v>2754</v>
      </c>
      <c r="C2051" s="2">
        <v>0.40277777777777779</v>
      </c>
      <c r="D2051" s="4">
        <f t="shared" si="263"/>
        <v>0.10902777777777778</v>
      </c>
      <c r="E2051" s="6">
        <v>0.29375000000000001</v>
      </c>
      <c r="F2051" s="5">
        <f t="shared" si="264"/>
        <v>0.72931034482758617</v>
      </c>
      <c r="G2051" s="5">
        <v>0.67400000000000004</v>
      </c>
      <c r="H2051" s="4">
        <f>44.4/1440</f>
        <v>3.0833333333333331E-2</v>
      </c>
      <c r="I2051" s="5">
        <v>7.0999999999999994E-2</v>
      </c>
      <c r="J2051" s="11" t="s">
        <v>2760</v>
      </c>
    </row>
    <row r="2052" spans="1:10" ht="13.15" customHeight="1" x14ac:dyDescent="0.25">
      <c r="A2052">
        <f t="shared" si="256"/>
        <v>2047</v>
      </c>
      <c r="B2052" t="s">
        <v>2755</v>
      </c>
      <c r="C2052" s="2">
        <v>0.42291666666666666</v>
      </c>
      <c r="D2052" s="4">
        <f t="shared" si="263"/>
        <v>0.12222222222222223</v>
      </c>
      <c r="E2052" s="6">
        <v>0.30069444444444443</v>
      </c>
      <c r="F2052" s="5">
        <f t="shared" si="264"/>
        <v>0.71100164203612481</v>
      </c>
      <c r="G2052" s="5">
        <v>0.84699999999999998</v>
      </c>
      <c r="H2052" s="4">
        <f>60.4/1440</f>
        <v>4.1944444444444444E-2</v>
      </c>
      <c r="I2052" s="5">
        <v>0.11799999999999999</v>
      </c>
      <c r="J2052" s="11" t="s">
        <v>2760</v>
      </c>
    </row>
    <row r="2053" spans="1:10" ht="13.15" customHeight="1" x14ac:dyDescent="0.25">
      <c r="A2053">
        <f t="shared" si="256"/>
        <v>2048</v>
      </c>
      <c r="B2053" t="s">
        <v>2756</v>
      </c>
      <c r="C2053" s="2">
        <v>0.42083333333333334</v>
      </c>
      <c r="D2053" s="4">
        <f t="shared" si="263"/>
        <v>0.10555555555555557</v>
      </c>
      <c r="E2053" s="6">
        <v>0.31527777777777777</v>
      </c>
      <c r="F2053" s="5">
        <f t="shared" si="264"/>
        <v>0.74917491749174914</v>
      </c>
      <c r="G2053" s="5">
        <v>0.78500000000000003</v>
      </c>
      <c r="H2053" s="4">
        <f>58.3/1440</f>
        <v>4.0486111111111112E-2</v>
      </c>
      <c r="I2053" s="5">
        <v>0.10100000000000001</v>
      </c>
      <c r="J2053" s="11" t="s">
        <v>2761</v>
      </c>
    </row>
    <row r="2054" spans="1:10" ht="13.15" customHeight="1" x14ac:dyDescent="0.25">
      <c r="A2054">
        <f t="shared" si="256"/>
        <v>2049</v>
      </c>
      <c r="B2054" t="s">
        <v>2757</v>
      </c>
      <c r="C2054" s="2">
        <v>0.4284722222222222</v>
      </c>
      <c r="D2054" s="4">
        <f t="shared" si="263"/>
        <v>9.8611111111111094E-2</v>
      </c>
      <c r="E2054" s="6">
        <v>0.3298611111111111</v>
      </c>
      <c r="F2054" s="5">
        <f t="shared" si="264"/>
        <v>0.76985413290113458</v>
      </c>
      <c r="G2054" s="5">
        <v>0.81599999999999995</v>
      </c>
      <c r="H2054" s="4">
        <f>63.7/1440</f>
        <v>4.4236111111111115E-2</v>
      </c>
      <c r="I2054" s="5">
        <v>0.109</v>
      </c>
      <c r="J2054" s="11" t="s">
        <v>2761</v>
      </c>
    </row>
    <row r="2055" spans="1:10" ht="13.15" customHeight="1" x14ac:dyDescent="0.25">
      <c r="A2055">
        <f t="shared" si="256"/>
        <v>2050</v>
      </c>
      <c r="B2055" t="s">
        <v>2758</v>
      </c>
      <c r="C2055" s="2">
        <v>0.47708333333333336</v>
      </c>
      <c r="D2055" s="4">
        <f t="shared" si="263"/>
        <v>0.10347222222222224</v>
      </c>
      <c r="E2055" s="6">
        <v>0.37361111111111112</v>
      </c>
      <c r="F2055" s="5">
        <f t="shared" si="264"/>
        <v>0.7831149927219796</v>
      </c>
      <c r="G2055" s="5">
        <v>0.91900000000000004</v>
      </c>
      <c r="H2055" s="4">
        <f>66.4/1440</f>
        <v>4.6111111111111117E-2</v>
      </c>
      <c r="I2055" s="5">
        <v>0.113</v>
      </c>
      <c r="J2055" s="11" t="s">
        <v>2761</v>
      </c>
    </row>
    <row r="2056" spans="1:10" ht="13.15" customHeight="1" x14ac:dyDescent="0.25">
      <c r="A2056">
        <f t="shared" si="256"/>
        <v>2051</v>
      </c>
      <c r="B2056" t="s">
        <v>2759</v>
      </c>
      <c r="C2056" s="2">
        <v>0.43958333333333333</v>
      </c>
      <c r="D2056" s="4">
        <f t="shared" si="263"/>
        <v>0.10555555555555557</v>
      </c>
      <c r="E2056" s="6">
        <v>0.33402777777777776</v>
      </c>
      <c r="F2056" s="5">
        <f t="shared" si="264"/>
        <v>0.75987361769352291</v>
      </c>
      <c r="G2056" s="5">
        <v>0.79800000000000004</v>
      </c>
      <c r="H2056" s="4">
        <f>69.2/1440</f>
        <v>4.805555555555556E-2</v>
      </c>
      <c r="I2056" s="5">
        <v>0.115</v>
      </c>
      <c r="J2056" s="11" t="s">
        <v>2761</v>
      </c>
    </row>
    <row r="2057" spans="1:10" ht="13.15" customHeight="1" x14ac:dyDescent="0.25">
      <c r="A2057">
        <f t="shared" si="256"/>
        <v>2052</v>
      </c>
      <c r="B2057" t="s">
        <v>2762</v>
      </c>
      <c r="C2057" s="2">
        <v>0.45416666666666666</v>
      </c>
      <c r="D2057" s="4">
        <f t="shared" ref="D2057:D2066" si="265">C2057-E2057</f>
        <v>0.10833333333333334</v>
      </c>
      <c r="E2057" s="6">
        <v>0.34583333333333333</v>
      </c>
      <c r="F2057" s="5">
        <f t="shared" ref="F2057:F2066" si="266">E2057/C2057</f>
        <v>0.76146788990825687</v>
      </c>
      <c r="G2057" s="5">
        <v>0.78100000000000003</v>
      </c>
      <c r="H2057" s="4">
        <f>59.7/1440</f>
        <v>4.1458333333333333E-2</v>
      </c>
      <c r="I2057" s="5">
        <v>9.4E-2</v>
      </c>
      <c r="J2057" s="11" t="s">
        <v>2773</v>
      </c>
    </row>
    <row r="2058" spans="1:10" ht="13.15" customHeight="1" x14ac:dyDescent="0.25">
      <c r="A2058">
        <f t="shared" si="256"/>
        <v>2053</v>
      </c>
      <c r="B2058" t="s">
        <v>2763</v>
      </c>
      <c r="C2058" s="2">
        <v>0.42569444444444443</v>
      </c>
      <c r="D2058" s="4">
        <f t="shared" si="265"/>
        <v>0.13194444444444442</v>
      </c>
      <c r="E2058" s="6">
        <v>0.29375000000000001</v>
      </c>
      <c r="F2058" s="5">
        <f t="shared" si="266"/>
        <v>0.69004893964110936</v>
      </c>
      <c r="G2058" s="5">
        <v>0.79900000000000004</v>
      </c>
      <c r="H2058" s="4">
        <f>58.1/1440</f>
        <v>4.0347222222222222E-2</v>
      </c>
      <c r="I2058" s="5">
        <v>0.11</v>
      </c>
      <c r="J2058" s="11" t="s">
        <v>2773</v>
      </c>
    </row>
    <row r="2059" spans="1:10" ht="13.15" customHeight="1" x14ac:dyDescent="0.25">
      <c r="A2059">
        <f t="shared" si="256"/>
        <v>2054</v>
      </c>
      <c r="B2059" t="s">
        <v>2764</v>
      </c>
      <c r="C2059" s="2">
        <v>0.42083333333333334</v>
      </c>
      <c r="D2059" s="4">
        <f t="shared" si="265"/>
        <v>0.14027777777777778</v>
      </c>
      <c r="E2059" s="6">
        <v>0.28055555555555556</v>
      </c>
      <c r="F2059" s="5">
        <f t="shared" si="266"/>
        <v>0.66666666666666663</v>
      </c>
      <c r="G2059" s="5">
        <v>0.78500000000000003</v>
      </c>
      <c r="H2059" s="4">
        <f>60.3/1440</f>
        <v>4.1874999999999996E-2</v>
      </c>
      <c r="I2059" s="5">
        <v>0.11700000000000001</v>
      </c>
      <c r="J2059" s="11" t="s">
        <v>2773</v>
      </c>
    </row>
    <row r="2060" spans="1:10" ht="13.15" customHeight="1" x14ac:dyDescent="0.25">
      <c r="A2060">
        <f t="shared" si="256"/>
        <v>2055</v>
      </c>
      <c r="B2060" t="s">
        <v>2765</v>
      </c>
      <c r="C2060" s="2">
        <v>0.44305555555555554</v>
      </c>
      <c r="D2060" s="4">
        <f t="shared" si="265"/>
        <v>0.13541666666666663</v>
      </c>
      <c r="E2060" s="6">
        <v>0.30763888888888891</v>
      </c>
      <c r="F2060" s="5">
        <f t="shared" si="266"/>
        <v>0.69435736677115989</v>
      </c>
      <c r="G2060" s="5">
        <v>0.81299999999999994</v>
      </c>
      <c r="H2060" s="4">
        <f>56/1440</f>
        <v>3.888888888888889E-2</v>
      </c>
      <c r="I2060" s="5">
        <v>0.10299999999999999</v>
      </c>
      <c r="J2060" s="11" t="s">
        <v>2773</v>
      </c>
    </row>
    <row r="2061" spans="1:10" ht="13.15" customHeight="1" x14ac:dyDescent="0.25">
      <c r="A2061">
        <f t="shared" si="256"/>
        <v>2056</v>
      </c>
      <c r="B2061" t="s">
        <v>2766</v>
      </c>
      <c r="C2061" s="2">
        <v>0.4861111111111111</v>
      </c>
      <c r="D2061" s="4">
        <f t="shared" si="265"/>
        <v>0.12986111111111109</v>
      </c>
      <c r="E2061" s="6">
        <v>0.35625000000000001</v>
      </c>
      <c r="F2061" s="5">
        <f t="shared" si="266"/>
        <v>0.73285714285714287</v>
      </c>
      <c r="G2061" s="5">
        <v>0.82699999999999996</v>
      </c>
      <c r="H2061" s="4">
        <f>67/1440</f>
        <v>4.6527777777777779E-2</v>
      </c>
      <c r="I2061" s="5">
        <v>0.108</v>
      </c>
      <c r="J2061" s="11" t="s">
        <v>2773</v>
      </c>
    </row>
    <row r="2062" spans="1:10" ht="13.15" customHeight="1" x14ac:dyDescent="0.25">
      <c r="A2062">
        <f t="shared" si="256"/>
        <v>2057</v>
      </c>
      <c r="B2062" t="s">
        <v>2767</v>
      </c>
      <c r="C2062" s="2">
        <v>0.44791666666666669</v>
      </c>
      <c r="D2062" s="4">
        <f t="shared" si="265"/>
        <v>0.10694444444444445</v>
      </c>
      <c r="E2062" s="6">
        <v>0.34097222222222223</v>
      </c>
      <c r="F2062" s="5">
        <f t="shared" si="266"/>
        <v>0.76124031007751936</v>
      </c>
      <c r="G2062" s="5">
        <v>0.80700000000000005</v>
      </c>
      <c r="H2062" s="4">
        <f>59/1440</f>
        <v>4.0972222222222222E-2</v>
      </c>
      <c r="I2062" s="5">
        <v>9.7000000000000003E-2</v>
      </c>
      <c r="J2062" s="11" t="s">
        <v>2772</v>
      </c>
    </row>
    <row r="2063" spans="1:10" ht="13.15" customHeight="1" x14ac:dyDescent="0.25">
      <c r="A2063">
        <f t="shared" si="256"/>
        <v>2058</v>
      </c>
      <c r="B2063" t="s">
        <v>2768</v>
      </c>
      <c r="C2063" s="2">
        <v>0.40138888888888891</v>
      </c>
      <c r="D2063" s="4">
        <f t="shared" si="265"/>
        <v>0.11597222222222225</v>
      </c>
      <c r="E2063" s="6">
        <v>0.28541666666666665</v>
      </c>
      <c r="F2063" s="5">
        <f t="shared" si="266"/>
        <v>0.71107266435986149</v>
      </c>
      <c r="G2063" s="5">
        <v>0.81</v>
      </c>
      <c r="H2063" s="4">
        <f>65/1440</f>
        <v>4.5138888888888888E-2</v>
      </c>
      <c r="I2063" s="5">
        <v>0.128</v>
      </c>
      <c r="J2063" s="11" t="s">
        <v>2772</v>
      </c>
    </row>
    <row r="2064" spans="1:10" ht="13.15" customHeight="1" x14ac:dyDescent="0.25">
      <c r="A2064">
        <f t="shared" si="256"/>
        <v>2059</v>
      </c>
      <c r="B2064" t="s">
        <v>2769</v>
      </c>
      <c r="C2064" s="2">
        <v>0.4</v>
      </c>
      <c r="D2064" s="4">
        <f t="shared" si="265"/>
        <v>0.12152777777777779</v>
      </c>
      <c r="E2064" s="6">
        <v>0.27847222222222223</v>
      </c>
      <c r="F2064" s="5">
        <f t="shared" si="266"/>
        <v>0.69618055555555558</v>
      </c>
      <c r="G2064" s="5">
        <v>0.78900000000000003</v>
      </c>
      <c r="H2064" s="4">
        <f>68.1/1440</f>
        <v>4.7291666666666662E-2</v>
      </c>
      <c r="I2064" s="5">
        <v>0.13400000000000001</v>
      </c>
      <c r="J2064" s="11" t="s">
        <v>2772</v>
      </c>
    </row>
    <row r="2065" spans="1:10" ht="13.15" customHeight="1" x14ac:dyDescent="0.25">
      <c r="A2065">
        <f t="shared" si="256"/>
        <v>2060</v>
      </c>
      <c r="B2065" t="s">
        <v>2770</v>
      </c>
      <c r="C2065" s="2">
        <v>0.40208333333333335</v>
      </c>
      <c r="D2065" s="4">
        <f t="shared" si="265"/>
        <v>0.11041666666666666</v>
      </c>
      <c r="E2065" s="6">
        <v>0.29166666666666669</v>
      </c>
      <c r="F2065" s="5">
        <f t="shared" si="266"/>
        <v>0.72538860103626945</v>
      </c>
      <c r="G2065" s="5">
        <v>0.83</v>
      </c>
      <c r="H2065" s="4">
        <f>62.1/1440</f>
        <v>4.3125000000000004E-2</v>
      </c>
      <c r="I2065" s="5">
        <v>0.122</v>
      </c>
      <c r="J2065" s="11" t="s">
        <v>2772</v>
      </c>
    </row>
    <row r="2066" spans="1:10" ht="13.15" customHeight="1" x14ac:dyDescent="0.25">
      <c r="A2066">
        <f t="shared" si="256"/>
        <v>2061</v>
      </c>
      <c r="B2066" t="s">
        <v>2771</v>
      </c>
      <c r="C2066" s="2">
        <v>0.43611111111111112</v>
      </c>
      <c r="D2066" s="4">
        <f t="shared" si="265"/>
        <v>0.11249999999999999</v>
      </c>
      <c r="E2066" s="6">
        <v>0.32361111111111113</v>
      </c>
      <c r="F2066" s="5">
        <f t="shared" si="266"/>
        <v>0.74203821656050961</v>
      </c>
      <c r="G2066" s="5">
        <v>0.84</v>
      </c>
      <c r="H2066" s="4">
        <f>68/1440</f>
        <v>4.7222222222222221E-2</v>
      </c>
      <c r="I2066" s="5">
        <v>0.122</v>
      </c>
      <c r="J2066" s="11" t="s">
        <v>2772</v>
      </c>
    </row>
    <row r="2067" spans="1:10" ht="13.15" customHeight="1" x14ac:dyDescent="0.25">
      <c r="A2067">
        <f t="shared" si="256"/>
        <v>2062</v>
      </c>
      <c r="B2067" t="s">
        <v>2775</v>
      </c>
      <c r="C2067" s="2">
        <v>0.54236111111111107</v>
      </c>
      <c r="D2067" s="4">
        <f t="shared" ref="D2067:D2096" si="267">C2067-E2067</f>
        <v>0.12847222222222221</v>
      </c>
      <c r="E2067" s="6">
        <v>0.41388888888888886</v>
      </c>
      <c r="F2067" s="5">
        <f t="shared" ref="F2067:F2096" si="268">E2067/C2067</f>
        <v>0.7631241997439181</v>
      </c>
      <c r="G2067" s="5">
        <v>0.85699999999999998</v>
      </c>
      <c r="H2067" s="4">
        <f>64.8/1440</f>
        <v>4.4999999999999998E-2</v>
      </c>
      <c r="I2067" s="5">
        <v>9.2999999999999999E-2</v>
      </c>
      <c r="J2067" s="11" t="s">
        <v>2774</v>
      </c>
    </row>
    <row r="2068" spans="1:10" ht="13.15" customHeight="1" x14ac:dyDescent="0.25">
      <c r="A2068">
        <f t="shared" si="256"/>
        <v>2063</v>
      </c>
      <c r="B2068" t="s">
        <v>2776</v>
      </c>
      <c r="C2068" s="2">
        <v>0.54513888888888884</v>
      </c>
      <c r="D2068" s="4">
        <f t="shared" si="267"/>
        <v>0.12986111111111104</v>
      </c>
      <c r="E2068" s="6">
        <v>0.4152777777777778</v>
      </c>
      <c r="F2068" s="5">
        <f t="shared" si="268"/>
        <v>0.76178343949044602</v>
      </c>
      <c r="G2068" s="5">
        <v>0.82599999999999996</v>
      </c>
      <c r="H2068" s="4">
        <f>71.7/1440</f>
        <v>4.9791666666666672E-2</v>
      </c>
      <c r="I2068" s="5">
        <v>9.9000000000000005E-2</v>
      </c>
      <c r="J2068" s="11" t="s">
        <v>2774</v>
      </c>
    </row>
    <row r="2069" spans="1:10" ht="13.15" customHeight="1" x14ac:dyDescent="0.25">
      <c r="A2069">
        <f t="shared" si="256"/>
        <v>2064</v>
      </c>
      <c r="B2069" t="s">
        <v>2777</v>
      </c>
      <c r="C2069" s="2">
        <v>0.53194444444444444</v>
      </c>
      <c r="D2069" s="4">
        <f t="shared" si="267"/>
        <v>0.12083333333333335</v>
      </c>
      <c r="E2069" s="6">
        <v>0.41111111111111109</v>
      </c>
      <c r="F2069" s="5">
        <f t="shared" si="268"/>
        <v>0.77284595300261094</v>
      </c>
      <c r="G2069" s="5">
        <v>0.88900000000000001</v>
      </c>
      <c r="H2069" s="4">
        <f>65.5/1440</f>
        <v>4.5486111111111109E-2</v>
      </c>
      <c r="I2069" s="5">
        <v>9.8000000000000004E-2</v>
      </c>
      <c r="J2069" s="11" t="s">
        <v>2774</v>
      </c>
    </row>
    <row r="2070" spans="1:10" ht="13.15" customHeight="1" x14ac:dyDescent="0.25">
      <c r="A2070">
        <f t="shared" si="256"/>
        <v>2065</v>
      </c>
      <c r="B2070" t="s">
        <v>2778</v>
      </c>
      <c r="C2070" s="2">
        <v>0.53263888888888888</v>
      </c>
      <c r="D2070" s="4">
        <f t="shared" si="267"/>
        <v>0.11458333333333331</v>
      </c>
      <c r="E2070" s="6">
        <v>0.41805555555555557</v>
      </c>
      <c r="F2070" s="5">
        <f t="shared" si="268"/>
        <v>0.78487614080834422</v>
      </c>
      <c r="G2070" s="5">
        <v>0.878</v>
      </c>
      <c r="H2070" s="4">
        <f>65.7/1440</f>
        <v>4.5624999999999999E-2</v>
      </c>
      <c r="I2070" s="5">
        <v>9.6000000000000002E-2</v>
      </c>
      <c r="J2070" s="11" t="s">
        <v>2774</v>
      </c>
    </row>
    <row r="2071" spans="1:10" ht="13.15" customHeight="1" x14ac:dyDescent="0.25">
      <c r="A2071">
        <f t="shared" si="256"/>
        <v>2066</v>
      </c>
      <c r="B2071" t="s">
        <v>2779</v>
      </c>
      <c r="C2071" s="2">
        <v>0.4861111111111111</v>
      </c>
      <c r="D2071" s="4">
        <f t="shared" si="267"/>
        <v>0.11180555555555555</v>
      </c>
      <c r="E2071" s="6">
        <v>0.37430555555555556</v>
      </c>
      <c r="F2071" s="5">
        <f t="shared" si="268"/>
        <v>0.77</v>
      </c>
      <c r="G2071" s="5">
        <v>0.77800000000000002</v>
      </c>
      <c r="H2071" s="4">
        <f>64.2/1440</f>
        <v>4.4583333333333336E-2</v>
      </c>
      <c r="I2071" s="5">
        <v>9.2999999999999999E-2</v>
      </c>
      <c r="J2071" s="11" t="s">
        <v>2774</v>
      </c>
    </row>
    <row r="2072" spans="1:10" ht="13.15" customHeight="1" x14ac:dyDescent="0.25">
      <c r="A2072">
        <f t="shared" si="256"/>
        <v>2067</v>
      </c>
      <c r="B2072" t="s">
        <v>2781</v>
      </c>
      <c r="C2072" s="2">
        <v>0.45833333333333331</v>
      </c>
      <c r="D2072" s="4">
        <f t="shared" si="267"/>
        <v>0.10902777777777778</v>
      </c>
      <c r="E2072" s="6">
        <v>0.34930555555555554</v>
      </c>
      <c r="F2072" s="5">
        <f t="shared" si="268"/>
        <v>0.76212121212121209</v>
      </c>
      <c r="G2072" s="5">
        <v>0.82199999999999995</v>
      </c>
      <c r="H2072" s="4">
        <f>59.4/1440</f>
        <v>4.1250000000000002E-2</v>
      </c>
      <c r="I2072" s="5">
        <v>9.7000000000000003E-2</v>
      </c>
      <c r="J2072" s="11" t="s">
        <v>2780</v>
      </c>
    </row>
    <row r="2073" spans="1:10" ht="13.15" customHeight="1" x14ac:dyDescent="0.25">
      <c r="A2073">
        <f t="shared" ref="A2073:A2136" si="269">A2072+1</f>
        <v>2068</v>
      </c>
      <c r="B2073" t="s">
        <v>2782</v>
      </c>
      <c r="C2073" s="2">
        <v>0.47083333333333333</v>
      </c>
      <c r="D2073" s="4">
        <f t="shared" si="267"/>
        <v>0.10694444444444445</v>
      </c>
      <c r="E2073" s="6">
        <v>0.36388888888888887</v>
      </c>
      <c r="F2073" s="5">
        <f t="shared" si="268"/>
        <v>0.77286135693215341</v>
      </c>
      <c r="G2073" s="5">
        <v>0.89600000000000002</v>
      </c>
      <c r="H2073" s="4">
        <f>63.7/1440</f>
        <v>4.4236111111111115E-2</v>
      </c>
      <c r="I2073" s="5">
        <v>0.109</v>
      </c>
      <c r="J2073" s="11" t="s">
        <v>2780</v>
      </c>
    </row>
    <row r="2074" spans="1:10" ht="13.15" customHeight="1" x14ac:dyDescent="0.25">
      <c r="A2074">
        <f t="shared" si="269"/>
        <v>2069</v>
      </c>
      <c r="B2074" t="s">
        <v>2783</v>
      </c>
      <c r="C2074" s="2">
        <v>0.50347222222222221</v>
      </c>
      <c r="D2074" s="4">
        <f t="shared" si="267"/>
        <v>0.13611111111111107</v>
      </c>
      <c r="E2074" s="6">
        <v>0.36736111111111114</v>
      </c>
      <c r="F2074" s="5">
        <f t="shared" si="268"/>
        <v>0.72965517241379318</v>
      </c>
      <c r="G2074" s="5">
        <v>0.81499999999999995</v>
      </c>
      <c r="H2074" s="4">
        <f>58/1440</f>
        <v>4.027777777777778E-2</v>
      </c>
      <c r="I2074" s="5">
        <v>8.8999999999999996E-2</v>
      </c>
      <c r="J2074" s="11" t="s">
        <v>2780</v>
      </c>
    </row>
    <row r="2075" spans="1:10" ht="13.15" customHeight="1" x14ac:dyDescent="0.25">
      <c r="A2075">
        <f t="shared" si="269"/>
        <v>2070</v>
      </c>
      <c r="B2075" t="s">
        <v>2784</v>
      </c>
      <c r="C2075" s="2">
        <v>0.46458333333333335</v>
      </c>
      <c r="D2075" s="4">
        <f t="shared" si="267"/>
        <v>0.14305555555555555</v>
      </c>
      <c r="E2075" s="6">
        <v>0.3215277777777778</v>
      </c>
      <c r="F2075" s="5">
        <f t="shared" si="268"/>
        <v>0.69207772795216749</v>
      </c>
      <c r="G2075" s="5">
        <v>0.73299999999999998</v>
      </c>
      <c r="H2075" s="4">
        <f>58.9/1440</f>
        <v>4.0902777777777774E-2</v>
      </c>
      <c r="I2075" s="5">
        <v>9.2999999999999999E-2</v>
      </c>
      <c r="J2075" s="11" t="s">
        <v>2780</v>
      </c>
    </row>
    <row r="2076" spans="1:10" ht="13.15" customHeight="1" x14ac:dyDescent="0.25">
      <c r="A2076">
        <f t="shared" si="269"/>
        <v>2071</v>
      </c>
      <c r="B2076" t="s">
        <v>2785</v>
      </c>
      <c r="C2076" s="2">
        <v>0.46666666666666667</v>
      </c>
      <c r="D2076" s="4">
        <f t="shared" si="267"/>
        <v>0.11180555555555555</v>
      </c>
      <c r="E2076" s="6">
        <v>0.35486111111111113</v>
      </c>
      <c r="F2076" s="5">
        <f t="shared" si="268"/>
        <v>0.76041666666666674</v>
      </c>
      <c r="G2076" s="5">
        <v>0.879</v>
      </c>
      <c r="H2076" s="4">
        <f>67.8/1440</f>
        <v>4.7083333333333331E-2</v>
      </c>
      <c r="I2076" s="5">
        <v>0.11600000000000001</v>
      </c>
      <c r="J2076" s="11" t="s">
        <v>2780</v>
      </c>
    </row>
    <row r="2077" spans="1:10" ht="13.15" customHeight="1" x14ac:dyDescent="0.25">
      <c r="A2077">
        <f t="shared" si="269"/>
        <v>2072</v>
      </c>
      <c r="B2077" t="s">
        <v>2786</v>
      </c>
      <c r="C2077" s="2">
        <v>0.49583333333333335</v>
      </c>
      <c r="D2077" s="4">
        <f t="shared" si="267"/>
        <v>0.11527777777777781</v>
      </c>
      <c r="E2077" s="6">
        <v>0.38055555555555554</v>
      </c>
      <c r="F2077" s="5">
        <f t="shared" si="268"/>
        <v>0.76750700280112039</v>
      </c>
      <c r="G2077" s="5">
        <v>1</v>
      </c>
      <c r="H2077" s="4">
        <f>69/1440</f>
        <v>4.791666666666667E-2</v>
      </c>
      <c r="I2077" s="5">
        <v>0.126</v>
      </c>
      <c r="J2077" s="11" t="s">
        <v>2787</v>
      </c>
    </row>
    <row r="2078" spans="1:10" ht="13.15" customHeight="1" x14ac:dyDescent="0.25">
      <c r="A2078">
        <f t="shared" si="269"/>
        <v>2073</v>
      </c>
      <c r="B2078" t="s">
        <v>2788</v>
      </c>
      <c r="C2078" s="2">
        <v>0.48541666666666666</v>
      </c>
      <c r="D2078" s="4">
        <f t="shared" si="267"/>
        <v>0.10625000000000001</v>
      </c>
      <c r="E2078" s="6">
        <v>0.37916666666666665</v>
      </c>
      <c r="F2078" s="5">
        <f t="shared" si="268"/>
        <v>0.7811158798283262</v>
      </c>
      <c r="G2078" s="5">
        <v>1</v>
      </c>
      <c r="H2078" s="4">
        <f>81.6/1440</f>
        <v>5.6666666666666664E-2</v>
      </c>
      <c r="I2078" s="5">
        <v>0.14899999999999999</v>
      </c>
      <c r="J2078" s="11" t="s">
        <v>2787</v>
      </c>
    </row>
    <row r="2079" spans="1:10" ht="13.15" customHeight="1" x14ac:dyDescent="0.25">
      <c r="A2079">
        <f t="shared" si="269"/>
        <v>2074</v>
      </c>
      <c r="B2079" t="s">
        <v>2789</v>
      </c>
      <c r="C2079" s="2">
        <v>0.52638888888888891</v>
      </c>
      <c r="D2079" s="4">
        <f t="shared" si="267"/>
        <v>0.11875000000000002</v>
      </c>
      <c r="E2079" s="6">
        <v>0.40763888888888888</v>
      </c>
      <c r="F2079" s="5">
        <f t="shared" si="268"/>
        <v>0.77440633245382584</v>
      </c>
      <c r="G2079" s="5">
        <v>1</v>
      </c>
      <c r="H2079" s="4">
        <f>78.2/1440</f>
        <v>5.4305555555555558E-2</v>
      </c>
      <c r="I2079" s="5">
        <v>0.13300000000000001</v>
      </c>
      <c r="J2079" s="11" t="s">
        <v>2787</v>
      </c>
    </row>
    <row r="2080" spans="1:10" ht="13.15" customHeight="1" x14ac:dyDescent="0.25">
      <c r="A2080">
        <f t="shared" si="269"/>
        <v>2075</v>
      </c>
      <c r="B2080" t="s">
        <v>2790</v>
      </c>
      <c r="C2080" s="2">
        <v>0.49861111111111112</v>
      </c>
      <c r="D2080" s="4">
        <f t="shared" si="267"/>
        <v>0.11805555555555558</v>
      </c>
      <c r="E2080" s="6">
        <v>0.38055555555555554</v>
      </c>
      <c r="F2080" s="5">
        <f t="shared" si="268"/>
        <v>0.76323119777158765</v>
      </c>
      <c r="G2080" s="5">
        <v>1</v>
      </c>
      <c r="H2080" s="4">
        <f>80.1/1440</f>
        <v>5.5624999999999994E-2</v>
      </c>
      <c r="I2080" s="5">
        <v>0.14599999999999999</v>
      </c>
      <c r="J2080" s="11" t="s">
        <v>2787</v>
      </c>
    </row>
    <row r="2081" spans="1:10" ht="13.15" customHeight="1" x14ac:dyDescent="0.25">
      <c r="A2081">
        <f t="shared" si="269"/>
        <v>2076</v>
      </c>
      <c r="B2081" t="s">
        <v>2791</v>
      </c>
      <c r="C2081" s="2">
        <v>0.48402777777777778</v>
      </c>
      <c r="D2081" s="4">
        <f t="shared" si="267"/>
        <v>0.11527777777777776</v>
      </c>
      <c r="E2081" s="6">
        <v>0.36875000000000002</v>
      </c>
      <c r="F2081" s="5">
        <f t="shared" si="268"/>
        <v>0.76183644189383071</v>
      </c>
      <c r="G2081" s="5">
        <v>1</v>
      </c>
      <c r="H2081" s="4">
        <f>67.5/1440</f>
        <v>4.6875E-2</v>
      </c>
      <c r="I2081" s="5">
        <v>0.127</v>
      </c>
      <c r="J2081" s="11" t="s">
        <v>2787</v>
      </c>
    </row>
    <row r="2082" spans="1:10" ht="13.15" customHeight="1" x14ac:dyDescent="0.25">
      <c r="A2082">
        <f t="shared" si="269"/>
        <v>2077</v>
      </c>
      <c r="B2082" t="s">
        <v>2792</v>
      </c>
      <c r="C2082" s="2">
        <v>0.48819444444444443</v>
      </c>
      <c r="D2082" s="4">
        <f t="shared" si="267"/>
        <v>0.1159722222222222</v>
      </c>
      <c r="E2082" s="6">
        <v>0.37222222222222223</v>
      </c>
      <c r="F2082" s="5">
        <f t="shared" si="268"/>
        <v>0.76244665718349935</v>
      </c>
      <c r="G2082" s="5">
        <v>1</v>
      </c>
      <c r="H2082" s="4">
        <f>74.4/1440</f>
        <v>5.1666666666666673E-2</v>
      </c>
      <c r="I2082" s="5">
        <v>0.13900000000000001</v>
      </c>
      <c r="J2082" s="11" t="s">
        <v>2793</v>
      </c>
    </row>
    <row r="2083" spans="1:10" ht="13.15" customHeight="1" x14ac:dyDescent="0.25">
      <c r="A2083">
        <f t="shared" si="269"/>
        <v>2078</v>
      </c>
      <c r="B2083" t="s">
        <v>2794</v>
      </c>
      <c r="C2083" s="2">
        <v>0.46805555555555556</v>
      </c>
      <c r="D2083" s="4">
        <f t="shared" si="267"/>
        <v>0.11319444444444443</v>
      </c>
      <c r="E2083" s="6">
        <v>0.35486111111111113</v>
      </c>
      <c r="F2083" s="5">
        <f t="shared" si="268"/>
        <v>0.75816023738872407</v>
      </c>
      <c r="G2083" s="5">
        <v>1</v>
      </c>
      <c r="H2083" s="4">
        <f>75.5/1440</f>
        <v>5.2430555555555557E-2</v>
      </c>
      <c r="I2083" s="5">
        <v>0.14699999999999999</v>
      </c>
      <c r="J2083" s="11" t="s">
        <v>2793</v>
      </c>
    </row>
    <row r="2084" spans="1:10" ht="13.15" customHeight="1" x14ac:dyDescent="0.25">
      <c r="A2084">
        <f t="shared" si="269"/>
        <v>2079</v>
      </c>
      <c r="B2084" t="s">
        <v>2795</v>
      </c>
      <c r="C2084" s="2">
        <v>0.46250000000000002</v>
      </c>
      <c r="D2084" s="4">
        <f t="shared" si="267"/>
        <v>0.10416666666666669</v>
      </c>
      <c r="E2084" s="6">
        <v>0.35833333333333334</v>
      </c>
      <c r="F2084" s="5">
        <f t="shared" si="268"/>
        <v>0.77477477477477474</v>
      </c>
      <c r="G2084" s="5">
        <v>1</v>
      </c>
      <c r="H2084" s="4">
        <f>77.5/1440</f>
        <v>5.3819444444444448E-2</v>
      </c>
      <c r="I2084" s="5">
        <v>0.156</v>
      </c>
      <c r="J2084" s="11" t="s">
        <v>2793</v>
      </c>
    </row>
    <row r="2085" spans="1:10" ht="13.15" customHeight="1" x14ac:dyDescent="0.25">
      <c r="A2085">
        <f t="shared" si="269"/>
        <v>2080</v>
      </c>
      <c r="B2085" t="s">
        <v>2796</v>
      </c>
      <c r="C2085" s="2">
        <v>0.52500000000000002</v>
      </c>
      <c r="D2085" s="4">
        <f t="shared" si="267"/>
        <v>0.11805555555555558</v>
      </c>
      <c r="E2085" s="6">
        <v>0.40694444444444444</v>
      </c>
      <c r="F2085" s="5">
        <f t="shared" si="268"/>
        <v>0.77513227513227512</v>
      </c>
      <c r="G2085" s="5">
        <v>1</v>
      </c>
      <c r="H2085" s="4">
        <f>82.4/1440</f>
        <v>5.7222222222222223E-2</v>
      </c>
      <c r="I2085" s="5">
        <v>0.14099999999999999</v>
      </c>
      <c r="J2085" s="11" t="s">
        <v>2793</v>
      </c>
    </row>
    <row r="2086" spans="1:10" ht="13.15" customHeight="1" x14ac:dyDescent="0.25">
      <c r="A2086">
        <f t="shared" si="269"/>
        <v>2081</v>
      </c>
      <c r="B2086" t="s">
        <v>2797</v>
      </c>
      <c r="C2086" s="2">
        <v>0.44166666666666665</v>
      </c>
      <c r="D2086" s="4">
        <f t="shared" si="267"/>
        <v>0.1159722222222222</v>
      </c>
      <c r="E2086" s="6">
        <v>0.32569444444444445</v>
      </c>
      <c r="F2086" s="5">
        <f t="shared" si="268"/>
        <v>0.73742138364779874</v>
      </c>
      <c r="G2086" s="5">
        <v>1</v>
      </c>
      <c r="H2086" s="4">
        <f>81.5/1440</f>
        <v>5.6597222222222222E-2</v>
      </c>
      <c r="I2086" s="5">
        <v>0.17299999999999999</v>
      </c>
      <c r="J2086" s="11" t="s">
        <v>2793</v>
      </c>
    </row>
    <row r="2087" spans="1:10" ht="13.15" customHeight="1" x14ac:dyDescent="0.25">
      <c r="A2087">
        <f t="shared" si="269"/>
        <v>2082</v>
      </c>
      <c r="B2087" t="s">
        <v>2798</v>
      </c>
      <c r="C2087" s="2">
        <v>0.51041666666666663</v>
      </c>
      <c r="D2087" s="4">
        <f t="shared" si="267"/>
        <v>0.10833333333333328</v>
      </c>
      <c r="E2087" s="6">
        <v>0.40208333333333335</v>
      </c>
      <c r="F2087" s="5">
        <f t="shared" si="268"/>
        <v>0.78775510204081645</v>
      </c>
      <c r="G2087" s="5">
        <v>1</v>
      </c>
      <c r="H2087" s="4">
        <f>77/1440</f>
        <v>5.347222222222222E-2</v>
      </c>
      <c r="I2087" s="5">
        <v>0.13300000000000001</v>
      </c>
      <c r="J2087" s="11" t="s">
        <v>2799</v>
      </c>
    </row>
    <row r="2088" spans="1:10" ht="13.15" customHeight="1" x14ac:dyDescent="0.25">
      <c r="A2088">
        <f t="shared" si="269"/>
        <v>2083</v>
      </c>
      <c r="B2088" t="s">
        <v>2800</v>
      </c>
      <c r="C2088" s="2">
        <v>0.4909722222222222</v>
      </c>
      <c r="D2088" s="4">
        <f t="shared" si="267"/>
        <v>0.11041666666666666</v>
      </c>
      <c r="E2088" s="6">
        <v>0.38055555555555554</v>
      </c>
      <c r="F2088" s="5">
        <f t="shared" si="268"/>
        <v>0.77510608203677511</v>
      </c>
      <c r="G2088" s="5">
        <v>1</v>
      </c>
      <c r="H2088" s="4">
        <f>75/1440</f>
        <v>5.2083333333333336E-2</v>
      </c>
      <c r="I2088" s="5">
        <v>0.13700000000000001</v>
      </c>
      <c r="J2088" s="11" t="s">
        <v>2799</v>
      </c>
    </row>
    <row r="2089" spans="1:10" ht="13.15" customHeight="1" x14ac:dyDescent="0.25">
      <c r="A2089">
        <f t="shared" si="269"/>
        <v>2084</v>
      </c>
      <c r="B2089" t="s">
        <v>2801</v>
      </c>
      <c r="C2089" s="2">
        <v>0.55694444444444446</v>
      </c>
      <c r="D2089" s="4">
        <f t="shared" si="267"/>
        <v>0.10416666666666669</v>
      </c>
      <c r="E2089" s="6">
        <v>0.45277777777777778</v>
      </c>
      <c r="F2089" s="5">
        <f t="shared" si="268"/>
        <v>0.81296758104738154</v>
      </c>
      <c r="G2089" s="5">
        <v>1</v>
      </c>
      <c r="H2089" s="4">
        <f>86.7/1440</f>
        <v>6.0208333333333336E-2</v>
      </c>
      <c r="I2089" s="5">
        <v>0.13300000000000001</v>
      </c>
      <c r="J2089" s="11" t="s">
        <v>2799</v>
      </c>
    </row>
    <row r="2090" spans="1:10" ht="13.15" customHeight="1" x14ac:dyDescent="0.25">
      <c r="A2090">
        <f t="shared" si="269"/>
        <v>2085</v>
      </c>
      <c r="B2090" t="s">
        <v>2802</v>
      </c>
      <c r="C2090" s="2">
        <v>0.48749999999999999</v>
      </c>
      <c r="D2090" s="4">
        <f t="shared" si="267"/>
        <v>0.12152777777777779</v>
      </c>
      <c r="E2090" s="6">
        <v>0.3659722222222222</v>
      </c>
      <c r="F2090" s="5">
        <f t="shared" si="268"/>
        <v>0.75071225071225067</v>
      </c>
      <c r="G2090" s="5">
        <v>1</v>
      </c>
      <c r="H2090" s="4">
        <f>71.8/1440</f>
        <v>4.9861111111111106E-2</v>
      </c>
      <c r="I2090" s="5">
        <v>0.13600000000000001</v>
      </c>
      <c r="J2090" s="11" t="s">
        <v>2799</v>
      </c>
    </row>
    <row r="2091" spans="1:10" ht="13.15" customHeight="1" x14ac:dyDescent="0.25">
      <c r="A2091">
        <f t="shared" si="269"/>
        <v>2086</v>
      </c>
      <c r="B2091" t="s">
        <v>2803</v>
      </c>
      <c r="C2091" s="2">
        <v>0.43888888888888888</v>
      </c>
      <c r="D2091" s="4">
        <f t="shared" si="267"/>
        <v>0.11458333333333331</v>
      </c>
      <c r="E2091" s="6">
        <v>0.32430555555555557</v>
      </c>
      <c r="F2091" s="5">
        <f t="shared" si="268"/>
        <v>0.73892405063291144</v>
      </c>
      <c r="G2091" s="5">
        <v>1</v>
      </c>
      <c r="H2091" s="4">
        <f>64.6/1440</f>
        <v>4.4861111111111109E-2</v>
      </c>
      <c r="I2091" s="5">
        <v>0.13800000000000001</v>
      </c>
      <c r="J2091" s="11" t="s">
        <v>2799</v>
      </c>
    </row>
    <row r="2092" spans="1:10" ht="13.15" customHeight="1" x14ac:dyDescent="0.25">
      <c r="A2092">
        <f t="shared" si="269"/>
        <v>2087</v>
      </c>
      <c r="B2092" t="s">
        <v>2804</v>
      </c>
      <c r="C2092" s="2">
        <v>0.42152777777777778</v>
      </c>
      <c r="D2092" s="4">
        <f t="shared" si="267"/>
        <v>9.722222222222221E-2</v>
      </c>
      <c r="E2092" s="6">
        <v>0.32430555555555557</v>
      </c>
      <c r="F2092" s="5">
        <f t="shared" si="268"/>
        <v>0.76935749588138391</v>
      </c>
      <c r="G2092" s="5">
        <v>1</v>
      </c>
      <c r="H2092" s="4">
        <f>75.2/1440</f>
        <v>5.2222222222222225E-2</v>
      </c>
      <c r="I2092" s="5">
        <v>0.161</v>
      </c>
      <c r="J2092" s="11" t="s">
        <v>2805</v>
      </c>
    </row>
    <row r="2093" spans="1:10" ht="13.15" customHeight="1" x14ac:dyDescent="0.25">
      <c r="A2093">
        <f t="shared" si="269"/>
        <v>2088</v>
      </c>
      <c r="B2093" t="s">
        <v>2806</v>
      </c>
      <c r="C2093" s="2">
        <v>0.53125</v>
      </c>
      <c r="D2093" s="4">
        <f t="shared" si="267"/>
        <v>0.11319444444444443</v>
      </c>
      <c r="E2093" s="6">
        <v>0.41805555555555557</v>
      </c>
      <c r="F2093" s="5">
        <f t="shared" si="268"/>
        <v>0.78692810457516338</v>
      </c>
      <c r="G2093" s="5">
        <v>1</v>
      </c>
      <c r="H2093" s="4">
        <f>87.7/1440</f>
        <v>6.0902777777777778E-2</v>
      </c>
      <c r="I2093" s="5">
        <v>0.14599999999999999</v>
      </c>
      <c r="J2093" s="11" t="s">
        <v>2805</v>
      </c>
    </row>
    <row r="2094" spans="1:10" ht="13.15" customHeight="1" x14ac:dyDescent="0.25">
      <c r="A2094">
        <f t="shared" si="269"/>
        <v>2089</v>
      </c>
      <c r="B2094" t="s">
        <v>2807</v>
      </c>
      <c r="C2094" s="2">
        <v>0.44861111111111113</v>
      </c>
      <c r="D2094" s="4">
        <f t="shared" si="267"/>
        <v>0.10138888888888892</v>
      </c>
      <c r="E2094" s="6">
        <v>0.34722222222222221</v>
      </c>
      <c r="F2094" s="5">
        <f t="shared" si="268"/>
        <v>0.77399380804953555</v>
      </c>
      <c r="G2094" s="5">
        <v>1</v>
      </c>
      <c r="H2094" s="4">
        <f>77.3/1440</f>
        <v>5.3680555555555551E-2</v>
      </c>
      <c r="I2094" s="5">
        <v>0.154</v>
      </c>
      <c r="J2094" s="11" t="s">
        <v>2805</v>
      </c>
    </row>
    <row r="2095" spans="1:10" ht="13.15" customHeight="1" x14ac:dyDescent="0.25">
      <c r="A2095">
        <f t="shared" si="269"/>
        <v>2090</v>
      </c>
      <c r="B2095" t="s">
        <v>2808</v>
      </c>
      <c r="C2095" s="2">
        <v>0.51111111111111107</v>
      </c>
      <c r="D2095" s="4">
        <f t="shared" si="267"/>
        <v>0.11041666666666661</v>
      </c>
      <c r="E2095" s="6">
        <v>0.40069444444444446</v>
      </c>
      <c r="F2095" s="5">
        <f t="shared" si="268"/>
        <v>0.78396739130434789</v>
      </c>
      <c r="G2095" s="5">
        <v>1</v>
      </c>
      <c r="H2095" s="4">
        <f>82/1440</f>
        <v>5.6944444444444443E-2</v>
      </c>
      <c r="I2095" s="5">
        <v>0.14199999999999999</v>
      </c>
      <c r="J2095" s="11" t="s">
        <v>2805</v>
      </c>
    </row>
    <row r="2096" spans="1:10" ht="13.15" customHeight="1" x14ac:dyDescent="0.25">
      <c r="A2096">
        <f t="shared" si="269"/>
        <v>2091</v>
      </c>
      <c r="B2096" t="s">
        <v>2809</v>
      </c>
      <c r="C2096" s="2">
        <v>0.48680555555555555</v>
      </c>
      <c r="D2096" s="4">
        <f t="shared" si="267"/>
        <v>9.5833333333333326E-2</v>
      </c>
      <c r="E2096" s="6">
        <v>0.39097222222222222</v>
      </c>
      <c r="F2096" s="5">
        <f t="shared" si="268"/>
        <v>0.80313837375178321</v>
      </c>
      <c r="G2096" s="5">
        <v>1</v>
      </c>
      <c r="H2096" s="4">
        <f>93.9/1440</f>
        <v>6.520833333333334E-2</v>
      </c>
      <c r="I2096" s="5">
        <v>0.16700000000000001</v>
      </c>
      <c r="J2096" s="11" t="s">
        <v>2805</v>
      </c>
    </row>
    <row r="2097" spans="1:10" ht="13.15" customHeight="1" x14ac:dyDescent="0.25">
      <c r="A2097">
        <f t="shared" si="269"/>
        <v>2092</v>
      </c>
      <c r="B2097" t="s">
        <v>2810</v>
      </c>
      <c r="C2097" s="2">
        <v>0.40694444444444444</v>
      </c>
      <c r="D2097" s="4">
        <f t="shared" ref="D2097:D2125" si="270">C2097-E2097</f>
        <v>9.9305555555555536E-2</v>
      </c>
      <c r="E2097" s="6">
        <v>0.30763888888888891</v>
      </c>
      <c r="F2097" s="5">
        <f t="shared" ref="F2097:F2125" si="271">E2097/C2097</f>
        <v>0.75597269624573382</v>
      </c>
      <c r="G2097" s="5">
        <v>1</v>
      </c>
      <c r="H2097" s="4">
        <f>65/1440</f>
        <v>4.5138888888888888E-2</v>
      </c>
      <c r="I2097" s="5">
        <v>0.14699999999999999</v>
      </c>
      <c r="J2097" s="11" t="s">
        <v>2820</v>
      </c>
    </row>
    <row r="2098" spans="1:10" ht="13.15" customHeight="1" x14ac:dyDescent="0.25">
      <c r="A2098">
        <f t="shared" si="269"/>
        <v>2093</v>
      </c>
      <c r="B2098" t="s">
        <v>2811</v>
      </c>
      <c r="C2098" s="2">
        <v>0.43819444444444444</v>
      </c>
      <c r="D2098" s="4">
        <f t="shared" si="270"/>
        <v>0.10555555555555557</v>
      </c>
      <c r="E2098" s="6">
        <v>0.33263888888888887</v>
      </c>
      <c r="F2098" s="5">
        <f t="shared" si="271"/>
        <v>0.75911251980982564</v>
      </c>
      <c r="G2098" s="5">
        <v>1</v>
      </c>
      <c r="H2098" s="4">
        <f>80.9/1440</f>
        <v>5.618055555555556E-2</v>
      </c>
      <c r="I2098" s="5">
        <v>0.16900000000000001</v>
      </c>
      <c r="J2098" s="11" t="s">
        <v>2820</v>
      </c>
    </row>
    <row r="2099" spans="1:10" ht="13.15" customHeight="1" x14ac:dyDescent="0.25">
      <c r="A2099">
        <f t="shared" si="269"/>
        <v>2094</v>
      </c>
      <c r="B2099" t="s">
        <v>2812</v>
      </c>
      <c r="C2099" s="2">
        <v>0.375</v>
      </c>
      <c r="D2099" s="4">
        <f t="shared" si="270"/>
        <v>9.4444444444444442E-2</v>
      </c>
      <c r="E2099" s="6">
        <v>0.28055555555555556</v>
      </c>
      <c r="F2099" s="5">
        <f t="shared" si="271"/>
        <v>0.74814814814814812</v>
      </c>
      <c r="G2099" s="5">
        <v>1</v>
      </c>
      <c r="H2099" s="4">
        <f>69.7/1440</f>
        <v>4.8402777777777781E-2</v>
      </c>
      <c r="I2099" s="5">
        <v>0.17199999999999999</v>
      </c>
      <c r="J2099" s="11" t="s">
        <v>2820</v>
      </c>
    </row>
    <row r="2100" spans="1:10" ht="13.15" customHeight="1" x14ac:dyDescent="0.25">
      <c r="A2100">
        <f t="shared" si="269"/>
        <v>2095</v>
      </c>
      <c r="B2100" t="s">
        <v>2813</v>
      </c>
      <c r="C2100" s="2">
        <v>0.37013888888888891</v>
      </c>
      <c r="D2100" s="4">
        <f t="shared" si="270"/>
        <v>9.375E-2</v>
      </c>
      <c r="E2100" s="6">
        <v>0.27638888888888891</v>
      </c>
      <c r="F2100" s="5">
        <f t="shared" si="271"/>
        <v>0.74671669793621009</v>
      </c>
      <c r="G2100" s="5">
        <v>1</v>
      </c>
      <c r="H2100" s="4">
        <f>74.2/1440</f>
        <v>5.1527777777777777E-2</v>
      </c>
      <c r="I2100" s="5">
        <v>0.182</v>
      </c>
      <c r="J2100" s="11" t="s">
        <v>2820</v>
      </c>
    </row>
    <row r="2101" spans="1:10" ht="13.15" customHeight="1" x14ac:dyDescent="0.25">
      <c r="A2101">
        <f t="shared" si="269"/>
        <v>2096</v>
      </c>
      <c r="B2101" t="s">
        <v>2814</v>
      </c>
      <c r="C2101" s="2">
        <v>0.41944444444444445</v>
      </c>
      <c r="D2101" s="4">
        <f t="shared" si="270"/>
        <v>0.10555555555555557</v>
      </c>
      <c r="E2101" s="6">
        <v>0.31388888888888888</v>
      </c>
      <c r="F2101" s="5">
        <f t="shared" si="271"/>
        <v>0.74834437086092709</v>
      </c>
      <c r="G2101" s="5">
        <v>1</v>
      </c>
      <c r="H2101" s="4">
        <f>61.1/1440</f>
        <v>4.2430555555555555E-2</v>
      </c>
      <c r="I2101" s="5">
        <v>0.13500000000000001</v>
      </c>
      <c r="J2101" s="11" t="s">
        <v>2820</v>
      </c>
    </row>
    <row r="2102" spans="1:10" ht="13.15" customHeight="1" x14ac:dyDescent="0.25">
      <c r="A2102">
        <f t="shared" si="269"/>
        <v>2097</v>
      </c>
      <c r="B2102" t="s">
        <v>2815</v>
      </c>
      <c r="C2102" s="2">
        <v>0.43263888888888891</v>
      </c>
      <c r="D2102" s="4">
        <f t="shared" si="270"/>
        <v>0.10416666666666669</v>
      </c>
      <c r="E2102" s="6">
        <v>0.32847222222222222</v>
      </c>
      <c r="F2102" s="5">
        <f t="shared" si="271"/>
        <v>0.7592295345104334</v>
      </c>
      <c r="G2102" s="5">
        <v>1</v>
      </c>
      <c r="H2102" s="4">
        <f>64/1440</f>
        <v>4.4444444444444446E-2</v>
      </c>
      <c r="I2102" s="5">
        <v>0.13500000000000001</v>
      </c>
      <c r="J2102" s="11" t="s">
        <v>2821</v>
      </c>
    </row>
    <row r="2103" spans="1:10" ht="13.15" customHeight="1" x14ac:dyDescent="0.25">
      <c r="A2103">
        <f t="shared" si="269"/>
        <v>2098</v>
      </c>
      <c r="B2103" t="s">
        <v>2816</v>
      </c>
      <c r="C2103" s="2">
        <v>0.39444444444444443</v>
      </c>
      <c r="D2103" s="4">
        <f t="shared" si="270"/>
        <v>0.1020833333333333</v>
      </c>
      <c r="E2103" s="6">
        <v>0.29236111111111113</v>
      </c>
      <c r="F2103" s="5">
        <f t="shared" si="271"/>
        <v>0.74119718309859162</v>
      </c>
      <c r="G2103" s="5">
        <v>1</v>
      </c>
      <c r="H2103" s="4">
        <f>63.2/1440</f>
        <v>4.3888888888888894E-2</v>
      </c>
      <c r="I2103" s="5">
        <v>0.15</v>
      </c>
      <c r="J2103" s="11" t="s">
        <v>2821</v>
      </c>
    </row>
    <row r="2104" spans="1:10" ht="13.15" customHeight="1" x14ac:dyDescent="0.25">
      <c r="A2104">
        <f t="shared" si="269"/>
        <v>2099</v>
      </c>
      <c r="B2104" t="s">
        <v>2817</v>
      </c>
      <c r="C2104" s="2">
        <v>0.42569444444444443</v>
      </c>
      <c r="D2104" s="4">
        <f t="shared" si="270"/>
        <v>0.10347222222222219</v>
      </c>
      <c r="E2104" s="6">
        <v>0.32222222222222224</v>
      </c>
      <c r="F2104" s="5">
        <f t="shared" si="271"/>
        <v>0.75693311582381739</v>
      </c>
      <c r="G2104" s="5">
        <v>1</v>
      </c>
      <c r="H2104" s="4">
        <f>66.4/1440</f>
        <v>4.6111111111111117E-2</v>
      </c>
      <c r="I2104" s="5">
        <v>0.14299999999999999</v>
      </c>
      <c r="J2104" s="11" t="s">
        <v>2821</v>
      </c>
    </row>
    <row r="2105" spans="1:10" ht="13.15" customHeight="1" x14ac:dyDescent="0.25">
      <c r="A2105">
        <f t="shared" si="269"/>
        <v>2100</v>
      </c>
      <c r="B2105" t="s">
        <v>2818</v>
      </c>
      <c r="C2105" s="2">
        <v>0.43680555555555556</v>
      </c>
      <c r="D2105" s="4">
        <f t="shared" si="270"/>
        <v>9.6527777777777768E-2</v>
      </c>
      <c r="E2105" s="6">
        <v>0.34027777777777779</v>
      </c>
      <c r="F2105" s="5">
        <f t="shared" si="271"/>
        <v>0.77901430842607311</v>
      </c>
      <c r="G2105" s="5">
        <v>1</v>
      </c>
      <c r="H2105" s="4">
        <f>69/1440</f>
        <v>4.791666666666667E-2</v>
      </c>
      <c r="I2105" s="5">
        <v>0.14099999999999999</v>
      </c>
      <c r="J2105" s="11" t="s">
        <v>2821</v>
      </c>
    </row>
    <row r="2106" spans="1:10" ht="13.15" customHeight="1" x14ac:dyDescent="0.25">
      <c r="A2106">
        <f t="shared" si="269"/>
        <v>2101</v>
      </c>
      <c r="B2106" t="s">
        <v>2819</v>
      </c>
      <c r="C2106" s="2">
        <v>0.4284722222222222</v>
      </c>
      <c r="D2106" s="4">
        <f t="shared" si="270"/>
        <v>0.10347222222222219</v>
      </c>
      <c r="E2106" s="6">
        <v>0.32500000000000001</v>
      </c>
      <c r="F2106" s="5">
        <f t="shared" si="271"/>
        <v>0.75850891410048626</v>
      </c>
      <c r="G2106" s="5">
        <v>1</v>
      </c>
      <c r="H2106" s="4">
        <f>76.5/1440</f>
        <v>5.3124999999999999E-2</v>
      </c>
      <c r="I2106" s="5">
        <v>0.16300000000000001</v>
      </c>
      <c r="J2106" s="11" t="s">
        <v>2821</v>
      </c>
    </row>
    <row r="2107" spans="1:10" ht="13.15" customHeight="1" x14ac:dyDescent="0.25">
      <c r="A2107">
        <f t="shared" si="269"/>
        <v>2102</v>
      </c>
      <c r="B2107" t="s">
        <v>2822</v>
      </c>
      <c r="C2107" s="2">
        <v>0.47986111111111113</v>
      </c>
      <c r="D2107" s="4">
        <f t="shared" si="270"/>
        <v>0.13333333333333336</v>
      </c>
      <c r="E2107" s="6">
        <v>0.34652777777777777</v>
      </c>
      <c r="F2107" s="5">
        <f t="shared" si="271"/>
        <v>0.72214182344428357</v>
      </c>
      <c r="G2107" s="5">
        <v>0.82199999999999995</v>
      </c>
      <c r="H2107" s="4">
        <f>54.6/1440</f>
        <v>3.7916666666666668E-2</v>
      </c>
      <c r="I2107" s="5">
        <v>0.09</v>
      </c>
      <c r="J2107" s="11" t="s">
        <v>2827</v>
      </c>
    </row>
    <row r="2108" spans="1:10" ht="13.15" customHeight="1" x14ac:dyDescent="0.25">
      <c r="A2108">
        <f t="shared" si="269"/>
        <v>2103</v>
      </c>
      <c r="B2108" t="s">
        <v>2823</v>
      </c>
      <c r="C2108" s="2">
        <v>0.45069444444444445</v>
      </c>
      <c r="D2108" s="4">
        <f t="shared" si="270"/>
        <v>0.11180555555555555</v>
      </c>
      <c r="E2108" s="6">
        <v>0.33888888888888891</v>
      </c>
      <c r="F2108" s="5">
        <f t="shared" si="271"/>
        <v>0.75192604006163333</v>
      </c>
      <c r="G2108" s="5">
        <v>0.81599999999999995</v>
      </c>
      <c r="H2108" s="4">
        <f>53.9/1440</f>
        <v>3.7430555555555557E-2</v>
      </c>
      <c r="I2108" s="5">
        <v>0.09</v>
      </c>
      <c r="J2108" s="11" t="s">
        <v>2827</v>
      </c>
    </row>
    <row r="2109" spans="1:10" ht="13.15" customHeight="1" x14ac:dyDescent="0.25">
      <c r="A2109">
        <f t="shared" si="269"/>
        <v>2104</v>
      </c>
      <c r="B2109" t="s">
        <v>2824</v>
      </c>
      <c r="C2109" s="2">
        <v>0.50694444444444442</v>
      </c>
      <c r="D2109" s="4">
        <f t="shared" si="270"/>
        <v>0.12986111111111109</v>
      </c>
      <c r="E2109" s="6">
        <v>0.37708333333333333</v>
      </c>
      <c r="F2109" s="5">
        <f t="shared" si="271"/>
        <v>0.74383561643835616</v>
      </c>
      <c r="G2109" s="5">
        <v>0.86599999999999999</v>
      </c>
      <c r="H2109" s="4">
        <f>74.1/1440</f>
        <v>5.1458333333333328E-2</v>
      </c>
      <c r="I2109" s="5">
        <v>0.11799999999999999</v>
      </c>
      <c r="J2109" s="11" t="s">
        <v>2827</v>
      </c>
    </row>
    <row r="2110" spans="1:10" ht="13.15" customHeight="1" x14ac:dyDescent="0.25">
      <c r="A2110">
        <f t="shared" si="269"/>
        <v>2105</v>
      </c>
      <c r="B2110" t="s">
        <v>2825</v>
      </c>
      <c r="C2110" s="2">
        <v>0.46458333333333335</v>
      </c>
      <c r="D2110" s="4">
        <f t="shared" si="270"/>
        <v>0.14027777777777778</v>
      </c>
      <c r="E2110" s="6">
        <v>0.32430555555555557</v>
      </c>
      <c r="F2110" s="5">
        <f t="shared" si="271"/>
        <v>0.6980568011958147</v>
      </c>
      <c r="G2110" s="5">
        <v>0.84399999999999997</v>
      </c>
      <c r="H2110" s="4">
        <f>54.8/1440</f>
        <v>3.8055555555555551E-2</v>
      </c>
      <c r="I2110" s="5">
        <v>9.9000000000000005E-2</v>
      </c>
      <c r="J2110" s="11" t="s">
        <v>2827</v>
      </c>
    </row>
    <row r="2111" spans="1:10" ht="13.15" customHeight="1" x14ac:dyDescent="0.25">
      <c r="A2111">
        <f t="shared" si="269"/>
        <v>2106</v>
      </c>
      <c r="B2111" t="s">
        <v>2826</v>
      </c>
      <c r="C2111" s="2">
        <v>0.4548611111111111</v>
      </c>
      <c r="D2111" s="4">
        <f t="shared" si="270"/>
        <v>0.10694444444444445</v>
      </c>
      <c r="E2111" s="6">
        <v>0.34791666666666665</v>
      </c>
      <c r="F2111" s="5">
        <f t="shared" si="271"/>
        <v>0.76488549618320612</v>
      </c>
      <c r="G2111" s="5">
        <v>0.81599999999999995</v>
      </c>
      <c r="H2111" s="4">
        <f>56.9/1440</f>
        <v>3.951388888888889E-2</v>
      </c>
      <c r="I2111" s="5">
        <v>9.2999999999999999E-2</v>
      </c>
      <c r="J2111" s="11" t="s">
        <v>2827</v>
      </c>
    </row>
    <row r="2112" spans="1:10" ht="13.15" customHeight="1" x14ac:dyDescent="0.25">
      <c r="A2112">
        <f t="shared" si="269"/>
        <v>2107</v>
      </c>
      <c r="B2112" t="s">
        <v>2828</v>
      </c>
      <c r="C2112" s="2">
        <v>0.38055555555555554</v>
      </c>
      <c r="D2112" s="4">
        <f t="shared" si="270"/>
        <v>9.8611111111111094E-2</v>
      </c>
      <c r="E2112" s="6">
        <v>0.28194444444444444</v>
      </c>
      <c r="F2112" s="5">
        <f t="shared" si="271"/>
        <v>0.74087591240875916</v>
      </c>
      <c r="G2112" s="5">
        <v>0.70199999999999996</v>
      </c>
      <c r="H2112" s="4">
        <f>52.8/1440</f>
        <v>3.6666666666666667E-2</v>
      </c>
      <c r="I2112" s="5">
        <v>9.0999999999999998E-2</v>
      </c>
      <c r="J2112" s="11" t="s">
        <v>2833</v>
      </c>
    </row>
    <row r="2113" spans="1:10" ht="13.15" customHeight="1" x14ac:dyDescent="0.25">
      <c r="A2113">
        <f t="shared" si="269"/>
        <v>2108</v>
      </c>
      <c r="B2113" t="s">
        <v>2829</v>
      </c>
      <c r="C2113" s="2">
        <v>0.35833333333333334</v>
      </c>
      <c r="D2113" s="4">
        <f t="shared" si="270"/>
        <v>0.12291666666666667</v>
      </c>
      <c r="E2113" s="6">
        <v>0.23541666666666666</v>
      </c>
      <c r="F2113" s="5">
        <f t="shared" si="271"/>
        <v>0.65697674418604646</v>
      </c>
      <c r="G2113" s="5">
        <v>0.67</v>
      </c>
      <c r="H2113" s="4">
        <f>46.3/1440</f>
        <v>3.2152777777777773E-2</v>
      </c>
      <c r="I2113" s="5">
        <v>9.0999999999999998E-2</v>
      </c>
      <c r="J2113" s="11" t="s">
        <v>2833</v>
      </c>
    </row>
    <row r="2114" spans="1:10" ht="13.15" customHeight="1" x14ac:dyDescent="0.25">
      <c r="A2114">
        <f t="shared" si="269"/>
        <v>2109</v>
      </c>
      <c r="B2114" t="s">
        <v>2830</v>
      </c>
      <c r="C2114" s="2">
        <v>0.35069444444444442</v>
      </c>
      <c r="D2114" s="4">
        <f t="shared" si="270"/>
        <v>0.11180555555555552</v>
      </c>
      <c r="E2114" s="6">
        <v>0.2388888888888889</v>
      </c>
      <c r="F2114" s="5">
        <f t="shared" si="271"/>
        <v>0.68118811881188124</v>
      </c>
      <c r="G2114" s="5">
        <v>0.67900000000000005</v>
      </c>
      <c r="H2114" s="4">
        <f>46.5/1440</f>
        <v>3.229166666666667E-2</v>
      </c>
      <c r="I2114" s="5">
        <v>9.1999999999999998E-2</v>
      </c>
      <c r="J2114" s="11" t="s">
        <v>2833</v>
      </c>
    </row>
    <row r="2115" spans="1:10" ht="13.15" customHeight="1" x14ac:dyDescent="0.25">
      <c r="A2115">
        <f t="shared" si="269"/>
        <v>2110</v>
      </c>
      <c r="B2115" t="s">
        <v>2831</v>
      </c>
      <c r="C2115" s="2">
        <v>0.35555555555555557</v>
      </c>
      <c r="D2115" s="4">
        <f t="shared" si="270"/>
        <v>0.12222222222222223</v>
      </c>
      <c r="E2115" s="6">
        <v>0.23333333333333334</v>
      </c>
      <c r="F2115" s="5">
        <f t="shared" si="271"/>
        <v>0.65625</v>
      </c>
      <c r="G2115" s="5">
        <v>0.66100000000000003</v>
      </c>
      <c r="H2115" s="4">
        <f>46.1/1440</f>
        <v>3.201388888888889E-2</v>
      </c>
      <c r="I2115" s="5">
        <v>9.0999999999999998E-2</v>
      </c>
      <c r="J2115" s="11" t="s">
        <v>2833</v>
      </c>
    </row>
    <row r="2116" spans="1:10" ht="13.15" customHeight="1" x14ac:dyDescent="0.25">
      <c r="A2116">
        <f t="shared" si="269"/>
        <v>2111</v>
      </c>
      <c r="B2116" t="s">
        <v>2832</v>
      </c>
      <c r="C2116" s="2">
        <v>0.3923611111111111</v>
      </c>
      <c r="D2116" s="4">
        <f t="shared" si="270"/>
        <v>0.1111111111111111</v>
      </c>
      <c r="E2116" s="6">
        <v>0.28125</v>
      </c>
      <c r="F2116" s="5">
        <f t="shared" si="271"/>
        <v>0.7168141592920354</v>
      </c>
      <c r="G2116" s="5">
        <v>0.754</v>
      </c>
      <c r="H2116" s="4">
        <f>55.9/1440</f>
        <v>3.8819444444444441E-2</v>
      </c>
      <c r="I2116" s="5">
        <v>0.104</v>
      </c>
      <c r="J2116" s="11" t="s">
        <v>2833</v>
      </c>
    </row>
    <row r="2117" spans="1:10" ht="13.15" customHeight="1" x14ac:dyDescent="0.25">
      <c r="A2117">
        <f t="shared" si="269"/>
        <v>2112</v>
      </c>
      <c r="B2117" t="s">
        <v>2834</v>
      </c>
      <c r="C2117" s="2">
        <v>0.43263888888888891</v>
      </c>
      <c r="D2117" s="4">
        <f t="shared" si="270"/>
        <v>0.12916666666666671</v>
      </c>
      <c r="E2117" s="6">
        <v>0.3034722222222222</v>
      </c>
      <c r="F2117" s="5">
        <f t="shared" si="271"/>
        <v>0.70144462279293729</v>
      </c>
      <c r="G2117" s="5">
        <v>0.79600000000000004</v>
      </c>
      <c r="H2117" s="4">
        <f>58.8/1440</f>
        <v>4.0833333333333333E-2</v>
      </c>
      <c r="I2117" s="5">
        <v>0.107</v>
      </c>
      <c r="J2117" s="11" t="s">
        <v>2843</v>
      </c>
    </row>
    <row r="2118" spans="1:10" ht="13.15" customHeight="1" x14ac:dyDescent="0.25">
      <c r="A2118">
        <f t="shared" si="269"/>
        <v>2113</v>
      </c>
      <c r="B2118" t="s">
        <v>2835</v>
      </c>
      <c r="C2118" s="2">
        <v>0.43888888888888888</v>
      </c>
      <c r="D2118" s="4">
        <f t="shared" si="270"/>
        <v>0.12638888888888888</v>
      </c>
      <c r="E2118" s="6">
        <v>0.3125</v>
      </c>
      <c r="F2118" s="5">
        <f t="shared" si="271"/>
        <v>0.71202531645569622</v>
      </c>
      <c r="G2118" s="5">
        <v>0.84499999999999997</v>
      </c>
      <c r="H2118" s="4">
        <f>65.4/1440</f>
        <v>4.5416666666666668E-2</v>
      </c>
      <c r="I2118" s="5">
        <v>0.123</v>
      </c>
      <c r="J2118" s="11" t="s">
        <v>2843</v>
      </c>
    </row>
    <row r="2119" spans="1:10" ht="13.15" customHeight="1" x14ac:dyDescent="0.25">
      <c r="A2119">
        <f t="shared" si="269"/>
        <v>2114</v>
      </c>
      <c r="B2119" t="s">
        <v>2836</v>
      </c>
      <c r="C2119" s="2">
        <v>0.41597222222222224</v>
      </c>
      <c r="D2119" s="4">
        <f t="shared" si="270"/>
        <v>0.12777777777777782</v>
      </c>
      <c r="E2119" s="6">
        <v>0.28819444444444442</v>
      </c>
      <c r="F2119" s="5">
        <f t="shared" si="271"/>
        <v>0.69282136894824697</v>
      </c>
      <c r="G2119" s="5">
        <v>0.76700000000000002</v>
      </c>
      <c r="H2119" s="4">
        <f>54.1/1440</f>
        <v>3.7569444444444447E-2</v>
      </c>
      <c r="I2119" s="5">
        <v>0.1</v>
      </c>
      <c r="J2119" s="11" t="s">
        <v>2843</v>
      </c>
    </row>
    <row r="2120" spans="1:10" ht="13.15" customHeight="1" x14ac:dyDescent="0.25">
      <c r="A2120">
        <f t="shared" si="269"/>
        <v>2115</v>
      </c>
      <c r="B2120" t="s">
        <v>2837</v>
      </c>
      <c r="C2120" s="2">
        <v>0.4152777777777778</v>
      </c>
      <c r="D2120" s="4">
        <f t="shared" si="270"/>
        <v>0.13333333333333336</v>
      </c>
      <c r="E2120" s="6">
        <v>0.28194444444444444</v>
      </c>
      <c r="F2120" s="5">
        <f t="shared" si="271"/>
        <v>0.67892976588628762</v>
      </c>
      <c r="G2120" s="5">
        <v>0.74199999999999999</v>
      </c>
      <c r="H2120" s="4">
        <f>51/1440</f>
        <v>3.5416666666666666E-2</v>
      </c>
      <c r="I2120" s="5">
        <v>9.2999999999999999E-2</v>
      </c>
      <c r="J2120" s="11" t="s">
        <v>2843</v>
      </c>
    </row>
    <row r="2121" spans="1:10" ht="13.15" customHeight="1" x14ac:dyDescent="0.25">
      <c r="A2121">
        <f t="shared" si="269"/>
        <v>2116</v>
      </c>
      <c r="B2121" t="s">
        <v>2838</v>
      </c>
      <c r="C2121" s="2">
        <v>0.42986111111111114</v>
      </c>
      <c r="D2121" s="4">
        <f t="shared" si="270"/>
        <v>0.11805555555555558</v>
      </c>
      <c r="E2121" s="6">
        <v>0.31180555555555556</v>
      </c>
      <c r="F2121" s="5">
        <f t="shared" si="271"/>
        <v>0.72536348949919216</v>
      </c>
      <c r="G2121" s="5">
        <v>0.80200000000000005</v>
      </c>
      <c r="H2121" s="4">
        <f>53.7/1440</f>
        <v>3.7291666666666667E-2</v>
      </c>
      <c r="I2121" s="5">
        <v>9.6000000000000002E-2</v>
      </c>
      <c r="J2121" s="11" t="s">
        <v>2843</v>
      </c>
    </row>
    <row r="2122" spans="1:10" ht="13.15" customHeight="1" x14ac:dyDescent="0.25">
      <c r="A2122">
        <f t="shared" si="269"/>
        <v>2117</v>
      </c>
      <c r="B2122" t="s">
        <v>2839</v>
      </c>
      <c r="C2122" s="2">
        <v>0.39791666666666664</v>
      </c>
      <c r="D2122" s="4">
        <f t="shared" si="270"/>
        <v>0.12638888888888888</v>
      </c>
      <c r="E2122" s="6">
        <v>0.27152777777777776</v>
      </c>
      <c r="F2122" s="5">
        <f t="shared" si="271"/>
        <v>0.68237347294938921</v>
      </c>
      <c r="G2122" s="5">
        <v>0.77900000000000003</v>
      </c>
      <c r="H2122" s="4">
        <f>61.9/1440</f>
        <v>4.2986111111111107E-2</v>
      </c>
      <c r="I2122" s="5">
        <v>0.123</v>
      </c>
      <c r="J2122" s="11" t="s">
        <v>2844</v>
      </c>
    </row>
    <row r="2123" spans="1:10" ht="13.15" customHeight="1" x14ac:dyDescent="0.25">
      <c r="A2123">
        <f t="shared" si="269"/>
        <v>2118</v>
      </c>
      <c r="B2123" t="s">
        <v>2840</v>
      </c>
      <c r="C2123" s="2">
        <v>0.49444444444444446</v>
      </c>
      <c r="D2123" s="4">
        <f t="shared" si="270"/>
        <v>0.1388888888888889</v>
      </c>
      <c r="E2123" s="6">
        <v>0.35555555555555557</v>
      </c>
      <c r="F2123" s="5">
        <f t="shared" si="271"/>
        <v>0.7191011235955056</v>
      </c>
      <c r="G2123" s="5">
        <v>0.83799999999999997</v>
      </c>
      <c r="H2123" s="4">
        <f>63.6/1440</f>
        <v>4.4166666666666667E-2</v>
      </c>
      <c r="I2123" s="5">
        <v>0.104</v>
      </c>
      <c r="J2123" s="11" t="s">
        <v>2844</v>
      </c>
    </row>
    <row r="2124" spans="1:10" ht="13.15" customHeight="1" x14ac:dyDescent="0.25">
      <c r="A2124">
        <f t="shared" si="269"/>
        <v>2119</v>
      </c>
      <c r="B2124" t="s">
        <v>2841</v>
      </c>
      <c r="C2124" s="2">
        <v>0.50486111111111109</v>
      </c>
      <c r="D2124" s="4">
        <f t="shared" si="270"/>
        <v>0.15277777777777773</v>
      </c>
      <c r="E2124" s="6">
        <v>0.35208333333333336</v>
      </c>
      <c r="F2124" s="5">
        <f t="shared" si="271"/>
        <v>0.69738651994497947</v>
      </c>
      <c r="G2124" s="5">
        <v>0.78600000000000003</v>
      </c>
      <c r="H2124" s="4">
        <f>62.2/1440</f>
        <v>4.3194444444444445E-2</v>
      </c>
      <c r="I2124" s="5">
        <v>9.6000000000000002E-2</v>
      </c>
      <c r="J2124" s="11" t="s">
        <v>2844</v>
      </c>
    </row>
    <row r="2125" spans="1:10" ht="13.15" customHeight="1" x14ac:dyDescent="0.25">
      <c r="A2125">
        <f t="shared" si="269"/>
        <v>2120</v>
      </c>
      <c r="B2125" t="s">
        <v>2842</v>
      </c>
      <c r="C2125" s="2">
        <v>0.4861111111111111</v>
      </c>
      <c r="D2125" s="4">
        <f t="shared" si="270"/>
        <v>0.1472222222222222</v>
      </c>
      <c r="E2125" s="6">
        <v>0.33888888888888891</v>
      </c>
      <c r="F2125" s="5">
        <f t="shared" si="271"/>
        <v>0.69714285714285718</v>
      </c>
      <c r="G2125" s="5">
        <v>0.8</v>
      </c>
      <c r="H2125" s="4">
        <f>61.2/1440</f>
        <v>4.2500000000000003E-2</v>
      </c>
      <c r="I2125" s="5">
        <v>0.1</v>
      </c>
      <c r="J2125" s="11" t="s">
        <v>2844</v>
      </c>
    </row>
    <row r="2126" spans="1:10" ht="13.15" customHeight="1" x14ac:dyDescent="0.25">
      <c r="A2126">
        <f t="shared" si="269"/>
        <v>2121</v>
      </c>
      <c r="B2126" t="s">
        <v>2847</v>
      </c>
      <c r="C2126" s="2">
        <v>0.39652777777777776</v>
      </c>
      <c r="D2126" s="4">
        <f t="shared" ref="D2126:D2144" si="272">C2126-E2126</f>
        <v>0.1069444444444444</v>
      </c>
      <c r="E2126" s="6">
        <v>0.28958333333333336</v>
      </c>
      <c r="F2126" s="5">
        <f t="shared" ref="F2126:F2144" si="273">E2126/C2126</f>
        <v>0.73029772329246945</v>
      </c>
      <c r="G2126" s="5">
        <v>0.78700000000000003</v>
      </c>
      <c r="H2126" s="4">
        <f>59.1/1440</f>
        <v>4.1041666666666671E-2</v>
      </c>
      <c r="I2126" s="5">
        <v>0.112</v>
      </c>
      <c r="J2126" s="11" t="s">
        <v>2845</v>
      </c>
    </row>
    <row r="2127" spans="1:10" ht="13.15" customHeight="1" x14ac:dyDescent="0.25">
      <c r="A2127">
        <f t="shared" si="269"/>
        <v>2122</v>
      </c>
      <c r="B2127" t="s">
        <v>2848</v>
      </c>
      <c r="C2127" s="2">
        <v>0.3888888888888889</v>
      </c>
      <c r="D2127" s="4">
        <f t="shared" si="272"/>
        <v>0.10972222222222222</v>
      </c>
      <c r="E2127" s="6">
        <v>0.27916666666666667</v>
      </c>
      <c r="F2127" s="5">
        <f t="shared" si="273"/>
        <v>0.71785714285714286</v>
      </c>
      <c r="G2127" s="5">
        <v>0.83599999999999997</v>
      </c>
      <c r="H2127" s="4">
        <f>63/1440</f>
        <v>4.3749999999999997E-2</v>
      </c>
      <c r="I2127" s="5">
        <v>0.13100000000000001</v>
      </c>
      <c r="J2127" s="11" t="s">
        <v>2845</v>
      </c>
    </row>
    <row r="2128" spans="1:10" ht="13.15" customHeight="1" x14ac:dyDescent="0.25">
      <c r="A2128">
        <f t="shared" si="269"/>
        <v>2123</v>
      </c>
      <c r="B2128" t="s">
        <v>2849</v>
      </c>
      <c r="C2128" s="2">
        <v>0.35972222222222222</v>
      </c>
      <c r="D2128" s="4">
        <f t="shared" si="272"/>
        <v>0.10555555555555557</v>
      </c>
      <c r="E2128" s="6">
        <v>0.25416666666666665</v>
      </c>
      <c r="F2128" s="5">
        <f t="shared" si="273"/>
        <v>0.70656370656370648</v>
      </c>
      <c r="G2128" s="5">
        <v>0.74</v>
      </c>
      <c r="H2128" s="4">
        <f>54.6/1440</f>
        <v>3.7916666666666668E-2</v>
      </c>
      <c r="I2128" s="5">
        <v>0.11</v>
      </c>
      <c r="J2128" s="11" t="s">
        <v>2845</v>
      </c>
    </row>
    <row r="2129" spans="1:10" ht="13.15" customHeight="1" x14ac:dyDescent="0.25">
      <c r="A2129">
        <f t="shared" si="269"/>
        <v>2124</v>
      </c>
      <c r="B2129" t="s">
        <v>2850</v>
      </c>
      <c r="C2129" s="2">
        <v>0.39166666666666666</v>
      </c>
      <c r="D2129" s="4">
        <f t="shared" si="272"/>
        <v>0.10833333333333334</v>
      </c>
      <c r="E2129" s="6">
        <v>0.28333333333333333</v>
      </c>
      <c r="F2129" s="5">
        <f t="shared" si="273"/>
        <v>0.72340425531914887</v>
      </c>
      <c r="G2129" s="5">
        <v>0.71899999999999997</v>
      </c>
      <c r="H2129" s="4">
        <f>52.9/1440</f>
        <v>3.6736111111111108E-2</v>
      </c>
      <c r="I2129" s="5">
        <v>9.2999999999999999E-2</v>
      </c>
      <c r="J2129" s="11" t="s">
        <v>2845</v>
      </c>
    </row>
    <row r="2130" spans="1:10" ht="13.15" customHeight="1" x14ac:dyDescent="0.25">
      <c r="A2130">
        <f t="shared" si="269"/>
        <v>2125</v>
      </c>
      <c r="B2130" t="s">
        <v>2851</v>
      </c>
      <c r="C2130" s="2">
        <v>0.40208333333333335</v>
      </c>
      <c r="D2130" s="4">
        <f t="shared" si="272"/>
        <v>0.10416666666666669</v>
      </c>
      <c r="E2130" s="6">
        <v>0.29791666666666666</v>
      </c>
      <c r="F2130" s="5">
        <f t="shared" si="273"/>
        <v>0.7409326424870466</v>
      </c>
      <c r="G2130" s="5">
        <v>0.81699999999999995</v>
      </c>
      <c r="H2130" s="4">
        <f>55.7/1440</f>
        <v>3.8680555555555558E-2</v>
      </c>
      <c r="I2130" s="5">
        <v>0.106</v>
      </c>
      <c r="J2130" s="11" t="s">
        <v>2845</v>
      </c>
    </row>
    <row r="2131" spans="1:10" ht="13.15" customHeight="1" x14ac:dyDescent="0.25">
      <c r="A2131">
        <f t="shared" si="269"/>
        <v>2126</v>
      </c>
      <c r="B2131" t="s">
        <v>2852</v>
      </c>
      <c r="C2131" s="2">
        <v>0.41249999999999998</v>
      </c>
      <c r="D2131" s="4">
        <f t="shared" si="272"/>
        <v>0.10416666666666663</v>
      </c>
      <c r="E2131" s="6">
        <v>0.30833333333333335</v>
      </c>
      <c r="F2131" s="5">
        <f t="shared" si="273"/>
        <v>0.74747474747474751</v>
      </c>
      <c r="G2131" s="5">
        <v>0.79400000000000004</v>
      </c>
      <c r="H2131" s="4">
        <f>60.5/1440</f>
        <v>4.2013888888888892E-2</v>
      </c>
      <c r="I2131" s="5">
        <v>0.108</v>
      </c>
      <c r="J2131" s="11" t="s">
        <v>2846</v>
      </c>
    </row>
    <row r="2132" spans="1:10" ht="13.15" customHeight="1" x14ac:dyDescent="0.25">
      <c r="A2132">
        <f t="shared" si="269"/>
        <v>2127</v>
      </c>
      <c r="B2132" t="s">
        <v>2853</v>
      </c>
      <c r="C2132" s="2">
        <v>0.44861111111111113</v>
      </c>
      <c r="D2132" s="4">
        <f t="shared" si="272"/>
        <v>0.11249999999999999</v>
      </c>
      <c r="E2132" s="6">
        <v>0.33611111111111114</v>
      </c>
      <c r="F2132" s="5">
        <f t="shared" si="273"/>
        <v>0.74922600619195046</v>
      </c>
      <c r="G2132" s="5">
        <v>0.81200000000000006</v>
      </c>
      <c r="H2132" s="4">
        <f>61.3/1440</f>
        <v>4.2569444444444444E-2</v>
      </c>
      <c r="I2132" s="5">
        <v>0.10299999999999999</v>
      </c>
      <c r="J2132" s="11" t="s">
        <v>2846</v>
      </c>
    </row>
    <row r="2133" spans="1:10" ht="13.15" customHeight="1" x14ac:dyDescent="0.25">
      <c r="A2133">
        <f t="shared" si="269"/>
        <v>2128</v>
      </c>
      <c r="B2133" t="s">
        <v>2854</v>
      </c>
      <c r="C2133" s="2">
        <v>0.43472222222222223</v>
      </c>
      <c r="D2133" s="4">
        <f t="shared" si="272"/>
        <v>0.11527777777777781</v>
      </c>
      <c r="E2133" s="6">
        <v>0.31944444444444442</v>
      </c>
      <c r="F2133" s="5">
        <f t="shared" si="273"/>
        <v>0.73482428115015963</v>
      </c>
      <c r="G2133" s="5">
        <v>0.748</v>
      </c>
      <c r="H2133" s="4">
        <f>62.1/1440</f>
        <v>4.3125000000000004E-2</v>
      </c>
      <c r="I2133" s="5">
        <v>0.10100000000000001</v>
      </c>
      <c r="J2133" s="11" t="s">
        <v>2846</v>
      </c>
    </row>
    <row r="2134" spans="1:10" ht="13.15" customHeight="1" x14ac:dyDescent="0.25">
      <c r="A2134">
        <f t="shared" si="269"/>
        <v>2129</v>
      </c>
      <c r="B2134" t="s">
        <v>2855</v>
      </c>
      <c r="C2134" s="2">
        <v>0.43125000000000002</v>
      </c>
      <c r="D2134" s="4">
        <f t="shared" si="272"/>
        <v>0.11319444444444449</v>
      </c>
      <c r="E2134" s="6">
        <v>0.31805555555555554</v>
      </c>
      <c r="F2134" s="5">
        <f t="shared" si="273"/>
        <v>0.7375201288244766</v>
      </c>
      <c r="G2134" s="5">
        <v>0.77400000000000002</v>
      </c>
      <c r="H2134" s="4">
        <f>70.7/1440</f>
        <v>4.9097222222222223E-2</v>
      </c>
      <c r="I2134" s="5">
        <v>0.11899999999999999</v>
      </c>
      <c r="J2134" s="11" t="s">
        <v>2846</v>
      </c>
    </row>
    <row r="2135" spans="1:10" ht="13.15" customHeight="1" x14ac:dyDescent="0.25">
      <c r="A2135">
        <f t="shared" si="269"/>
        <v>2130</v>
      </c>
      <c r="B2135" t="s">
        <v>2868</v>
      </c>
      <c r="C2135" s="2">
        <v>0.39652777777777776</v>
      </c>
      <c r="D2135" s="4">
        <f t="shared" si="272"/>
        <v>8.8888888888888851E-2</v>
      </c>
      <c r="E2135" s="6">
        <v>0.30763888888888891</v>
      </c>
      <c r="F2135" s="5">
        <f t="shared" si="273"/>
        <v>0.77583187390542918</v>
      </c>
      <c r="G2135" s="5">
        <v>1</v>
      </c>
      <c r="H2135" s="4">
        <f>77.3/1440</f>
        <v>5.3680555555555551E-2</v>
      </c>
      <c r="I2135" s="5">
        <v>0.17399999999999999</v>
      </c>
      <c r="J2135" s="11" t="s">
        <v>2879</v>
      </c>
    </row>
    <row r="2136" spans="1:10" ht="13.15" customHeight="1" x14ac:dyDescent="0.25">
      <c r="A2136">
        <f t="shared" si="269"/>
        <v>2131</v>
      </c>
      <c r="B2136" t="s">
        <v>2874</v>
      </c>
      <c r="C2136" s="2">
        <v>0.39583333333333331</v>
      </c>
      <c r="D2136" s="4">
        <f t="shared" si="272"/>
        <v>8.8888888888888851E-2</v>
      </c>
      <c r="E2136" s="6">
        <v>0.30694444444444446</v>
      </c>
      <c r="F2136" s="5">
        <f t="shared" si="273"/>
        <v>0.77543859649122815</v>
      </c>
      <c r="G2136" s="5">
        <v>1</v>
      </c>
      <c r="H2136" s="4">
        <f>83.9/1440</f>
        <v>5.8263888888888893E-2</v>
      </c>
      <c r="I2136" s="5">
        <v>0.19</v>
      </c>
      <c r="J2136" s="11" t="s">
        <v>2879</v>
      </c>
    </row>
    <row r="2137" spans="1:10" ht="13.15" customHeight="1" x14ac:dyDescent="0.25">
      <c r="A2137">
        <f t="shared" ref="A2137:A2200" si="274">A2136+1</f>
        <v>2132</v>
      </c>
      <c r="B2137" t="s">
        <v>2875</v>
      </c>
      <c r="C2137" s="2">
        <v>0.39652777777777776</v>
      </c>
      <c r="D2137" s="4">
        <f t="shared" si="272"/>
        <v>9.6527777777777768E-2</v>
      </c>
      <c r="E2137" s="6">
        <v>0.3</v>
      </c>
      <c r="F2137" s="5">
        <f t="shared" si="273"/>
        <v>0.75656742556917689</v>
      </c>
      <c r="G2137" s="5">
        <v>1</v>
      </c>
      <c r="H2137" s="4">
        <f>83.4/1440</f>
        <v>5.7916666666666672E-2</v>
      </c>
      <c r="I2137" s="5">
        <v>0.193</v>
      </c>
      <c r="J2137" s="11" t="s">
        <v>2879</v>
      </c>
    </row>
    <row r="2138" spans="1:10" ht="13.15" customHeight="1" x14ac:dyDescent="0.25">
      <c r="A2138">
        <f t="shared" si="274"/>
        <v>2133</v>
      </c>
      <c r="B2138" t="s">
        <v>2877</v>
      </c>
      <c r="C2138" s="2">
        <v>0.39097222222222222</v>
      </c>
      <c r="D2138" s="4">
        <f t="shared" si="272"/>
        <v>8.2638888888888873E-2</v>
      </c>
      <c r="E2138" s="6">
        <v>0.30833333333333335</v>
      </c>
      <c r="F2138" s="5">
        <f t="shared" si="273"/>
        <v>0.78863232682060391</v>
      </c>
      <c r="G2138" s="5">
        <v>1</v>
      </c>
      <c r="H2138" s="4">
        <f>73/1440</f>
        <v>5.0694444444444445E-2</v>
      </c>
      <c r="I2138" s="5">
        <v>0.16400000000000001</v>
      </c>
      <c r="J2138" s="11" t="s">
        <v>2879</v>
      </c>
    </row>
    <row r="2139" spans="1:10" ht="13.15" customHeight="1" x14ac:dyDescent="0.25">
      <c r="A2139">
        <f t="shared" si="274"/>
        <v>2134</v>
      </c>
      <c r="B2139" t="s">
        <v>2876</v>
      </c>
      <c r="C2139" s="2">
        <v>0.40277777777777779</v>
      </c>
      <c r="D2139" s="4">
        <f t="shared" si="272"/>
        <v>8.0555555555555547E-2</v>
      </c>
      <c r="E2139" s="6">
        <v>0.32222222222222224</v>
      </c>
      <c r="F2139" s="5">
        <f t="shared" si="273"/>
        <v>0.8</v>
      </c>
      <c r="G2139" s="5">
        <v>1</v>
      </c>
      <c r="H2139" s="4">
        <f>79.6/1440</f>
        <v>5.5277777777777773E-2</v>
      </c>
      <c r="I2139" s="5">
        <v>0.16600000000000001</v>
      </c>
      <c r="J2139" s="11" t="s">
        <v>2879</v>
      </c>
    </row>
    <row r="2140" spans="1:10" ht="13.15" customHeight="1" x14ac:dyDescent="0.25">
      <c r="A2140">
        <f t="shared" si="274"/>
        <v>2135</v>
      </c>
      <c r="B2140" t="s">
        <v>2869</v>
      </c>
      <c r="C2140" s="2">
        <v>0.44166666666666665</v>
      </c>
      <c r="D2140" s="4">
        <f t="shared" si="272"/>
        <v>0.1020833333333333</v>
      </c>
      <c r="E2140" s="6">
        <v>0.33958333333333335</v>
      </c>
      <c r="F2140" s="5">
        <f t="shared" si="273"/>
        <v>0.76886792452830199</v>
      </c>
      <c r="G2140" s="5">
        <v>1</v>
      </c>
      <c r="H2140" s="4">
        <f>75.4/1440</f>
        <v>5.2361111111111115E-2</v>
      </c>
      <c r="I2140" s="5">
        <v>0.154</v>
      </c>
      <c r="J2140" s="11" t="s">
        <v>2878</v>
      </c>
    </row>
    <row r="2141" spans="1:10" ht="13.15" customHeight="1" x14ac:dyDescent="0.25">
      <c r="A2141">
        <f t="shared" si="274"/>
        <v>2136</v>
      </c>
      <c r="B2141" t="s">
        <v>2870</v>
      </c>
      <c r="C2141" s="2">
        <v>0.47430555555555554</v>
      </c>
      <c r="D2141" s="4">
        <f t="shared" si="272"/>
        <v>0.10347222222222219</v>
      </c>
      <c r="E2141" s="6">
        <v>0.37083333333333335</v>
      </c>
      <c r="F2141" s="5">
        <f t="shared" si="273"/>
        <v>0.78184480234260623</v>
      </c>
      <c r="G2141" s="5">
        <v>1</v>
      </c>
      <c r="H2141" s="4">
        <f>95.2/1440</f>
        <v>6.6111111111111107E-2</v>
      </c>
      <c r="I2141" s="5">
        <v>0.17799999999999999</v>
      </c>
      <c r="J2141" s="11" t="s">
        <v>2878</v>
      </c>
    </row>
    <row r="2142" spans="1:10" ht="13.15" customHeight="1" x14ac:dyDescent="0.25">
      <c r="A2142">
        <f t="shared" si="274"/>
        <v>2137</v>
      </c>
      <c r="B2142" t="s">
        <v>2871</v>
      </c>
      <c r="C2142" s="2">
        <v>0.37291666666666667</v>
      </c>
      <c r="D2142" s="4">
        <f t="shared" si="272"/>
        <v>9.375E-2</v>
      </c>
      <c r="E2142" s="6">
        <v>0.27916666666666667</v>
      </c>
      <c r="F2142" s="5">
        <f t="shared" si="273"/>
        <v>0.74860335195530725</v>
      </c>
      <c r="G2142" s="5">
        <v>1</v>
      </c>
      <c r="H2142" s="4">
        <f>71.6/1440</f>
        <v>4.9722222222222216E-2</v>
      </c>
      <c r="I2142" s="5">
        <v>0.17799999999999999</v>
      </c>
      <c r="J2142" s="11" t="s">
        <v>2878</v>
      </c>
    </row>
    <row r="2143" spans="1:10" ht="13.15" customHeight="1" x14ac:dyDescent="0.25">
      <c r="A2143">
        <f t="shared" si="274"/>
        <v>2138</v>
      </c>
      <c r="B2143" t="s">
        <v>2872</v>
      </c>
      <c r="C2143" s="2">
        <v>0.44305555555555554</v>
      </c>
      <c r="D2143" s="4">
        <f t="shared" si="272"/>
        <v>0.11527777777777776</v>
      </c>
      <c r="E2143" s="6">
        <v>0.32777777777777778</v>
      </c>
      <c r="F2143" s="5">
        <f t="shared" si="273"/>
        <v>0.73981191222570541</v>
      </c>
      <c r="G2143" s="5">
        <v>1</v>
      </c>
      <c r="H2143" s="4">
        <f>75.9/1440</f>
        <v>5.2708333333333336E-2</v>
      </c>
      <c r="I2143" s="5">
        <v>0.161</v>
      </c>
      <c r="J2143" s="11" t="s">
        <v>2878</v>
      </c>
    </row>
    <row r="2144" spans="1:10" ht="13.15" customHeight="1" x14ac:dyDescent="0.25">
      <c r="A2144">
        <f t="shared" si="274"/>
        <v>2139</v>
      </c>
      <c r="B2144" t="s">
        <v>2873</v>
      </c>
      <c r="C2144" s="2">
        <v>0.47291666666666665</v>
      </c>
      <c r="D2144" s="4">
        <f t="shared" si="272"/>
        <v>0.10555555555555551</v>
      </c>
      <c r="E2144" s="6">
        <v>0.36736111111111114</v>
      </c>
      <c r="F2144" s="5">
        <f t="shared" si="273"/>
        <v>0.77679882525697508</v>
      </c>
      <c r="G2144" s="5">
        <v>1</v>
      </c>
      <c r="H2144" s="4">
        <f>78.3/1440</f>
        <v>5.4375E-2</v>
      </c>
      <c r="I2144" s="5">
        <v>0.14799999999999999</v>
      </c>
      <c r="J2144" s="11" t="s">
        <v>2878</v>
      </c>
    </row>
    <row r="2145" spans="1:10" ht="13.15" customHeight="1" x14ac:dyDescent="0.25">
      <c r="A2145">
        <f t="shared" si="274"/>
        <v>2140</v>
      </c>
      <c r="B2145" t="s">
        <v>2861</v>
      </c>
      <c r="C2145" s="2">
        <v>0.48402777777777778</v>
      </c>
      <c r="D2145" s="4">
        <f t="shared" ref="D2145:D2163" si="275">C2145-E2145</f>
        <v>0.12083333333333335</v>
      </c>
      <c r="E2145" s="6">
        <v>0.36319444444444443</v>
      </c>
      <c r="F2145" s="5">
        <f t="shared" ref="F2145:F2154" si="276">E2145/C2145</f>
        <v>0.75035868005738882</v>
      </c>
      <c r="G2145" s="5">
        <v>0.85099999999999998</v>
      </c>
      <c r="H2145" s="4">
        <f>69.1/1440</f>
        <v>4.7986111111111104E-2</v>
      </c>
      <c r="I2145" s="5">
        <v>0.112</v>
      </c>
      <c r="J2145" s="11" t="s">
        <v>2866</v>
      </c>
    </row>
    <row r="2146" spans="1:10" ht="13.15" customHeight="1" x14ac:dyDescent="0.25">
      <c r="A2146">
        <f t="shared" si="274"/>
        <v>2141</v>
      </c>
      <c r="B2146" t="s">
        <v>2862</v>
      </c>
      <c r="C2146" s="2">
        <v>0.46041666666666664</v>
      </c>
      <c r="D2146" s="4">
        <f t="shared" si="275"/>
        <v>0.11041666666666666</v>
      </c>
      <c r="E2146" s="6">
        <v>0.35</v>
      </c>
      <c r="F2146" s="5">
        <f t="shared" si="276"/>
        <v>0.76018099547511309</v>
      </c>
      <c r="G2146" s="5">
        <v>0.86799999999999999</v>
      </c>
      <c r="H2146" s="4">
        <f>58.9/1440</f>
        <v>4.0902777777777774E-2</v>
      </c>
      <c r="I2146" s="5">
        <v>0.10100000000000001</v>
      </c>
      <c r="J2146" s="11" t="s">
        <v>2866</v>
      </c>
    </row>
    <row r="2147" spans="1:10" ht="13.15" customHeight="1" x14ac:dyDescent="0.25">
      <c r="A2147">
        <f t="shared" si="274"/>
        <v>2142</v>
      </c>
      <c r="B2147" t="s">
        <v>2863</v>
      </c>
      <c r="C2147" s="2">
        <v>0.43958333333333333</v>
      </c>
      <c r="D2147" s="4">
        <f t="shared" si="275"/>
        <v>0.12222222222222223</v>
      </c>
      <c r="E2147" s="6">
        <v>0.31736111111111109</v>
      </c>
      <c r="F2147" s="5">
        <f t="shared" si="276"/>
        <v>0.72195892575039489</v>
      </c>
      <c r="G2147" s="5">
        <v>0.84499999999999997</v>
      </c>
      <c r="H2147" s="4">
        <f>67.5/1440</f>
        <v>4.6875E-2</v>
      </c>
      <c r="I2147" s="5">
        <v>0.124</v>
      </c>
      <c r="J2147" s="11" t="s">
        <v>2866</v>
      </c>
    </row>
    <row r="2148" spans="1:10" ht="13.15" customHeight="1" x14ac:dyDescent="0.25">
      <c r="A2148">
        <f t="shared" si="274"/>
        <v>2143</v>
      </c>
      <c r="B2148" t="s">
        <v>2864</v>
      </c>
      <c r="C2148" s="2">
        <v>0.4465277777777778</v>
      </c>
      <c r="D2148" s="4">
        <f t="shared" si="275"/>
        <v>9.6527777777777823E-2</v>
      </c>
      <c r="E2148" s="6">
        <v>0.35</v>
      </c>
      <c r="F2148" s="5">
        <f t="shared" si="276"/>
        <v>0.78382581648522542</v>
      </c>
      <c r="G2148" s="5">
        <v>0.85299999999999998</v>
      </c>
      <c r="H2148" s="4">
        <f>59.2/1440</f>
        <v>4.1111111111111112E-2</v>
      </c>
      <c r="I2148" s="5">
        <v>0.1</v>
      </c>
      <c r="J2148" s="11" t="s">
        <v>2866</v>
      </c>
    </row>
    <row r="2149" spans="1:10" ht="13.15" customHeight="1" x14ac:dyDescent="0.25">
      <c r="A2149">
        <f t="shared" si="274"/>
        <v>2144</v>
      </c>
      <c r="B2149" t="s">
        <v>2865</v>
      </c>
      <c r="C2149" s="2">
        <v>0.48680555555555555</v>
      </c>
      <c r="D2149" s="4">
        <f t="shared" si="275"/>
        <v>0.12013888888888891</v>
      </c>
      <c r="E2149" s="6">
        <v>0.36666666666666664</v>
      </c>
      <c r="F2149" s="5">
        <f t="shared" si="276"/>
        <v>0.75320970042795998</v>
      </c>
      <c r="G2149" s="5">
        <v>0.82499999999999996</v>
      </c>
      <c r="H2149" s="4">
        <f>80.5/1440</f>
        <v>5.590277777777778E-2</v>
      </c>
      <c r="I2149" s="5">
        <v>0.126</v>
      </c>
      <c r="J2149" s="11" t="s">
        <v>2866</v>
      </c>
    </row>
    <row r="2150" spans="1:10" ht="13.15" customHeight="1" x14ac:dyDescent="0.25">
      <c r="A2150">
        <f t="shared" si="274"/>
        <v>2145</v>
      </c>
      <c r="B2150" t="s">
        <v>2856</v>
      </c>
      <c r="C2150" s="2">
        <v>0.41111111111111109</v>
      </c>
      <c r="D2150" s="4">
        <f t="shared" si="275"/>
        <v>0.1020833333333333</v>
      </c>
      <c r="E2150" s="6">
        <v>0.30902777777777779</v>
      </c>
      <c r="F2150" s="5">
        <f t="shared" si="276"/>
        <v>0.75168918918918926</v>
      </c>
      <c r="G2150" s="5">
        <v>0.80100000000000005</v>
      </c>
      <c r="H2150" s="4">
        <f>61.1/1440</f>
        <v>4.2430555555555555E-2</v>
      </c>
      <c r="I2150" s="5">
        <v>0.11</v>
      </c>
      <c r="J2150" s="11" t="s">
        <v>2867</v>
      </c>
    </row>
    <row r="2151" spans="1:10" ht="13.15" customHeight="1" x14ac:dyDescent="0.25">
      <c r="A2151">
        <f t="shared" si="274"/>
        <v>2146</v>
      </c>
      <c r="B2151" t="s">
        <v>2857</v>
      </c>
      <c r="C2151" s="2">
        <v>0.37361111111111112</v>
      </c>
      <c r="D2151" s="4">
        <f t="shared" si="275"/>
        <v>0.12638888888888888</v>
      </c>
      <c r="E2151" s="6">
        <v>0.24722222222222223</v>
      </c>
      <c r="F2151" s="5">
        <f t="shared" si="276"/>
        <v>0.66171003717472121</v>
      </c>
      <c r="G2151" s="5">
        <v>0.79400000000000004</v>
      </c>
      <c r="H2151" s="4">
        <f>56.8/1444</f>
        <v>3.933518005540166E-2</v>
      </c>
      <c r="I2151" s="5">
        <v>0.126</v>
      </c>
      <c r="J2151" s="11" t="s">
        <v>2867</v>
      </c>
    </row>
    <row r="2152" spans="1:10" ht="13.15" customHeight="1" x14ac:dyDescent="0.25">
      <c r="A2152">
        <f t="shared" si="274"/>
        <v>2147</v>
      </c>
      <c r="B2152" t="s">
        <v>2858</v>
      </c>
      <c r="C2152" s="2">
        <v>0.37083333333333335</v>
      </c>
      <c r="D2152" s="4">
        <f t="shared" si="275"/>
        <v>0.12986111111111112</v>
      </c>
      <c r="E2152" s="6">
        <v>0.24097222222222223</v>
      </c>
      <c r="F2152" s="5">
        <f t="shared" si="276"/>
        <v>0.64981273408239704</v>
      </c>
      <c r="G2152" s="5">
        <v>0.80700000000000005</v>
      </c>
      <c r="H2152" s="4">
        <f>52/1440</f>
        <v>3.6111111111111108E-2</v>
      </c>
      <c r="I2152" s="5">
        <v>0.121</v>
      </c>
      <c r="J2152" s="11" t="s">
        <v>2867</v>
      </c>
    </row>
    <row r="2153" spans="1:10" ht="13.15" customHeight="1" x14ac:dyDescent="0.25">
      <c r="A2153">
        <f t="shared" si="274"/>
        <v>2148</v>
      </c>
      <c r="B2153" t="s">
        <v>2859</v>
      </c>
      <c r="C2153" s="2">
        <v>0.36319444444444443</v>
      </c>
      <c r="D2153" s="4">
        <f t="shared" si="275"/>
        <v>0.10972222222222222</v>
      </c>
      <c r="E2153" s="6">
        <v>0.25347222222222221</v>
      </c>
      <c r="F2153" s="5">
        <f t="shared" si="276"/>
        <v>0.69789674952198855</v>
      </c>
      <c r="G2153" s="5">
        <v>0.78</v>
      </c>
      <c r="H2153" s="4">
        <f>61.8/1440</f>
        <v>4.2916666666666665E-2</v>
      </c>
      <c r="I2153" s="5">
        <v>0.13200000000000001</v>
      </c>
      <c r="J2153" s="11" t="s">
        <v>2867</v>
      </c>
    </row>
    <row r="2154" spans="1:10" ht="13.15" customHeight="1" x14ac:dyDescent="0.25">
      <c r="A2154">
        <f t="shared" si="274"/>
        <v>2149</v>
      </c>
      <c r="B2154" t="s">
        <v>2860</v>
      </c>
      <c r="C2154" s="2">
        <v>0.40347222222222223</v>
      </c>
      <c r="D2154" s="4">
        <f t="shared" si="275"/>
        <v>0.11319444444444443</v>
      </c>
      <c r="E2154" s="6">
        <v>0.2902777777777778</v>
      </c>
      <c r="F2154" s="5">
        <f t="shared" si="276"/>
        <v>0.71944922547332191</v>
      </c>
      <c r="G2154" s="5">
        <v>0.84299999999999997</v>
      </c>
      <c r="H2154" s="4">
        <f>65.9/1440</f>
        <v>4.5763888888888896E-2</v>
      </c>
      <c r="I2154" s="5">
        <v>0.13300000000000001</v>
      </c>
      <c r="J2154" s="11" t="s">
        <v>2867</v>
      </c>
    </row>
    <row r="2155" spans="1:10" ht="13.15" customHeight="1" x14ac:dyDescent="0.25">
      <c r="A2155">
        <f t="shared" si="274"/>
        <v>2150</v>
      </c>
      <c r="B2155" t="s">
        <v>2880</v>
      </c>
      <c r="C2155" s="2">
        <v>0.42916666666666664</v>
      </c>
      <c r="D2155" s="4">
        <f t="shared" si="275"/>
        <v>0.10347222222222219</v>
      </c>
      <c r="E2155" s="6">
        <v>0.32569444444444445</v>
      </c>
      <c r="F2155" s="5">
        <f t="shared" ref="F2155:F2163" si="277">E2155/C2155</f>
        <v>0.75889967637540456</v>
      </c>
      <c r="G2155" s="5">
        <v>0.81</v>
      </c>
      <c r="H2155" s="4">
        <f>60.6/1440</f>
        <v>4.2083333333333334E-2</v>
      </c>
      <c r="I2155" s="5">
        <v>0.105</v>
      </c>
      <c r="J2155" s="11" t="s">
        <v>2881</v>
      </c>
    </row>
    <row r="2156" spans="1:10" ht="13.15" customHeight="1" x14ac:dyDescent="0.25">
      <c r="A2156">
        <f t="shared" si="274"/>
        <v>2151</v>
      </c>
      <c r="B2156" t="s">
        <v>2882</v>
      </c>
      <c r="C2156" s="2">
        <v>0.42916666666666664</v>
      </c>
      <c r="D2156" s="4">
        <f t="shared" si="275"/>
        <v>0.10486111111111107</v>
      </c>
      <c r="E2156" s="6">
        <v>0.32430555555555557</v>
      </c>
      <c r="F2156" s="5">
        <f t="shared" si="277"/>
        <v>0.75566343042071205</v>
      </c>
      <c r="G2156" s="5">
        <v>0.82899999999999996</v>
      </c>
      <c r="H2156" s="4">
        <f>62.7/1440</f>
        <v>4.3541666666666666E-2</v>
      </c>
      <c r="I2156" s="5">
        <v>0.111</v>
      </c>
      <c r="J2156" s="11" t="s">
        <v>2881</v>
      </c>
    </row>
    <row r="2157" spans="1:10" ht="13.15" customHeight="1" x14ac:dyDescent="0.25">
      <c r="A2157">
        <f t="shared" si="274"/>
        <v>2152</v>
      </c>
      <c r="B2157" t="s">
        <v>2883</v>
      </c>
      <c r="C2157" s="2">
        <v>0.42986111111111114</v>
      </c>
      <c r="D2157" s="4">
        <f t="shared" si="275"/>
        <v>0.1076388888888889</v>
      </c>
      <c r="E2157" s="6">
        <v>0.32222222222222224</v>
      </c>
      <c r="F2157" s="5">
        <f t="shared" si="277"/>
        <v>0.74959612277867527</v>
      </c>
      <c r="G2157" s="5">
        <v>0.80200000000000005</v>
      </c>
      <c r="H2157" s="4">
        <f>59.3/1440</f>
        <v>4.1180555555555554E-2</v>
      </c>
      <c r="I2157" s="5">
        <v>0.10199999999999999</v>
      </c>
      <c r="J2157" s="11" t="s">
        <v>2881</v>
      </c>
    </row>
    <row r="2158" spans="1:10" ht="13.15" customHeight="1" x14ac:dyDescent="0.25">
      <c r="A2158">
        <f t="shared" si="274"/>
        <v>2153</v>
      </c>
      <c r="B2158" t="s">
        <v>2884</v>
      </c>
      <c r="C2158" s="2">
        <v>0.4</v>
      </c>
      <c r="D2158" s="4">
        <f t="shared" si="275"/>
        <v>0.10416666666666669</v>
      </c>
      <c r="E2158" s="6">
        <v>0.29583333333333334</v>
      </c>
      <c r="F2158" s="5">
        <f t="shared" si="277"/>
        <v>0.73958333333333326</v>
      </c>
      <c r="G2158" s="5">
        <v>0.73799999999999999</v>
      </c>
      <c r="H2158" s="4">
        <f>53.5/1440</f>
        <v>3.7152777777777778E-2</v>
      </c>
      <c r="I2158" s="5">
        <v>9.2999999999999999E-2</v>
      </c>
      <c r="J2158" s="11" t="s">
        <v>2881</v>
      </c>
    </row>
    <row r="2159" spans="1:10" ht="13.15" customHeight="1" x14ac:dyDescent="0.25">
      <c r="A2159">
        <f t="shared" si="274"/>
        <v>2154</v>
      </c>
      <c r="B2159" t="s">
        <v>2885</v>
      </c>
      <c r="C2159" s="2">
        <v>0.41041666666666665</v>
      </c>
      <c r="D2159" s="4">
        <f t="shared" si="275"/>
        <v>9.722222222222221E-2</v>
      </c>
      <c r="E2159" s="6">
        <v>0.31319444444444444</v>
      </c>
      <c r="F2159" s="5">
        <f t="shared" si="277"/>
        <v>0.76311336717428091</v>
      </c>
      <c r="G2159" s="5">
        <v>0.81299999999999994</v>
      </c>
      <c r="H2159" s="4">
        <f>58.3/1440</f>
        <v>4.0486111111111112E-2</v>
      </c>
      <c r="I2159" s="5">
        <v>0.105</v>
      </c>
      <c r="J2159" s="11" t="s">
        <v>2881</v>
      </c>
    </row>
    <row r="2160" spans="1:10" ht="13.15" customHeight="1" x14ac:dyDescent="0.25">
      <c r="A2160">
        <f t="shared" si="274"/>
        <v>2155</v>
      </c>
      <c r="B2160" t="s">
        <v>2886</v>
      </c>
      <c r="C2160" s="2">
        <v>0.42152777777777778</v>
      </c>
      <c r="D2160" s="4">
        <f t="shared" si="275"/>
        <v>0.10069444444444442</v>
      </c>
      <c r="E2160" s="6">
        <v>0.32083333333333336</v>
      </c>
      <c r="F2160" s="5">
        <f t="shared" si="277"/>
        <v>0.76112026359143337</v>
      </c>
      <c r="G2160" s="5">
        <v>0.81399999999999995</v>
      </c>
      <c r="H2160" s="4">
        <f>56.1/1440</f>
        <v>3.8958333333333331E-2</v>
      </c>
      <c r="I2160" s="5">
        <v>9.9000000000000005E-2</v>
      </c>
      <c r="J2160" s="11" t="s">
        <v>2887</v>
      </c>
    </row>
    <row r="2161" spans="1:10" ht="13.15" customHeight="1" x14ac:dyDescent="0.25">
      <c r="A2161">
        <f t="shared" si="274"/>
        <v>2156</v>
      </c>
      <c r="B2161" t="s">
        <v>2888</v>
      </c>
      <c r="C2161" s="2">
        <v>0.47430555555555554</v>
      </c>
      <c r="D2161" s="4">
        <f t="shared" si="275"/>
        <v>0.10972222222222222</v>
      </c>
      <c r="E2161" s="6">
        <v>0.36458333333333331</v>
      </c>
      <c r="F2161" s="5">
        <f t="shared" si="277"/>
        <v>0.76866764275256216</v>
      </c>
      <c r="G2161" s="5">
        <v>0.84799999999999998</v>
      </c>
      <c r="H2161" s="4">
        <f>63.5/1440</f>
        <v>4.4097222222222225E-2</v>
      </c>
      <c r="I2161" s="5">
        <v>0.10199999999999999</v>
      </c>
      <c r="J2161" s="11" t="s">
        <v>2887</v>
      </c>
    </row>
    <row r="2162" spans="1:10" ht="13.15" customHeight="1" x14ac:dyDescent="0.25">
      <c r="A2162">
        <f t="shared" si="274"/>
        <v>2157</v>
      </c>
      <c r="B2162" t="s">
        <v>2889</v>
      </c>
      <c r="C2162" s="2">
        <v>0.48958333333333331</v>
      </c>
      <c r="D2162" s="4">
        <f t="shared" si="275"/>
        <v>0.10486111111111107</v>
      </c>
      <c r="E2162" s="6">
        <v>0.38472222222222224</v>
      </c>
      <c r="F2162" s="5">
        <f t="shared" si="277"/>
        <v>0.78581560283687946</v>
      </c>
      <c r="G2162" s="5">
        <v>0.79900000000000004</v>
      </c>
      <c r="H2162" s="4">
        <f>66.7/1440</f>
        <v>4.6319444444444448E-2</v>
      </c>
      <c r="I2162" s="5">
        <v>9.6000000000000002E-2</v>
      </c>
      <c r="J2162" s="11" t="s">
        <v>2887</v>
      </c>
    </row>
    <row r="2163" spans="1:10" ht="13.15" customHeight="1" x14ac:dyDescent="0.25">
      <c r="A2163">
        <f t="shared" si="274"/>
        <v>2158</v>
      </c>
      <c r="B2163" t="s">
        <v>2890</v>
      </c>
      <c r="C2163" s="2">
        <v>0.43611111111111112</v>
      </c>
      <c r="D2163" s="4">
        <f t="shared" si="275"/>
        <v>0.10972222222222222</v>
      </c>
      <c r="E2163" s="6">
        <v>0.3263888888888889</v>
      </c>
      <c r="F2163" s="5">
        <f t="shared" si="277"/>
        <v>0.74840764331210197</v>
      </c>
      <c r="G2163" s="5">
        <v>0.84299999999999997</v>
      </c>
      <c r="H2163" s="4">
        <f>75/1440</f>
        <v>5.2083333333333336E-2</v>
      </c>
      <c r="I2163" s="5">
        <v>0.13400000000000001</v>
      </c>
      <c r="J2163" s="11" t="s">
        <v>2887</v>
      </c>
    </row>
    <row r="2164" spans="1:10" ht="13.15" customHeight="1" x14ac:dyDescent="0.25">
      <c r="A2164">
        <f t="shared" si="274"/>
        <v>2159</v>
      </c>
      <c r="B2164" t="s">
        <v>2896</v>
      </c>
      <c r="C2164" s="2">
        <v>0.4236111111111111</v>
      </c>
      <c r="D2164" s="4">
        <f t="shared" ref="D2164:D2173" si="278">C2164-E2164</f>
        <v>0.12152777777777779</v>
      </c>
      <c r="E2164" s="6">
        <v>0.30208333333333331</v>
      </c>
      <c r="F2164" s="5">
        <f t="shared" ref="F2164:F2173" si="279">E2164/C2164</f>
        <v>0.71311475409836067</v>
      </c>
      <c r="G2164" s="5">
        <v>0.72099999999999997</v>
      </c>
      <c r="H2164" s="4">
        <f>46/1440</f>
        <v>3.1944444444444442E-2</v>
      </c>
      <c r="I2164" s="5">
        <v>7.5999999999999998E-2</v>
      </c>
      <c r="J2164" s="11" t="s">
        <v>2902</v>
      </c>
    </row>
    <row r="2165" spans="1:10" ht="13.15" customHeight="1" x14ac:dyDescent="0.25">
      <c r="A2165">
        <f t="shared" si="274"/>
        <v>2160</v>
      </c>
      <c r="B2165" t="s">
        <v>2897</v>
      </c>
      <c r="C2165" s="2">
        <v>0.48472222222222222</v>
      </c>
      <c r="D2165" s="4">
        <f t="shared" si="278"/>
        <v>0.13263888888888886</v>
      </c>
      <c r="E2165" s="6">
        <v>0.35208333333333336</v>
      </c>
      <c r="F2165" s="5">
        <f t="shared" si="279"/>
        <v>0.72636103151862474</v>
      </c>
      <c r="G2165" s="5">
        <v>0.78300000000000003</v>
      </c>
      <c r="H2165" s="4">
        <f>60.4/1440</f>
        <v>4.1944444444444444E-2</v>
      </c>
      <c r="I2165" s="5">
        <v>9.2999999999999999E-2</v>
      </c>
      <c r="J2165" s="11" t="s">
        <v>2902</v>
      </c>
    </row>
    <row r="2166" spans="1:10" ht="13.15" customHeight="1" x14ac:dyDescent="0.25">
      <c r="A2166">
        <f t="shared" si="274"/>
        <v>2161</v>
      </c>
      <c r="B2166" t="s">
        <v>2898</v>
      </c>
      <c r="C2166" s="2">
        <v>0.40763888888888888</v>
      </c>
      <c r="D2166" s="4">
        <f t="shared" si="278"/>
        <v>0.12708333333333333</v>
      </c>
      <c r="E2166" s="6">
        <v>0.28055555555555556</v>
      </c>
      <c r="F2166" s="5">
        <f t="shared" si="279"/>
        <v>0.68824531516183984</v>
      </c>
      <c r="G2166" s="5">
        <v>0.78500000000000003</v>
      </c>
      <c r="H2166" s="4">
        <f>52/1440</f>
        <v>3.6111111111111108E-2</v>
      </c>
      <c r="I2166" s="5">
        <v>0.10100000000000001</v>
      </c>
      <c r="J2166" s="11" t="s">
        <v>2902</v>
      </c>
    </row>
    <row r="2167" spans="1:10" ht="13.15" customHeight="1" x14ac:dyDescent="0.25">
      <c r="A2167">
        <f t="shared" si="274"/>
        <v>2162</v>
      </c>
      <c r="B2167" t="s">
        <v>2899</v>
      </c>
      <c r="C2167" s="2">
        <v>0.49444444444444446</v>
      </c>
      <c r="D2167" s="4">
        <f t="shared" si="278"/>
        <v>0.1340277777777778</v>
      </c>
      <c r="E2167" s="6">
        <v>0.36041666666666666</v>
      </c>
      <c r="F2167" s="5">
        <f t="shared" si="279"/>
        <v>0.7289325842696629</v>
      </c>
      <c r="G2167" s="5">
        <v>0.84</v>
      </c>
      <c r="H2167" s="4">
        <f>66/1440</f>
        <v>4.583333333333333E-2</v>
      </c>
      <c r="I2167" s="5">
        <v>0.107</v>
      </c>
      <c r="J2167" s="11" t="s">
        <v>2902</v>
      </c>
    </row>
    <row r="2168" spans="1:10" ht="13.15" customHeight="1" x14ac:dyDescent="0.25">
      <c r="A2168">
        <f t="shared" si="274"/>
        <v>2163</v>
      </c>
      <c r="B2168" t="s">
        <v>2900</v>
      </c>
      <c r="C2168" s="2">
        <v>0.42222222222222222</v>
      </c>
      <c r="D2168" s="4">
        <f t="shared" si="278"/>
        <v>0.10625000000000001</v>
      </c>
      <c r="E2168" s="6">
        <v>0.31597222222222221</v>
      </c>
      <c r="F2168" s="5">
        <f t="shared" si="279"/>
        <v>0.74835526315789469</v>
      </c>
      <c r="G2168" s="5">
        <v>0.80200000000000005</v>
      </c>
      <c r="H2168" s="4">
        <f>49.3/1440</f>
        <v>3.4236111111111106E-2</v>
      </c>
      <c r="I2168" s="5">
        <v>8.6999999999999994E-2</v>
      </c>
      <c r="J2168" s="11" t="s">
        <v>2902</v>
      </c>
    </row>
    <row r="2169" spans="1:10" ht="13.15" customHeight="1" x14ac:dyDescent="0.25">
      <c r="A2169">
        <f t="shared" si="274"/>
        <v>2164</v>
      </c>
      <c r="B2169" t="s">
        <v>2891</v>
      </c>
      <c r="C2169" s="2">
        <v>0.37847222222222221</v>
      </c>
      <c r="D2169" s="4">
        <f t="shared" si="278"/>
        <v>0.1020833333333333</v>
      </c>
      <c r="E2169" s="6">
        <v>0.27638888888888891</v>
      </c>
      <c r="F2169" s="5">
        <f t="shared" si="279"/>
        <v>0.73027522935779821</v>
      </c>
      <c r="G2169" s="5">
        <v>0.72599999999999998</v>
      </c>
      <c r="H2169" s="4">
        <f>52.4/1440</f>
        <v>3.6388888888888887E-2</v>
      </c>
      <c r="I2169" s="5">
        <v>9.6000000000000002E-2</v>
      </c>
      <c r="J2169" s="11" t="s">
        <v>2901</v>
      </c>
    </row>
    <row r="2170" spans="1:10" ht="13.15" customHeight="1" x14ac:dyDescent="0.25">
      <c r="A2170">
        <f t="shared" si="274"/>
        <v>2165</v>
      </c>
      <c r="B2170" t="s">
        <v>2892</v>
      </c>
      <c r="C2170" s="2">
        <v>0.38263888888888886</v>
      </c>
      <c r="D2170" s="4">
        <f t="shared" si="278"/>
        <v>0.13124999999999998</v>
      </c>
      <c r="E2170" s="6">
        <v>0.25138888888888888</v>
      </c>
      <c r="F2170" s="5">
        <f t="shared" si="279"/>
        <v>0.65698729582577131</v>
      </c>
      <c r="G2170" s="5">
        <v>0.70399999999999996</v>
      </c>
      <c r="H2170" s="4">
        <f>50.5/1440</f>
        <v>3.5069444444444445E-2</v>
      </c>
      <c r="I2170" s="5">
        <v>9.8000000000000004E-2</v>
      </c>
      <c r="J2170" s="11" t="s">
        <v>2901</v>
      </c>
    </row>
    <row r="2171" spans="1:10" ht="13.15" customHeight="1" x14ac:dyDescent="0.25">
      <c r="A2171">
        <f t="shared" si="274"/>
        <v>2166</v>
      </c>
      <c r="B2171" t="s">
        <v>2893</v>
      </c>
      <c r="C2171" s="2">
        <v>0.36388888888888887</v>
      </c>
      <c r="D2171" s="4">
        <f t="shared" si="278"/>
        <v>0.11874999999999999</v>
      </c>
      <c r="E2171" s="6">
        <v>0.24513888888888888</v>
      </c>
      <c r="F2171" s="5">
        <f t="shared" si="279"/>
        <v>0.67366412213740456</v>
      </c>
      <c r="G2171" s="5">
        <v>0.70299999999999996</v>
      </c>
      <c r="H2171" s="4">
        <f>50/1440</f>
        <v>3.4722222222222224E-2</v>
      </c>
      <c r="I2171" s="5">
        <v>0.1</v>
      </c>
      <c r="J2171" s="11" t="s">
        <v>2901</v>
      </c>
    </row>
    <row r="2172" spans="1:10" ht="13.15" customHeight="1" x14ac:dyDescent="0.25">
      <c r="A2172">
        <f t="shared" si="274"/>
        <v>2167</v>
      </c>
      <c r="B2172" t="s">
        <v>2894</v>
      </c>
      <c r="C2172" s="2">
        <v>0.38055555555555554</v>
      </c>
      <c r="D2172" s="4">
        <f t="shared" si="278"/>
        <v>0.125</v>
      </c>
      <c r="E2172" s="6">
        <v>0.25555555555555554</v>
      </c>
      <c r="F2172" s="5">
        <f t="shared" si="279"/>
        <v>0.67153284671532842</v>
      </c>
      <c r="G2172" s="5">
        <v>0.70599999999999996</v>
      </c>
      <c r="H2172" s="4">
        <f>50.9/1440</f>
        <v>3.5347222222222224E-2</v>
      </c>
      <c r="I2172" s="5">
        <v>9.7000000000000003E-2</v>
      </c>
      <c r="J2172" s="11" t="s">
        <v>2901</v>
      </c>
    </row>
    <row r="2173" spans="1:10" ht="13.15" customHeight="1" x14ac:dyDescent="0.25">
      <c r="A2173">
        <f t="shared" si="274"/>
        <v>2168</v>
      </c>
      <c r="B2173" t="s">
        <v>2895</v>
      </c>
      <c r="C2173" s="2">
        <v>0.37916666666666665</v>
      </c>
      <c r="D2173" s="4">
        <f t="shared" si="278"/>
        <v>0.10486111111111107</v>
      </c>
      <c r="E2173" s="6">
        <v>0.27430555555555558</v>
      </c>
      <c r="F2173" s="5">
        <f t="shared" si="279"/>
        <v>0.72344322344322354</v>
      </c>
      <c r="G2173" s="5">
        <v>0.77600000000000002</v>
      </c>
      <c r="H2173" s="4">
        <f>56/1440</f>
        <v>3.888888888888889E-2</v>
      </c>
      <c r="I2173" s="5">
        <v>0.11</v>
      </c>
      <c r="J2173" s="11" t="s">
        <v>2901</v>
      </c>
    </row>
    <row r="2174" spans="1:10" ht="13.15" customHeight="1" x14ac:dyDescent="0.25">
      <c r="A2174">
        <f t="shared" si="274"/>
        <v>2169</v>
      </c>
      <c r="B2174" t="s">
        <v>2903</v>
      </c>
      <c r="C2174" s="2">
        <v>0.40694444444444444</v>
      </c>
      <c r="D2174" s="4">
        <f t="shared" ref="D2174" si="280">C2174-E2174</f>
        <v>0.11041666666666666</v>
      </c>
      <c r="E2174" s="6">
        <v>0.29652777777777778</v>
      </c>
      <c r="F2174" s="5">
        <f t="shared" ref="F2174" si="281">E2174/C2174</f>
        <v>0.72866894197952214</v>
      </c>
      <c r="G2174" s="5">
        <v>1</v>
      </c>
      <c r="H2174" s="4">
        <f>57.3/1440</f>
        <v>3.9791666666666663E-2</v>
      </c>
      <c r="I2174" s="5">
        <v>0.13400000000000001</v>
      </c>
      <c r="J2174" s="11" t="s">
        <v>2913</v>
      </c>
    </row>
    <row r="2175" spans="1:10" ht="13.15" customHeight="1" x14ac:dyDescent="0.25">
      <c r="A2175">
        <f t="shared" si="274"/>
        <v>2170</v>
      </c>
      <c r="B2175" t="s">
        <v>2905</v>
      </c>
      <c r="C2175" s="2">
        <v>0.39027777777777778</v>
      </c>
      <c r="D2175" s="4">
        <f t="shared" ref="D2175:D2193" si="282">C2175-E2175</f>
        <v>0.1027777777777778</v>
      </c>
      <c r="E2175" s="6">
        <v>0.28749999999999998</v>
      </c>
      <c r="F2175" s="5">
        <f t="shared" ref="F2175:F2193" si="283">E2175/C2175</f>
        <v>0.73665480427046259</v>
      </c>
      <c r="G2175" s="5">
        <v>1</v>
      </c>
      <c r="H2175" s="4">
        <f>56.2/1440</f>
        <v>3.9027777777777779E-2</v>
      </c>
      <c r="I2175" s="5">
        <v>0.13600000000000001</v>
      </c>
      <c r="J2175" s="11" t="s">
        <v>2913</v>
      </c>
    </row>
    <row r="2176" spans="1:10" ht="13.15" customHeight="1" x14ac:dyDescent="0.25">
      <c r="A2176">
        <f t="shared" si="274"/>
        <v>2171</v>
      </c>
      <c r="B2176" t="s">
        <v>2906</v>
      </c>
      <c r="C2176" s="2">
        <v>0.40416666666666667</v>
      </c>
      <c r="D2176" s="4">
        <f t="shared" si="282"/>
        <v>0.10625000000000001</v>
      </c>
      <c r="E2176" s="6">
        <v>0.29791666666666666</v>
      </c>
      <c r="F2176" s="5">
        <f t="shared" si="283"/>
        <v>0.7371134020618556</v>
      </c>
      <c r="G2176" s="5">
        <v>1</v>
      </c>
      <c r="H2176" s="4">
        <f>61.3/1440</f>
        <v>4.2569444444444444E-2</v>
      </c>
      <c r="I2176" s="5">
        <v>0.14299999999999999</v>
      </c>
      <c r="J2176" s="11" t="s">
        <v>2913</v>
      </c>
    </row>
    <row r="2177" spans="1:10" ht="13.15" customHeight="1" x14ac:dyDescent="0.25">
      <c r="A2177">
        <f t="shared" si="274"/>
        <v>2172</v>
      </c>
      <c r="B2177" t="s">
        <v>2907</v>
      </c>
      <c r="C2177" s="2">
        <v>0.44722222222222224</v>
      </c>
      <c r="D2177" s="4">
        <f t="shared" si="282"/>
        <v>0.16388888888888892</v>
      </c>
      <c r="E2177" s="6">
        <v>0.28333333333333333</v>
      </c>
      <c r="F2177" s="5">
        <f t="shared" si="283"/>
        <v>0.63354037267080743</v>
      </c>
      <c r="G2177" s="5">
        <v>1</v>
      </c>
      <c r="H2177" s="4">
        <f>50.2/1440</f>
        <v>3.4861111111111114E-2</v>
      </c>
      <c r="I2177" s="5">
        <v>0.123</v>
      </c>
      <c r="J2177" s="11" t="s">
        <v>2913</v>
      </c>
    </row>
    <row r="2178" spans="1:10" ht="13.15" customHeight="1" x14ac:dyDescent="0.25">
      <c r="A2178">
        <f t="shared" si="274"/>
        <v>2173</v>
      </c>
      <c r="B2178" t="s">
        <v>2908</v>
      </c>
      <c r="C2178" s="2">
        <v>0.44583333333333336</v>
      </c>
      <c r="D2178" s="4">
        <f t="shared" si="282"/>
        <v>0.11597222222222225</v>
      </c>
      <c r="E2178" s="6">
        <v>0.3298611111111111</v>
      </c>
      <c r="F2178" s="5">
        <f t="shared" si="283"/>
        <v>0.7398753894080996</v>
      </c>
      <c r="G2178" s="5">
        <v>1</v>
      </c>
      <c r="H2178" s="4">
        <f>59.3/1440</f>
        <v>4.1180555555555554E-2</v>
      </c>
      <c r="I2178" s="5">
        <v>0.125</v>
      </c>
      <c r="J2178" s="11" t="s">
        <v>2913</v>
      </c>
    </row>
    <row r="2179" spans="1:10" ht="13.15" customHeight="1" x14ac:dyDescent="0.25">
      <c r="A2179">
        <f t="shared" si="274"/>
        <v>2174</v>
      </c>
      <c r="B2179" t="s">
        <v>2904</v>
      </c>
      <c r="C2179" s="2">
        <v>0.37777777777777777</v>
      </c>
      <c r="D2179" s="4">
        <f t="shared" si="282"/>
        <v>9.7916666666666652E-2</v>
      </c>
      <c r="E2179" s="6">
        <v>0.27986111111111112</v>
      </c>
      <c r="F2179" s="5">
        <f t="shared" si="283"/>
        <v>0.7408088235294118</v>
      </c>
      <c r="G2179" s="5">
        <v>1</v>
      </c>
      <c r="H2179" s="4">
        <f>53.3/1440</f>
        <v>3.7013888888888888E-2</v>
      </c>
      <c r="I2179" s="5">
        <v>0.13200000000000001</v>
      </c>
      <c r="J2179" s="11" t="s">
        <v>2914</v>
      </c>
    </row>
    <row r="2180" spans="1:10" ht="13.15" customHeight="1" x14ac:dyDescent="0.25">
      <c r="A2180">
        <f t="shared" si="274"/>
        <v>2175</v>
      </c>
      <c r="B2180" t="s">
        <v>2909</v>
      </c>
      <c r="C2180" s="2">
        <v>0.40694444444444444</v>
      </c>
      <c r="D2180" s="4">
        <f t="shared" si="282"/>
        <v>0.10069444444444442</v>
      </c>
      <c r="E2180" s="6">
        <v>0.30625000000000002</v>
      </c>
      <c r="F2180" s="5">
        <f t="shared" si="283"/>
        <v>0.75255972696245743</v>
      </c>
      <c r="G2180" s="5">
        <v>1</v>
      </c>
      <c r="H2180" s="4">
        <f>51.6/1440</f>
        <v>3.5833333333333335E-2</v>
      </c>
      <c r="I2180" s="5">
        <v>0.11700000000000001</v>
      </c>
      <c r="J2180" s="11" t="s">
        <v>2914</v>
      </c>
    </row>
    <row r="2181" spans="1:10" ht="13.15" customHeight="1" x14ac:dyDescent="0.25">
      <c r="A2181">
        <f t="shared" si="274"/>
        <v>2176</v>
      </c>
      <c r="B2181" t="s">
        <v>2910</v>
      </c>
      <c r="C2181" s="2">
        <v>0.39513888888888887</v>
      </c>
      <c r="D2181" s="4">
        <f t="shared" si="282"/>
        <v>9.8611111111111094E-2</v>
      </c>
      <c r="E2181" s="6">
        <v>0.29652777777777778</v>
      </c>
      <c r="F2181" s="5">
        <f t="shared" si="283"/>
        <v>0.75043936731107208</v>
      </c>
      <c r="G2181" s="5">
        <v>1</v>
      </c>
      <c r="H2181" s="4">
        <f>59.1/1440</f>
        <v>4.1041666666666671E-2</v>
      </c>
      <c r="I2181" s="5">
        <v>0.13800000000000001</v>
      </c>
      <c r="J2181" s="11" t="s">
        <v>2914</v>
      </c>
    </row>
    <row r="2182" spans="1:10" ht="13.15" customHeight="1" x14ac:dyDescent="0.25">
      <c r="A2182">
        <f t="shared" si="274"/>
        <v>2177</v>
      </c>
      <c r="B2182" t="s">
        <v>2911</v>
      </c>
      <c r="C2182" s="2">
        <v>0.41041666666666665</v>
      </c>
      <c r="D2182" s="4">
        <f t="shared" si="282"/>
        <v>0.1159722222222222</v>
      </c>
      <c r="E2182" s="6">
        <v>0.29444444444444445</v>
      </c>
      <c r="F2182" s="5">
        <f t="shared" si="283"/>
        <v>0.71742808798646363</v>
      </c>
      <c r="G2182" s="5">
        <v>1</v>
      </c>
      <c r="H2182" s="4">
        <f>62.1/1440</f>
        <v>4.3125000000000004E-2</v>
      </c>
      <c r="I2182" s="5">
        <v>0.14599999999999999</v>
      </c>
      <c r="J2182" s="11" t="s">
        <v>2914</v>
      </c>
    </row>
    <row r="2183" spans="1:10" ht="13.15" customHeight="1" x14ac:dyDescent="0.25">
      <c r="A2183">
        <f t="shared" si="274"/>
        <v>2178</v>
      </c>
      <c r="B2183" t="s">
        <v>2912</v>
      </c>
      <c r="C2183" s="2">
        <v>0.33402777777777776</v>
      </c>
      <c r="D2183" s="4">
        <f t="shared" si="282"/>
        <v>8.8888888888888878E-2</v>
      </c>
      <c r="E2183" s="6">
        <v>0.24513888888888888</v>
      </c>
      <c r="F2183" s="5">
        <f t="shared" si="283"/>
        <v>0.73388773388773387</v>
      </c>
      <c r="G2183" s="5">
        <v>1</v>
      </c>
      <c r="H2183" s="4">
        <f>54.2/1440</f>
        <v>3.7638888888888888E-2</v>
      </c>
      <c r="I2183" s="5">
        <v>0.154</v>
      </c>
      <c r="J2183" s="11" t="s">
        <v>2914</v>
      </c>
    </row>
    <row r="2184" spans="1:10" ht="13.15" customHeight="1" x14ac:dyDescent="0.25">
      <c r="A2184">
        <f t="shared" si="274"/>
        <v>2179</v>
      </c>
      <c r="B2184" t="s">
        <v>2915</v>
      </c>
      <c r="C2184" s="2">
        <v>0.57986111111111116</v>
      </c>
      <c r="D2184" s="4">
        <f t="shared" si="282"/>
        <v>0.15416666666666673</v>
      </c>
      <c r="E2184" s="6">
        <v>0.42569444444444443</v>
      </c>
      <c r="F2184" s="5">
        <f t="shared" si="283"/>
        <v>0.73413173652694608</v>
      </c>
      <c r="G2184" s="5">
        <v>0.80700000000000005</v>
      </c>
      <c r="H2184" s="4">
        <f>55.5/1440</f>
        <v>3.8541666666666669E-2</v>
      </c>
      <c r="I2184" s="5">
        <v>7.2999999999999995E-2</v>
      </c>
      <c r="J2184" s="11" t="s">
        <v>2926</v>
      </c>
    </row>
    <row r="2185" spans="1:10" ht="13.15" customHeight="1" x14ac:dyDescent="0.25">
      <c r="A2185">
        <f t="shared" si="274"/>
        <v>2180</v>
      </c>
      <c r="B2185" t="s">
        <v>2916</v>
      </c>
      <c r="C2185" s="2">
        <v>0.5708333333333333</v>
      </c>
      <c r="D2185" s="4">
        <f t="shared" si="282"/>
        <v>0.13749999999999996</v>
      </c>
      <c r="E2185" s="6">
        <v>0.43333333333333335</v>
      </c>
      <c r="F2185" s="5">
        <f t="shared" si="283"/>
        <v>0.75912408759124095</v>
      </c>
      <c r="G2185" s="5">
        <v>0.84799999999999998</v>
      </c>
      <c r="H2185" s="4">
        <f>57.5/1440</f>
        <v>3.9930555555555552E-2</v>
      </c>
      <c r="I2185" s="5">
        <v>7.8E-2</v>
      </c>
      <c r="J2185" s="11" t="s">
        <v>2926</v>
      </c>
    </row>
    <row r="2186" spans="1:10" ht="13.15" customHeight="1" x14ac:dyDescent="0.25">
      <c r="A2186">
        <f t="shared" si="274"/>
        <v>2181</v>
      </c>
      <c r="B2186" t="s">
        <v>2917</v>
      </c>
      <c r="C2186" s="2">
        <v>0.5854166666666667</v>
      </c>
      <c r="D2186" s="4">
        <f t="shared" si="282"/>
        <v>0.13958333333333334</v>
      </c>
      <c r="E2186" s="6">
        <v>0.44583333333333336</v>
      </c>
      <c r="F2186" s="5">
        <f t="shared" si="283"/>
        <v>0.76156583629893237</v>
      </c>
      <c r="G2186" s="5">
        <v>0.83599999999999997</v>
      </c>
      <c r="H2186" s="4">
        <f>58.5/1440</f>
        <v>4.0625000000000001E-2</v>
      </c>
      <c r="I2186" s="5">
        <v>7.5999999999999998E-2</v>
      </c>
      <c r="J2186" s="11" t="s">
        <v>2926</v>
      </c>
    </row>
    <row r="2187" spans="1:10" ht="13.15" customHeight="1" x14ac:dyDescent="0.25">
      <c r="A2187">
        <f t="shared" si="274"/>
        <v>2182</v>
      </c>
      <c r="B2187" t="s">
        <v>2918</v>
      </c>
      <c r="C2187" s="2">
        <v>0.4236111111111111</v>
      </c>
      <c r="D2187" s="4">
        <f t="shared" si="282"/>
        <v>0.10416666666666669</v>
      </c>
      <c r="E2187" s="6">
        <v>0.31944444444444442</v>
      </c>
      <c r="F2187" s="5">
        <f t="shared" si="283"/>
        <v>0.75409836065573765</v>
      </c>
      <c r="G2187" s="5">
        <v>0.97399999999999998</v>
      </c>
      <c r="H2187" s="4">
        <f>59.2/1440</f>
        <v>4.1111111111111112E-2</v>
      </c>
      <c r="I2187" s="5">
        <v>0.125</v>
      </c>
      <c r="J2187" s="11" t="s">
        <v>2926</v>
      </c>
    </row>
    <row r="2188" spans="1:10" ht="13.15" customHeight="1" x14ac:dyDescent="0.25">
      <c r="A2188">
        <f t="shared" si="274"/>
        <v>2183</v>
      </c>
      <c r="B2188" t="s">
        <v>2919</v>
      </c>
      <c r="C2188" s="2">
        <v>0.41805555555555557</v>
      </c>
      <c r="D2188" s="4">
        <f t="shared" si="282"/>
        <v>0.11527777777777781</v>
      </c>
      <c r="E2188" s="6">
        <v>0.30277777777777776</v>
      </c>
      <c r="F2188" s="5">
        <f t="shared" si="283"/>
        <v>0.72425249169435213</v>
      </c>
      <c r="G2188" s="5">
        <v>0.76</v>
      </c>
      <c r="H2188" s="4">
        <f>48.3/1440</f>
        <v>3.3541666666666664E-2</v>
      </c>
      <c r="I2188" s="5">
        <v>8.4000000000000005E-2</v>
      </c>
      <c r="J2188" s="11" t="s">
        <v>2926</v>
      </c>
    </row>
    <row r="2189" spans="1:10" ht="13.15" customHeight="1" x14ac:dyDescent="0.25">
      <c r="A2189">
        <f t="shared" si="274"/>
        <v>2184</v>
      </c>
      <c r="B2189" t="s">
        <v>2920</v>
      </c>
      <c r="C2189" s="2">
        <v>0.37569444444444444</v>
      </c>
      <c r="D2189" s="4">
        <f t="shared" si="282"/>
        <v>0.11249999999999999</v>
      </c>
      <c r="E2189" s="6">
        <v>0.26319444444444445</v>
      </c>
      <c r="F2189" s="5">
        <f t="shared" si="283"/>
        <v>0.70055452865064693</v>
      </c>
      <c r="G2189" s="5">
        <v>0.68</v>
      </c>
      <c r="H2189" s="4">
        <f>44.1/1440</f>
        <v>3.0624999999999999E-2</v>
      </c>
      <c r="I2189" s="5">
        <v>7.9000000000000001E-2</v>
      </c>
      <c r="J2189" s="11" t="s">
        <v>2925</v>
      </c>
    </row>
    <row r="2190" spans="1:10" ht="13.15" customHeight="1" x14ac:dyDescent="0.25">
      <c r="A2190">
        <f t="shared" si="274"/>
        <v>2185</v>
      </c>
      <c r="B2190" t="s">
        <v>2921</v>
      </c>
      <c r="C2190" s="2">
        <v>0.44097222222222221</v>
      </c>
      <c r="D2190" s="4">
        <f t="shared" si="282"/>
        <v>0.12291666666666667</v>
      </c>
      <c r="E2190" s="6">
        <v>0.31805555555555554</v>
      </c>
      <c r="F2190" s="5">
        <f t="shared" si="283"/>
        <v>0.721259842519685</v>
      </c>
      <c r="G2190" s="5">
        <v>0.79</v>
      </c>
      <c r="H2190" s="4">
        <f t="shared" ref="H2190" si="284">56/1440</f>
        <v>3.888888888888889E-2</v>
      </c>
      <c r="I2190" s="5">
        <v>9.7000000000000003E-2</v>
      </c>
      <c r="J2190" s="11" t="s">
        <v>2925</v>
      </c>
    </row>
    <row r="2191" spans="1:10" ht="13.15" customHeight="1" x14ac:dyDescent="0.25">
      <c r="A2191">
        <f t="shared" si="274"/>
        <v>2186</v>
      </c>
      <c r="B2191" t="s">
        <v>2922</v>
      </c>
      <c r="C2191" s="2">
        <v>0.43472222222222223</v>
      </c>
      <c r="D2191" s="4">
        <f t="shared" si="282"/>
        <v>0.15208333333333335</v>
      </c>
      <c r="E2191" s="6">
        <v>0.28263888888888888</v>
      </c>
      <c r="F2191" s="5">
        <f t="shared" si="283"/>
        <v>0.65015974440894564</v>
      </c>
      <c r="G2191" s="5">
        <v>0.82</v>
      </c>
      <c r="H2191" s="4">
        <f>52/1440</f>
        <v>3.6111111111111108E-2</v>
      </c>
      <c r="I2191" s="5">
        <v>0.105</v>
      </c>
      <c r="J2191" s="11" t="s">
        <v>2925</v>
      </c>
    </row>
    <row r="2192" spans="1:10" ht="13.15" customHeight="1" x14ac:dyDescent="0.25">
      <c r="A2192">
        <f t="shared" si="274"/>
        <v>2187</v>
      </c>
      <c r="B2192" t="s">
        <v>2923</v>
      </c>
      <c r="C2192" s="2">
        <v>0.38333333333333336</v>
      </c>
      <c r="D2192" s="4">
        <f t="shared" si="282"/>
        <v>0.10486111111111113</v>
      </c>
      <c r="E2192" s="6">
        <v>0.27847222222222223</v>
      </c>
      <c r="F2192" s="5">
        <f t="shared" si="283"/>
        <v>0.72644927536231885</v>
      </c>
      <c r="G2192" s="5">
        <v>0.75</v>
      </c>
      <c r="H2192" s="4">
        <f>48.5/1440</f>
        <v>3.3680555555555554E-2</v>
      </c>
      <c r="I2192" s="5">
        <v>9.0999999999999998E-2</v>
      </c>
      <c r="J2192" s="11" t="s">
        <v>2925</v>
      </c>
    </row>
    <row r="2193" spans="1:10" ht="13.15" customHeight="1" x14ac:dyDescent="0.25">
      <c r="A2193">
        <f t="shared" si="274"/>
        <v>2188</v>
      </c>
      <c r="B2193" t="s">
        <v>2924</v>
      </c>
      <c r="C2193" s="2">
        <v>0.39791666666666664</v>
      </c>
      <c r="D2193" s="4">
        <f t="shared" si="282"/>
        <v>0.11944444444444441</v>
      </c>
      <c r="E2193" s="6">
        <v>0.27847222222222223</v>
      </c>
      <c r="F2193" s="5">
        <f t="shared" si="283"/>
        <v>0.69982547993019206</v>
      </c>
      <c r="G2193" s="5">
        <v>0.69499999999999995</v>
      </c>
      <c r="H2193" s="4">
        <f>56.8/1440</f>
        <v>3.9444444444444442E-2</v>
      </c>
      <c r="I2193" s="5">
        <v>9.8000000000000004E-2</v>
      </c>
      <c r="J2193" s="11" t="s">
        <v>2925</v>
      </c>
    </row>
    <row r="2194" spans="1:10" ht="13.15" customHeight="1" x14ac:dyDescent="0.25">
      <c r="A2194">
        <f t="shared" si="274"/>
        <v>2189</v>
      </c>
      <c r="B2194" t="s">
        <v>2927</v>
      </c>
      <c r="C2194" s="2">
        <v>0.42986111111111114</v>
      </c>
      <c r="D2194" s="4">
        <f t="shared" ref="D2194:D2202" si="285">C2194-E2194</f>
        <v>0.10833333333333334</v>
      </c>
      <c r="E2194" s="6">
        <v>0.3215277777777778</v>
      </c>
      <c r="F2194" s="5">
        <f t="shared" ref="F2194:F2202" si="286">E2194/C2194</f>
        <v>0.74798061389337644</v>
      </c>
      <c r="G2194" s="5">
        <v>0.78900000000000003</v>
      </c>
      <c r="H2194" s="4">
        <f>55.1/1440</f>
        <v>3.8263888888888889E-2</v>
      </c>
      <c r="I2194" s="5">
        <v>9.4E-2</v>
      </c>
      <c r="J2194" s="11" t="s">
        <v>2928</v>
      </c>
    </row>
    <row r="2195" spans="1:10" ht="13.15" customHeight="1" x14ac:dyDescent="0.25">
      <c r="A2195">
        <f t="shared" si="274"/>
        <v>2190</v>
      </c>
      <c r="B2195" t="s">
        <v>2929</v>
      </c>
      <c r="C2195" s="2">
        <v>0.48125000000000001</v>
      </c>
      <c r="D2195" s="4">
        <f t="shared" si="285"/>
        <v>0.12638888888888888</v>
      </c>
      <c r="E2195" s="6">
        <v>0.35486111111111113</v>
      </c>
      <c r="F2195" s="5">
        <f t="shared" si="286"/>
        <v>0.73737373737373735</v>
      </c>
      <c r="G2195" s="5">
        <v>0.83199999999999996</v>
      </c>
      <c r="H2195" s="4">
        <f>58.2/1440</f>
        <v>4.041666666666667E-2</v>
      </c>
      <c r="I2195" s="5">
        <v>9.5000000000000001E-2</v>
      </c>
      <c r="J2195" s="11" t="s">
        <v>2928</v>
      </c>
    </row>
    <row r="2196" spans="1:10" ht="13.15" customHeight="1" x14ac:dyDescent="0.25">
      <c r="A2196">
        <f t="shared" si="274"/>
        <v>2191</v>
      </c>
      <c r="B2196" t="s">
        <v>2930</v>
      </c>
      <c r="C2196" s="2">
        <v>0.41666666666666669</v>
      </c>
      <c r="D2196" s="4">
        <f t="shared" si="285"/>
        <v>0.10069444444444448</v>
      </c>
      <c r="E2196" s="6">
        <v>0.31597222222222221</v>
      </c>
      <c r="F2196" s="5">
        <f t="shared" si="286"/>
        <v>0.7583333333333333</v>
      </c>
      <c r="G2196" s="5">
        <v>0.77</v>
      </c>
      <c r="H2196" s="4">
        <f>63.6/1440</f>
        <v>4.4166666666666667E-2</v>
      </c>
      <c r="I2196" s="5">
        <v>0.108</v>
      </c>
      <c r="J2196" s="11" t="s">
        <v>2928</v>
      </c>
    </row>
    <row r="2197" spans="1:10" ht="13.15" customHeight="1" x14ac:dyDescent="0.25">
      <c r="A2197">
        <f t="shared" si="274"/>
        <v>2192</v>
      </c>
      <c r="B2197" t="s">
        <v>2931</v>
      </c>
      <c r="C2197" s="2">
        <v>0.42986111111111114</v>
      </c>
      <c r="D2197" s="4">
        <f t="shared" si="285"/>
        <v>0.11250000000000004</v>
      </c>
      <c r="E2197" s="6">
        <v>0.31736111111111109</v>
      </c>
      <c r="F2197" s="5">
        <f t="shared" si="286"/>
        <v>0.73828756058158307</v>
      </c>
      <c r="G2197" s="5">
        <v>0.69</v>
      </c>
      <c r="H2197" s="4">
        <f>53.7/1440</f>
        <v>3.7291666666666667E-2</v>
      </c>
      <c r="I2197" s="5">
        <v>8.1000000000000003E-2</v>
      </c>
      <c r="J2197" s="11" t="s">
        <v>2928</v>
      </c>
    </row>
    <row r="2198" spans="1:10" ht="13.15" customHeight="1" x14ac:dyDescent="0.25">
      <c r="A2198">
        <f t="shared" si="274"/>
        <v>2193</v>
      </c>
      <c r="B2198" t="s">
        <v>2932</v>
      </c>
      <c r="C2198" s="2">
        <v>0.36527777777777776</v>
      </c>
      <c r="D2198" s="4">
        <f t="shared" si="285"/>
        <v>9.1666666666666619E-2</v>
      </c>
      <c r="E2198" s="6">
        <v>0.27361111111111114</v>
      </c>
      <c r="F2198" s="5">
        <f t="shared" si="286"/>
        <v>0.74904942965779475</v>
      </c>
      <c r="G2198" s="5">
        <v>0.86199999999999999</v>
      </c>
      <c r="H2198" s="4">
        <f>37.5/1440</f>
        <v>2.6041666666666668E-2</v>
      </c>
      <c r="I2198" s="5">
        <v>8.2000000000000003E-2</v>
      </c>
      <c r="J2198" s="11" t="s">
        <v>2928</v>
      </c>
    </row>
    <row r="2199" spans="1:10" ht="13.15" customHeight="1" x14ac:dyDescent="0.25">
      <c r="A2199">
        <f t="shared" si="274"/>
        <v>2194</v>
      </c>
      <c r="B2199" t="s">
        <v>2933</v>
      </c>
      <c r="C2199" s="2">
        <v>0.38819444444444445</v>
      </c>
      <c r="D2199" s="4">
        <f t="shared" si="285"/>
        <v>9.2361111111111116E-2</v>
      </c>
      <c r="E2199" s="6">
        <v>0.29583333333333334</v>
      </c>
      <c r="F2199" s="5">
        <f t="shared" si="286"/>
        <v>0.76207513416815742</v>
      </c>
      <c r="G2199" s="5">
        <v>0.78600000000000003</v>
      </c>
      <c r="H2199" s="4">
        <f>40.7/1440</f>
        <v>2.826388888888889E-2</v>
      </c>
      <c r="I2199" s="5">
        <v>7.4999999999999997E-2</v>
      </c>
      <c r="J2199" s="11" t="s">
        <v>2934</v>
      </c>
    </row>
    <row r="2200" spans="1:10" ht="13.15" customHeight="1" x14ac:dyDescent="0.25">
      <c r="A2200">
        <f t="shared" si="274"/>
        <v>2195</v>
      </c>
      <c r="B2200" t="s">
        <v>2935</v>
      </c>
      <c r="C2200" s="2">
        <v>0.39513888888888887</v>
      </c>
      <c r="D2200" s="4">
        <f t="shared" si="285"/>
        <v>0.1076388888888889</v>
      </c>
      <c r="E2200" s="6">
        <v>0.28749999999999998</v>
      </c>
      <c r="F2200" s="5">
        <f t="shared" si="286"/>
        <v>0.7275922671353251</v>
      </c>
      <c r="G2200" s="5">
        <v>0.79300000000000004</v>
      </c>
      <c r="H2200" s="4">
        <f>56.7/1440</f>
        <v>3.9375E-2</v>
      </c>
      <c r="I2200" s="5">
        <v>0.108</v>
      </c>
      <c r="J2200" s="11" t="s">
        <v>2934</v>
      </c>
    </row>
    <row r="2201" spans="1:10" ht="13.15" customHeight="1" x14ac:dyDescent="0.25">
      <c r="A2201">
        <f t="shared" ref="A2201:A2264" si="287">A2200+1</f>
        <v>2196</v>
      </c>
      <c r="B2201" t="s">
        <v>2936</v>
      </c>
      <c r="C2201" s="2">
        <v>0.55000000000000004</v>
      </c>
      <c r="D2201" s="4">
        <f t="shared" si="285"/>
        <v>0.1479166666666667</v>
      </c>
      <c r="E2201" s="6">
        <v>0.40208333333333335</v>
      </c>
      <c r="F2201" s="5">
        <f t="shared" si="286"/>
        <v>0.73106060606060608</v>
      </c>
      <c r="G2201" s="5">
        <v>0.79700000000000004</v>
      </c>
      <c r="H2201" s="4">
        <f>66.4/1440</f>
        <v>4.6111111111111117E-2</v>
      </c>
      <c r="I2201" s="5">
        <v>9.0999999999999998E-2</v>
      </c>
      <c r="J2201" s="11" t="s">
        <v>2934</v>
      </c>
    </row>
    <row r="2202" spans="1:10" ht="13.15" customHeight="1" x14ac:dyDescent="0.25">
      <c r="A2202">
        <f t="shared" si="287"/>
        <v>2197</v>
      </c>
      <c r="B2202" t="s">
        <v>2937</v>
      </c>
      <c r="C2202" s="2">
        <v>0.4777777777777778</v>
      </c>
      <c r="D2202" s="4">
        <f t="shared" si="285"/>
        <v>9.2361111111111116E-2</v>
      </c>
      <c r="E2202" s="6">
        <v>0.38541666666666669</v>
      </c>
      <c r="F2202" s="5">
        <f t="shared" si="286"/>
        <v>0.8066860465116279</v>
      </c>
      <c r="G2202" s="5">
        <v>0.81599999999999995</v>
      </c>
      <c r="H2202" s="4">
        <f>58.2/1440</f>
        <v>4.041666666666667E-2</v>
      </c>
      <c r="I2202" s="5">
        <v>8.5000000000000006E-2</v>
      </c>
      <c r="J2202" s="11" t="s">
        <v>2934</v>
      </c>
    </row>
    <row r="2203" spans="1:10" ht="13.15" customHeight="1" x14ac:dyDescent="0.25">
      <c r="A2203">
        <f t="shared" si="287"/>
        <v>2198</v>
      </c>
      <c r="B2203" t="s">
        <v>2938</v>
      </c>
      <c r="C2203" s="2">
        <v>0.37777777777777777</v>
      </c>
      <c r="D2203" s="4">
        <f t="shared" ref="D2203:D2211" si="288">C2203-E2203</f>
        <v>0.11249999999999999</v>
      </c>
      <c r="E2203" s="6">
        <v>0.26527777777777778</v>
      </c>
      <c r="F2203" s="5">
        <f t="shared" ref="F2203:F2211" si="289">E2203/C2203</f>
        <v>0.70220588235294124</v>
      </c>
      <c r="G2203" s="5">
        <v>0.81100000000000005</v>
      </c>
      <c r="H2203" s="4">
        <f>59.8/1440</f>
        <v>4.1527777777777775E-2</v>
      </c>
      <c r="I2203" s="5">
        <v>0.127</v>
      </c>
      <c r="J2203" s="11" t="s">
        <v>2939</v>
      </c>
    </row>
    <row r="2204" spans="1:10" ht="13.15" customHeight="1" x14ac:dyDescent="0.25">
      <c r="A2204">
        <f t="shared" si="287"/>
        <v>2199</v>
      </c>
      <c r="B2204" t="s">
        <v>2940</v>
      </c>
      <c r="C2204" s="2">
        <v>0.33819444444444446</v>
      </c>
      <c r="D2204" s="4">
        <f t="shared" si="288"/>
        <v>0.10347222222222224</v>
      </c>
      <c r="E2204" s="6">
        <v>0.23472222222222222</v>
      </c>
      <c r="F2204" s="5">
        <f t="shared" si="289"/>
        <v>0.69404517453798764</v>
      </c>
      <c r="G2204" s="5">
        <v>0.85099999999999998</v>
      </c>
      <c r="H2204" s="4">
        <f>64/1440</f>
        <v>4.4444444444444446E-2</v>
      </c>
      <c r="I2204" s="5">
        <v>0.161</v>
      </c>
      <c r="J2204" s="11" t="s">
        <v>2939</v>
      </c>
    </row>
    <row r="2205" spans="1:10" ht="13.15" customHeight="1" x14ac:dyDescent="0.25">
      <c r="A2205">
        <f t="shared" si="287"/>
        <v>2200</v>
      </c>
      <c r="B2205" t="s">
        <v>2941</v>
      </c>
      <c r="C2205" s="2">
        <v>0.34375</v>
      </c>
      <c r="D2205" s="4">
        <f t="shared" si="288"/>
        <v>9.5138888888888884E-2</v>
      </c>
      <c r="E2205" s="6">
        <v>0.24861111111111112</v>
      </c>
      <c r="F2205" s="5">
        <f t="shared" si="289"/>
        <v>0.72323232323232323</v>
      </c>
      <c r="G2205" s="5">
        <v>0.74</v>
      </c>
      <c r="H2205" s="4">
        <f>53.7/1440</f>
        <v>3.7291666666666667E-2</v>
      </c>
      <c r="I2205" s="5">
        <v>0.111</v>
      </c>
      <c r="J2205" s="11" t="s">
        <v>2939</v>
      </c>
    </row>
    <row r="2206" spans="1:10" ht="13.15" customHeight="1" x14ac:dyDescent="0.25">
      <c r="A2206">
        <f t="shared" si="287"/>
        <v>2201</v>
      </c>
      <c r="B2206" t="s">
        <v>2942</v>
      </c>
      <c r="C2206" s="2">
        <v>0.37638888888888888</v>
      </c>
      <c r="D2206" s="4">
        <f t="shared" si="288"/>
        <v>0.12986111111111109</v>
      </c>
      <c r="E2206" s="6">
        <v>0.24652777777777779</v>
      </c>
      <c r="F2206" s="5">
        <f t="shared" si="289"/>
        <v>0.65498154981549817</v>
      </c>
      <c r="G2206" s="5">
        <v>0.752</v>
      </c>
      <c r="H2206" s="4">
        <f>48.8/1440</f>
        <v>3.3888888888888885E-2</v>
      </c>
      <c r="I2206" s="5">
        <v>0.10299999999999999</v>
      </c>
      <c r="J2206" s="11" t="s">
        <v>2939</v>
      </c>
    </row>
    <row r="2207" spans="1:10" ht="13.15" customHeight="1" x14ac:dyDescent="0.25">
      <c r="A2207">
        <f t="shared" si="287"/>
        <v>2202</v>
      </c>
      <c r="B2207" t="s">
        <v>2943</v>
      </c>
      <c r="C2207" s="2">
        <v>0.35972222222222222</v>
      </c>
      <c r="D2207" s="4">
        <f t="shared" si="288"/>
        <v>0.11805555555555555</v>
      </c>
      <c r="E2207" s="6">
        <v>0.24166666666666667</v>
      </c>
      <c r="F2207" s="5">
        <f t="shared" si="289"/>
        <v>0.6718146718146718</v>
      </c>
      <c r="G2207" s="5">
        <v>0.874</v>
      </c>
      <c r="H2207" s="4">
        <f>58.5/1440</f>
        <v>4.0625000000000001E-2</v>
      </c>
      <c r="I2207" s="5">
        <v>0.14599999999999999</v>
      </c>
      <c r="J2207" s="11" t="s">
        <v>2939</v>
      </c>
    </row>
    <row r="2208" spans="1:10" ht="13.15" customHeight="1" x14ac:dyDescent="0.25">
      <c r="A2208">
        <f t="shared" si="287"/>
        <v>2203</v>
      </c>
      <c r="B2208" t="s">
        <v>2944</v>
      </c>
      <c r="C2208" s="2">
        <v>0.34305555555555556</v>
      </c>
      <c r="D2208" s="4">
        <f t="shared" si="288"/>
        <v>8.2638888888888873E-2</v>
      </c>
      <c r="E2208" s="6">
        <v>0.26041666666666669</v>
      </c>
      <c r="F2208" s="5">
        <f t="shared" si="289"/>
        <v>0.75910931174089069</v>
      </c>
      <c r="G2208" s="5">
        <v>0.82699999999999996</v>
      </c>
      <c r="H2208" s="4">
        <f>57.6/1440</f>
        <v>0.04</v>
      </c>
      <c r="I2208" s="5">
        <v>0.127</v>
      </c>
      <c r="J2208" s="11" t="s">
        <v>2945</v>
      </c>
    </row>
    <row r="2209" spans="1:10" ht="13.15" customHeight="1" x14ac:dyDescent="0.25">
      <c r="A2209">
        <f t="shared" si="287"/>
        <v>2204</v>
      </c>
      <c r="B2209" t="s">
        <v>2946</v>
      </c>
      <c r="C2209" s="2">
        <v>0.41597222222222224</v>
      </c>
      <c r="D2209" s="4">
        <f t="shared" si="288"/>
        <v>0.13541666666666669</v>
      </c>
      <c r="E2209" s="6">
        <v>0.28055555555555556</v>
      </c>
      <c r="F2209" s="5">
        <f t="shared" si="289"/>
        <v>0.67445742904841399</v>
      </c>
      <c r="G2209" s="5">
        <v>0.78</v>
      </c>
      <c r="H2209" s="4">
        <f>71.8/1440</f>
        <v>4.9861111111111106E-2</v>
      </c>
      <c r="I2209" s="5">
        <v>0.13900000000000001</v>
      </c>
      <c r="J2209" s="11" t="s">
        <v>2945</v>
      </c>
    </row>
    <row r="2210" spans="1:10" ht="13.15" customHeight="1" x14ac:dyDescent="0.25">
      <c r="A2210">
        <f t="shared" si="287"/>
        <v>2205</v>
      </c>
      <c r="B2210" t="s">
        <v>2947</v>
      </c>
      <c r="C2210" s="2">
        <v>0.46111111111111114</v>
      </c>
      <c r="D2210" s="4">
        <f t="shared" si="288"/>
        <v>0.13680555555555557</v>
      </c>
      <c r="E2210" s="6">
        <v>0.32430555555555557</v>
      </c>
      <c r="F2210" s="5">
        <f t="shared" si="289"/>
        <v>0.70331325301204817</v>
      </c>
      <c r="G2210" s="5">
        <v>0.79400000000000004</v>
      </c>
      <c r="H2210" s="4">
        <f>63.8/1440</f>
        <v>4.4305555555555556E-2</v>
      </c>
      <c r="I2210" s="5">
        <v>0.109</v>
      </c>
      <c r="J2210" s="11" t="s">
        <v>2945</v>
      </c>
    </row>
    <row r="2211" spans="1:10" ht="13.15" customHeight="1" x14ac:dyDescent="0.25">
      <c r="A2211">
        <f t="shared" si="287"/>
        <v>2206</v>
      </c>
      <c r="B2211" t="s">
        <v>2948</v>
      </c>
      <c r="C2211" s="2">
        <v>0.38333333333333336</v>
      </c>
      <c r="D2211" s="4">
        <f t="shared" si="288"/>
        <v>0.13125000000000003</v>
      </c>
      <c r="E2211" s="6">
        <v>0.25208333333333333</v>
      </c>
      <c r="F2211" s="5">
        <f t="shared" si="289"/>
        <v>0.65760869565217384</v>
      </c>
      <c r="G2211" s="5">
        <v>0.86899999999999999</v>
      </c>
      <c r="H2211" s="4">
        <f>73.6/1440</f>
        <v>5.1111111111111107E-2</v>
      </c>
      <c r="I2211" s="5">
        <v>0.17599999999999999</v>
      </c>
      <c r="J2211" s="11" t="s">
        <v>2945</v>
      </c>
    </row>
    <row r="2212" spans="1:10" ht="13.15" customHeight="1" x14ac:dyDescent="0.25">
      <c r="A2212">
        <f t="shared" si="287"/>
        <v>2207</v>
      </c>
      <c r="B2212" t="s">
        <v>2949</v>
      </c>
      <c r="C2212" s="2">
        <v>0.41875000000000001</v>
      </c>
      <c r="D2212" s="4">
        <f t="shared" ref="D2212:D2220" si="290">C2212-E2212</f>
        <v>9.8611111111111149E-2</v>
      </c>
      <c r="E2212" s="6">
        <v>0.32013888888888886</v>
      </c>
      <c r="F2212" s="5">
        <f t="shared" ref="F2212:F2220" si="291">E2212/C2212</f>
        <v>0.76451077943615253</v>
      </c>
      <c r="G2212" s="5">
        <v>0.79400000000000004</v>
      </c>
      <c r="H2212" s="4">
        <f>54.5/1440</f>
        <v>3.784722222222222E-2</v>
      </c>
      <c r="I2212" s="5">
        <v>9.4E-2</v>
      </c>
      <c r="J2212" s="11" t="s">
        <v>2958</v>
      </c>
    </row>
    <row r="2213" spans="1:10" ht="13.15" customHeight="1" x14ac:dyDescent="0.25">
      <c r="A2213">
        <f t="shared" si="287"/>
        <v>2208</v>
      </c>
      <c r="B2213" t="s">
        <v>2950</v>
      </c>
      <c r="C2213" s="2">
        <v>0.43402777777777779</v>
      </c>
      <c r="D2213" s="4">
        <f t="shared" si="290"/>
        <v>0.10486111111111113</v>
      </c>
      <c r="E2213" s="6">
        <v>0.32916666666666666</v>
      </c>
      <c r="F2213" s="5">
        <f t="shared" si="291"/>
        <v>0.75839999999999996</v>
      </c>
      <c r="G2213" s="5">
        <v>0.8</v>
      </c>
      <c r="H2213" s="4">
        <f>63.3/1440</f>
        <v>4.3958333333333328E-2</v>
      </c>
      <c r="I2213" s="5">
        <v>0.107</v>
      </c>
      <c r="J2213" s="11" t="s">
        <v>2958</v>
      </c>
    </row>
    <row r="2214" spans="1:10" ht="13.15" customHeight="1" x14ac:dyDescent="0.25">
      <c r="A2214">
        <f t="shared" si="287"/>
        <v>2209</v>
      </c>
      <c r="B2214" t="s">
        <v>2951</v>
      </c>
      <c r="C2214" s="2">
        <v>0.38472222222222224</v>
      </c>
      <c r="D2214" s="4">
        <f t="shared" si="290"/>
        <v>0.1027777777777778</v>
      </c>
      <c r="E2214" s="6">
        <v>0.28194444444444444</v>
      </c>
      <c r="F2214" s="5">
        <f t="shared" si="291"/>
        <v>0.73285198555956677</v>
      </c>
      <c r="G2214" s="5">
        <v>0.75</v>
      </c>
      <c r="H2214" s="4">
        <f>49.3/1440</f>
        <v>3.4236111111111106E-2</v>
      </c>
      <c r="I2214" s="5">
        <v>9.0999999999999998E-2</v>
      </c>
      <c r="J2214" s="11" t="s">
        <v>2958</v>
      </c>
    </row>
    <row r="2215" spans="1:10" ht="13.15" customHeight="1" x14ac:dyDescent="0.25">
      <c r="A2215">
        <f t="shared" si="287"/>
        <v>2210</v>
      </c>
      <c r="B2215" t="s">
        <v>2952</v>
      </c>
      <c r="C2215" s="2">
        <v>0.41805555555555557</v>
      </c>
      <c r="D2215" s="4">
        <f t="shared" si="290"/>
        <v>0.1027777777777778</v>
      </c>
      <c r="E2215" s="6">
        <v>0.31527777777777777</v>
      </c>
      <c r="F2215" s="5">
        <f t="shared" si="291"/>
        <v>0.75415282392026572</v>
      </c>
      <c r="G2215" s="5">
        <v>0.69199999999999995</v>
      </c>
      <c r="H2215" s="4">
        <f>50.1/1440</f>
        <v>3.4791666666666665E-2</v>
      </c>
      <c r="I2215" s="5">
        <v>7.5999999999999998E-2</v>
      </c>
      <c r="J2215" s="11" t="s">
        <v>2958</v>
      </c>
    </row>
    <row r="2216" spans="1:10" ht="13.15" customHeight="1" x14ac:dyDescent="0.25">
      <c r="A2216">
        <f t="shared" si="287"/>
        <v>2211</v>
      </c>
      <c r="B2216" t="s">
        <v>2953</v>
      </c>
      <c r="C2216" s="2">
        <v>0.37986111111111109</v>
      </c>
      <c r="D2216" s="4">
        <f t="shared" si="290"/>
        <v>9.0972222222222232E-2</v>
      </c>
      <c r="E2216" s="6">
        <v>0.28888888888888886</v>
      </c>
      <c r="F2216" s="5">
        <f t="shared" si="291"/>
        <v>0.76051188299817185</v>
      </c>
      <c r="G2216" s="5">
        <v>0.85</v>
      </c>
      <c r="H2216" s="4">
        <f>50.3/1440</f>
        <v>3.4930555555555555E-2</v>
      </c>
      <c r="I2216" s="5">
        <v>0.10299999999999999</v>
      </c>
      <c r="J2216" s="11" t="s">
        <v>2958</v>
      </c>
    </row>
    <row r="2217" spans="1:10" ht="13.15" customHeight="1" x14ac:dyDescent="0.25">
      <c r="A2217">
        <f t="shared" si="287"/>
        <v>2212</v>
      </c>
      <c r="B2217" t="s">
        <v>2954</v>
      </c>
      <c r="C2217" s="2">
        <v>0.43055555555555558</v>
      </c>
      <c r="D2217" s="4">
        <f t="shared" si="290"/>
        <v>9.375E-2</v>
      </c>
      <c r="E2217" s="6">
        <v>0.33680555555555558</v>
      </c>
      <c r="F2217" s="5">
        <f t="shared" si="291"/>
        <v>0.782258064516129</v>
      </c>
      <c r="G2217" s="5">
        <v>0.81200000000000006</v>
      </c>
      <c r="H2217" s="4">
        <f>55.3/1440</f>
        <v>3.8402777777777779E-2</v>
      </c>
      <c r="I2217" s="5">
        <v>9.1999999999999998E-2</v>
      </c>
      <c r="J2217" s="11" t="s">
        <v>2959</v>
      </c>
    </row>
    <row r="2218" spans="1:10" ht="13.15" customHeight="1" x14ac:dyDescent="0.25">
      <c r="A2218">
        <f t="shared" si="287"/>
        <v>2213</v>
      </c>
      <c r="B2218" t="s">
        <v>2955</v>
      </c>
      <c r="C2218" s="2">
        <v>0.47986111111111113</v>
      </c>
      <c r="D2218" s="4">
        <f t="shared" si="290"/>
        <v>0.11458333333333337</v>
      </c>
      <c r="E2218" s="6">
        <v>0.36527777777777776</v>
      </c>
      <c r="F2218" s="5">
        <f t="shared" si="291"/>
        <v>0.76121562952243116</v>
      </c>
      <c r="G2218" s="5">
        <v>0.78100000000000003</v>
      </c>
      <c r="H2218" s="4">
        <f>54.9/1440</f>
        <v>3.8124999999999999E-2</v>
      </c>
      <c r="I2218" s="5">
        <v>8.2000000000000003E-2</v>
      </c>
      <c r="J2218" s="11" t="s">
        <v>2959</v>
      </c>
    </row>
    <row r="2219" spans="1:10" ht="13.15" customHeight="1" x14ac:dyDescent="0.25">
      <c r="A2219">
        <f t="shared" si="287"/>
        <v>2214</v>
      </c>
      <c r="B2219" t="s">
        <v>2956</v>
      </c>
      <c r="C2219" s="2">
        <v>0.49583333333333335</v>
      </c>
      <c r="D2219" s="4">
        <f t="shared" si="290"/>
        <v>0.1076388888888889</v>
      </c>
      <c r="E2219" s="6">
        <v>0.38819444444444445</v>
      </c>
      <c r="F2219" s="5">
        <f t="shared" si="291"/>
        <v>0.78291316526610644</v>
      </c>
      <c r="G2219" s="5">
        <v>0.83799999999999997</v>
      </c>
      <c r="H2219" s="4">
        <f>59.5/1440</f>
        <v>4.1319444444444443E-2</v>
      </c>
      <c r="I2219" s="5">
        <v>8.8999999999999996E-2</v>
      </c>
      <c r="J2219" s="11" t="s">
        <v>2959</v>
      </c>
    </row>
    <row r="2220" spans="1:10" ht="13.15" customHeight="1" x14ac:dyDescent="0.25">
      <c r="A2220">
        <f t="shared" si="287"/>
        <v>2215</v>
      </c>
      <c r="B2220" t="s">
        <v>2957</v>
      </c>
      <c r="C2220" s="2">
        <v>0.51388888888888884</v>
      </c>
      <c r="D2220" s="4">
        <f t="shared" si="290"/>
        <v>0.13680555555555551</v>
      </c>
      <c r="E2220" s="6">
        <v>0.37708333333333333</v>
      </c>
      <c r="F2220" s="5">
        <f t="shared" si="291"/>
        <v>0.73378378378378384</v>
      </c>
      <c r="G2220" s="5">
        <v>0.81499999999999995</v>
      </c>
      <c r="H2220" s="4">
        <f>56.5/1440</f>
        <v>3.923611111111111E-2</v>
      </c>
      <c r="I2220" s="5">
        <v>8.5000000000000006E-2</v>
      </c>
      <c r="J2220" s="11" t="s">
        <v>2959</v>
      </c>
    </row>
    <row r="2221" spans="1:10" ht="13.15" customHeight="1" x14ac:dyDescent="0.25">
      <c r="A2221">
        <f t="shared" si="287"/>
        <v>2216</v>
      </c>
      <c r="B2221" t="s">
        <v>2962</v>
      </c>
      <c r="C2221" s="2">
        <v>0.40208333333333335</v>
      </c>
      <c r="D2221" s="4">
        <f t="shared" ref="D2221:D2229" si="292">C2221-E2221</f>
        <v>0.12430555555555556</v>
      </c>
      <c r="E2221" s="6">
        <v>0.27777777777777779</v>
      </c>
      <c r="F2221" s="5">
        <f t="shared" ref="F2221:F2229" si="293">E2221/C2221</f>
        <v>0.69084628670120896</v>
      </c>
      <c r="G2221" s="5">
        <v>0.76400000000000001</v>
      </c>
      <c r="H2221" s="4">
        <f>54.3/1440</f>
        <v>3.770833333333333E-2</v>
      </c>
      <c r="I2221" s="5">
        <v>0.10299999999999999</v>
      </c>
      <c r="J2221" s="11" t="s">
        <v>2960</v>
      </c>
    </row>
    <row r="2222" spans="1:10" ht="13.15" customHeight="1" x14ac:dyDescent="0.25">
      <c r="A2222">
        <f t="shared" si="287"/>
        <v>2217</v>
      </c>
      <c r="B2222" t="s">
        <v>2963</v>
      </c>
      <c r="C2222" s="2">
        <v>0.4201388888888889</v>
      </c>
      <c r="D2222" s="4">
        <f t="shared" si="292"/>
        <v>0.14722222222222225</v>
      </c>
      <c r="E2222" s="6">
        <v>0.27291666666666664</v>
      </c>
      <c r="F2222" s="5">
        <f t="shared" si="293"/>
        <v>0.64958677685950406</v>
      </c>
      <c r="G2222" s="5">
        <v>0.76500000000000001</v>
      </c>
      <c r="H2222" s="4">
        <f>58.1/1440</f>
        <v>4.0347222222222222E-2</v>
      </c>
      <c r="I2222" s="5">
        <v>0.112</v>
      </c>
      <c r="J2222" s="11" t="s">
        <v>2960</v>
      </c>
    </row>
    <row r="2223" spans="1:10" ht="13.15" customHeight="1" x14ac:dyDescent="0.25">
      <c r="A2223">
        <f t="shared" si="287"/>
        <v>2218</v>
      </c>
      <c r="B2223" t="s">
        <v>2964</v>
      </c>
      <c r="C2223" s="2">
        <v>0.38055555555555554</v>
      </c>
      <c r="D2223" s="4">
        <f t="shared" si="292"/>
        <v>0.13124999999999998</v>
      </c>
      <c r="E2223" s="6">
        <v>0.24930555555555556</v>
      </c>
      <c r="F2223" s="5">
        <f t="shared" si="293"/>
        <v>0.6551094890510949</v>
      </c>
      <c r="G2223" s="5">
        <v>0.69099999999999995</v>
      </c>
      <c r="H2223" s="4">
        <f>48.1/1440</f>
        <v>3.3402777777777781E-2</v>
      </c>
      <c r="I2223" s="5">
        <v>9.1999999999999998E-2</v>
      </c>
      <c r="J2223" s="11" t="s">
        <v>2960</v>
      </c>
    </row>
    <row r="2224" spans="1:10" ht="13.15" customHeight="1" x14ac:dyDescent="0.25">
      <c r="A2224">
        <f t="shared" si="287"/>
        <v>2219</v>
      </c>
      <c r="B2224" t="s">
        <v>2965</v>
      </c>
      <c r="C2224" s="2">
        <v>0.36875000000000002</v>
      </c>
      <c r="D2224" s="4">
        <f t="shared" si="292"/>
        <v>0.13055555555555559</v>
      </c>
      <c r="E2224" s="6">
        <v>0.23819444444444443</v>
      </c>
      <c r="F2224" s="5">
        <f t="shared" si="293"/>
        <v>0.64595103578154422</v>
      </c>
      <c r="G2224" s="5">
        <v>0.64200000000000002</v>
      </c>
      <c r="H2224" s="4">
        <f>42.5/1440</f>
        <v>2.9513888888888888E-2</v>
      </c>
      <c r="I2224" s="5">
        <v>7.9000000000000001E-2</v>
      </c>
      <c r="J2224" s="11" t="s">
        <v>2960</v>
      </c>
    </row>
    <row r="2225" spans="1:10" ht="13.15" customHeight="1" x14ac:dyDescent="0.25">
      <c r="A2225">
        <f t="shared" si="287"/>
        <v>2220</v>
      </c>
      <c r="B2225" t="s">
        <v>2966</v>
      </c>
      <c r="C2225" s="2">
        <v>0.34236111111111112</v>
      </c>
      <c r="D2225" s="4">
        <f t="shared" si="292"/>
        <v>0.10625000000000001</v>
      </c>
      <c r="E2225" s="6">
        <v>0.2361111111111111</v>
      </c>
      <c r="F2225" s="5">
        <f t="shared" si="293"/>
        <v>0.68965517241379304</v>
      </c>
      <c r="G2225" s="5">
        <v>0.85099999999999998</v>
      </c>
      <c r="H2225" s="4">
        <f>55.3/1440</f>
        <v>3.8402777777777779E-2</v>
      </c>
      <c r="I2225" s="5">
        <v>0.13800000000000001</v>
      </c>
      <c r="J2225" s="11" t="s">
        <v>2960</v>
      </c>
    </row>
    <row r="2226" spans="1:10" ht="13.15" customHeight="1" x14ac:dyDescent="0.25">
      <c r="A2226">
        <f t="shared" si="287"/>
        <v>2221</v>
      </c>
      <c r="B2226" t="s">
        <v>2967</v>
      </c>
      <c r="C2226" s="2">
        <v>0.35902777777777778</v>
      </c>
      <c r="D2226" s="4">
        <f t="shared" si="292"/>
        <v>9.4444444444444442E-2</v>
      </c>
      <c r="E2226" s="6">
        <v>0.26458333333333334</v>
      </c>
      <c r="F2226" s="5">
        <f t="shared" si="293"/>
        <v>0.73694390715667313</v>
      </c>
      <c r="G2226" s="5">
        <v>0.84899999999999998</v>
      </c>
      <c r="H2226" s="4">
        <f>59.9/1440</f>
        <v>4.1597222222222223E-2</v>
      </c>
      <c r="I2226" s="5">
        <v>0.13300000000000001</v>
      </c>
      <c r="J2226" s="11" t="s">
        <v>2961</v>
      </c>
    </row>
    <row r="2227" spans="1:10" ht="13.15" customHeight="1" x14ac:dyDescent="0.25">
      <c r="A2227">
        <f t="shared" si="287"/>
        <v>2222</v>
      </c>
      <c r="B2227" t="s">
        <v>2968</v>
      </c>
      <c r="C2227" s="2">
        <v>0.41597222222222224</v>
      </c>
      <c r="D2227" s="4">
        <f t="shared" si="292"/>
        <v>0.13055555555555559</v>
      </c>
      <c r="E2227" s="6">
        <v>0.28541666666666665</v>
      </c>
      <c r="F2227" s="5">
        <f t="shared" si="293"/>
        <v>0.68614357262103498</v>
      </c>
      <c r="G2227" s="5">
        <v>0.68200000000000005</v>
      </c>
      <c r="H2227" s="4">
        <f>57/1440</f>
        <v>3.9583333333333331E-2</v>
      </c>
      <c r="I2227" s="5">
        <v>9.5000000000000001E-2</v>
      </c>
      <c r="J2227" s="11" t="s">
        <v>2961</v>
      </c>
    </row>
    <row r="2228" spans="1:10" ht="13.15" customHeight="1" x14ac:dyDescent="0.25">
      <c r="A2228">
        <f t="shared" si="287"/>
        <v>2223</v>
      </c>
      <c r="B2228" t="s">
        <v>2969</v>
      </c>
      <c r="C2228" s="2">
        <v>0.47291666666666665</v>
      </c>
      <c r="D2228" s="4">
        <f t="shared" si="292"/>
        <v>0.12638888888888888</v>
      </c>
      <c r="E2228" s="6">
        <v>0.34652777777777777</v>
      </c>
      <c r="F2228" s="5">
        <f t="shared" si="293"/>
        <v>0.73274596182085172</v>
      </c>
      <c r="G2228" s="5">
        <v>0.83399999999999996</v>
      </c>
      <c r="H2228" s="4">
        <f>67.8/1440</f>
        <v>4.7083333333333331E-2</v>
      </c>
      <c r="I2228" s="5">
        <v>0.113</v>
      </c>
      <c r="J2228" s="11" t="s">
        <v>2961</v>
      </c>
    </row>
    <row r="2229" spans="1:10" ht="13.15" customHeight="1" x14ac:dyDescent="0.25">
      <c r="A2229">
        <f t="shared" si="287"/>
        <v>2224</v>
      </c>
      <c r="B2229" t="s">
        <v>2970</v>
      </c>
      <c r="C2229" s="2">
        <v>0.44583333333333336</v>
      </c>
      <c r="D2229" s="4">
        <f t="shared" si="292"/>
        <v>0.16875000000000001</v>
      </c>
      <c r="E2229" s="6">
        <v>0.27708333333333335</v>
      </c>
      <c r="F2229" s="5">
        <f t="shared" si="293"/>
        <v>0.62149532710280375</v>
      </c>
      <c r="G2229" s="5">
        <v>0.745</v>
      </c>
      <c r="H2229" s="4">
        <f>37.5/1440</f>
        <v>2.6041666666666668E-2</v>
      </c>
      <c r="I2229" s="5">
        <v>7.0000000000000007E-2</v>
      </c>
      <c r="J2229" s="11" t="s">
        <v>2961</v>
      </c>
    </row>
    <row r="2230" spans="1:10" ht="13.15" customHeight="1" x14ac:dyDescent="0.25">
      <c r="A2230">
        <f t="shared" si="287"/>
        <v>2225</v>
      </c>
      <c r="B2230" t="s">
        <v>2973</v>
      </c>
      <c r="C2230" s="2">
        <v>0.39930555555555558</v>
      </c>
      <c r="D2230" s="4">
        <f t="shared" ref="D2230:D2238" si="294">C2230-E2230</f>
        <v>0.125</v>
      </c>
      <c r="E2230" s="6">
        <v>0.27430555555555558</v>
      </c>
      <c r="F2230" s="5">
        <f t="shared" ref="F2230:F2238" si="295">E2230/C2230</f>
        <v>0.68695652173913047</v>
      </c>
      <c r="G2230" s="5">
        <v>0.749</v>
      </c>
      <c r="H2230" s="4">
        <f>53.2/1440</f>
        <v>3.6944444444444446E-2</v>
      </c>
      <c r="I2230" s="5">
        <v>0.10100000000000001</v>
      </c>
      <c r="J2230" s="11" t="s">
        <v>2971</v>
      </c>
    </row>
    <row r="2231" spans="1:10" ht="13.15" customHeight="1" x14ac:dyDescent="0.25">
      <c r="A2231">
        <f t="shared" si="287"/>
        <v>2226</v>
      </c>
      <c r="B2231" t="s">
        <v>2974</v>
      </c>
      <c r="C2231" s="2">
        <v>0.3840277777777778</v>
      </c>
      <c r="D2231" s="4">
        <f t="shared" si="294"/>
        <v>0.12708333333333338</v>
      </c>
      <c r="E2231" s="6">
        <v>0.25694444444444442</v>
      </c>
      <c r="F2231" s="5">
        <f t="shared" si="295"/>
        <v>0.66907775768535249</v>
      </c>
      <c r="G2231" s="5">
        <v>0.79400000000000004</v>
      </c>
      <c r="H2231" s="4">
        <f>49.9/1440</f>
        <v>3.4652777777777775E-2</v>
      </c>
      <c r="I2231" s="5">
        <v>0.107</v>
      </c>
      <c r="J2231" s="11" t="s">
        <v>2971</v>
      </c>
    </row>
    <row r="2232" spans="1:10" ht="13.15" customHeight="1" x14ac:dyDescent="0.25">
      <c r="A2232">
        <f t="shared" si="287"/>
        <v>2227</v>
      </c>
      <c r="B2232" t="s">
        <v>2975</v>
      </c>
      <c r="C2232" s="2">
        <v>0.36666666666666664</v>
      </c>
      <c r="D2232" s="4">
        <f t="shared" si="294"/>
        <v>0.11527777777777776</v>
      </c>
      <c r="E2232" s="6">
        <v>0.25138888888888888</v>
      </c>
      <c r="F2232" s="5">
        <f t="shared" si="295"/>
        <v>0.68560606060606066</v>
      </c>
      <c r="G2232" s="5">
        <v>0.66300000000000003</v>
      </c>
      <c r="H2232" s="4">
        <f>50.3/1440</f>
        <v>3.4930555555555555E-2</v>
      </c>
      <c r="I2232" s="5">
        <v>9.1999999999999998E-2</v>
      </c>
      <c r="J2232" s="11" t="s">
        <v>2971</v>
      </c>
    </row>
    <row r="2233" spans="1:10" ht="13.15" customHeight="1" x14ac:dyDescent="0.25">
      <c r="A2233">
        <f t="shared" si="287"/>
        <v>2228</v>
      </c>
      <c r="B2233" t="s">
        <v>2976</v>
      </c>
      <c r="C2233" s="2">
        <v>0.35555555555555557</v>
      </c>
      <c r="D2233" s="4">
        <f t="shared" si="294"/>
        <v>0.12847222222222224</v>
      </c>
      <c r="E2233" s="6">
        <v>0.22708333333333333</v>
      </c>
      <c r="F2233" s="5">
        <f t="shared" si="295"/>
        <v>0.638671875</v>
      </c>
      <c r="G2233" s="5">
        <v>0.67600000000000005</v>
      </c>
      <c r="H2233" s="4">
        <f>40.3/1440</f>
        <v>2.7986111111111107E-2</v>
      </c>
      <c r="I2233" s="5">
        <v>8.3000000000000004E-2</v>
      </c>
      <c r="J2233" s="11" t="s">
        <v>2971</v>
      </c>
    </row>
    <row r="2234" spans="1:10" ht="13.15" customHeight="1" x14ac:dyDescent="0.25">
      <c r="A2234">
        <f t="shared" si="287"/>
        <v>2229</v>
      </c>
      <c r="B2234" t="s">
        <v>2977</v>
      </c>
      <c r="C2234" s="2">
        <v>0.34861111111111109</v>
      </c>
      <c r="D2234" s="4">
        <f t="shared" si="294"/>
        <v>8.5416666666666641E-2</v>
      </c>
      <c r="E2234" s="6">
        <v>0.26319444444444445</v>
      </c>
      <c r="F2234" s="5">
        <f t="shared" si="295"/>
        <v>0.75498007968127501</v>
      </c>
      <c r="G2234" s="5">
        <v>0.77800000000000002</v>
      </c>
      <c r="H2234" s="4">
        <f>50.5/1440</f>
        <v>3.5069444444444445E-2</v>
      </c>
      <c r="I2234" s="5">
        <v>0.104</v>
      </c>
      <c r="J2234" s="11" t="s">
        <v>2971</v>
      </c>
    </row>
    <row r="2235" spans="1:10" ht="13.15" customHeight="1" x14ac:dyDescent="0.25">
      <c r="A2235">
        <f t="shared" si="287"/>
        <v>2230</v>
      </c>
      <c r="B2235" t="s">
        <v>2978</v>
      </c>
      <c r="C2235" s="2">
        <v>0.37083333333333335</v>
      </c>
      <c r="D2235" s="4">
        <f t="shared" si="294"/>
        <v>0.1076388888888889</v>
      </c>
      <c r="E2235" s="6">
        <v>0.26319444444444445</v>
      </c>
      <c r="F2235" s="5">
        <f t="shared" si="295"/>
        <v>0.70973782771535576</v>
      </c>
      <c r="G2235" s="5">
        <v>0.83199999999999996</v>
      </c>
      <c r="H2235" s="4">
        <f>67.1/1440</f>
        <v>4.659722222222222E-2</v>
      </c>
      <c r="I2235" s="5">
        <v>0.14699999999999999</v>
      </c>
      <c r="J2235" s="11" t="s">
        <v>2972</v>
      </c>
    </row>
    <row r="2236" spans="1:10" ht="13.15" customHeight="1" x14ac:dyDescent="0.25">
      <c r="A2236">
        <f t="shared" si="287"/>
        <v>2231</v>
      </c>
      <c r="B2236" t="s">
        <v>2979</v>
      </c>
      <c r="C2236" s="2">
        <v>0.43819444444444444</v>
      </c>
      <c r="D2236" s="4">
        <f t="shared" si="294"/>
        <v>0.13263888888888886</v>
      </c>
      <c r="E2236" s="6">
        <v>0.30555555555555558</v>
      </c>
      <c r="F2236" s="5">
        <f t="shared" si="295"/>
        <v>0.69730586370839942</v>
      </c>
      <c r="G2236" s="5">
        <v>0.80600000000000005</v>
      </c>
      <c r="H2236" s="4">
        <f>59.5/1440</f>
        <v>4.1319444444444443E-2</v>
      </c>
      <c r="I2236" s="5">
        <v>0.109</v>
      </c>
      <c r="J2236" s="11" t="s">
        <v>2972</v>
      </c>
    </row>
    <row r="2237" spans="1:10" ht="13.15" customHeight="1" x14ac:dyDescent="0.25">
      <c r="A2237">
        <f t="shared" si="287"/>
        <v>2232</v>
      </c>
      <c r="B2237" t="s">
        <v>2980</v>
      </c>
      <c r="C2237" s="2">
        <v>0.44097222222222221</v>
      </c>
      <c r="D2237" s="4">
        <f t="shared" si="294"/>
        <v>0.1423611111111111</v>
      </c>
      <c r="E2237" s="6">
        <v>0.2986111111111111</v>
      </c>
      <c r="F2237" s="5">
        <f t="shared" si="295"/>
        <v>0.67716535433070868</v>
      </c>
      <c r="G2237" s="5">
        <v>0.77</v>
      </c>
      <c r="H2237" s="4">
        <f>65.8/1440</f>
        <v>4.569444444444444E-2</v>
      </c>
      <c r="I2237" s="5">
        <v>0.11799999999999999</v>
      </c>
      <c r="J2237" s="11" t="s">
        <v>2972</v>
      </c>
    </row>
    <row r="2238" spans="1:10" ht="13.15" customHeight="1" x14ac:dyDescent="0.25">
      <c r="A2238">
        <f t="shared" si="287"/>
        <v>2233</v>
      </c>
      <c r="B2238" t="s">
        <v>2981</v>
      </c>
      <c r="C2238" s="2">
        <v>0.375</v>
      </c>
      <c r="D2238" s="4">
        <f t="shared" si="294"/>
        <v>0.13055555555555556</v>
      </c>
      <c r="E2238" s="6">
        <v>0.24444444444444444</v>
      </c>
      <c r="F2238" s="5">
        <f t="shared" si="295"/>
        <v>0.65185185185185179</v>
      </c>
      <c r="G2238" s="5">
        <v>0.76100000000000001</v>
      </c>
      <c r="H2238" s="4">
        <f>67.6/1440</f>
        <v>4.6944444444444441E-2</v>
      </c>
      <c r="I2238" s="5">
        <v>0.14599999999999999</v>
      </c>
      <c r="J2238" s="11" t="s">
        <v>2972</v>
      </c>
    </row>
    <row r="2239" spans="1:10" ht="13.15" customHeight="1" x14ac:dyDescent="0.25">
      <c r="A2239">
        <f t="shared" si="287"/>
        <v>2234</v>
      </c>
      <c r="B2239" t="s">
        <v>2984</v>
      </c>
      <c r="C2239" s="2">
        <v>0.47013888888888888</v>
      </c>
      <c r="D2239" s="4">
        <f t="shared" ref="D2239:D2247" si="296">C2239-E2239</f>
        <v>0.12569444444444444</v>
      </c>
      <c r="E2239" s="6">
        <v>0.34444444444444444</v>
      </c>
      <c r="F2239" s="5">
        <f t="shared" ref="F2239:F2247" si="297">E2239/C2239</f>
        <v>0.73264401772525845</v>
      </c>
      <c r="G2239" s="5">
        <v>0.79100000000000004</v>
      </c>
      <c r="H2239" s="4">
        <f>59.3/1440</f>
        <v>4.1180555555555554E-2</v>
      </c>
      <c r="I2239" s="5">
        <v>9.4E-2</v>
      </c>
      <c r="J2239" s="11" t="s">
        <v>2982</v>
      </c>
    </row>
    <row r="2240" spans="1:10" ht="13.15" customHeight="1" x14ac:dyDescent="0.25">
      <c r="A2240">
        <f t="shared" si="287"/>
        <v>2235</v>
      </c>
      <c r="B2240" t="s">
        <v>2985</v>
      </c>
      <c r="C2240" s="2">
        <v>0.47361111111111109</v>
      </c>
      <c r="D2240" s="4">
        <f t="shared" si="296"/>
        <v>0.13749999999999996</v>
      </c>
      <c r="E2240" s="6">
        <v>0.33611111111111114</v>
      </c>
      <c r="F2240" s="5">
        <f t="shared" si="297"/>
        <v>0.70967741935483875</v>
      </c>
      <c r="G2240" s="5">
        <v>0.84799999999999998</v>
      </c>
      <c r="H2240" s="4">
        <f>62.8/1440</f>
        <v>4.3611111111111107E-2</v>
      </c>
      <c r="I2240" s="5">
        <v>0.11</v>
      </c>
      <c r="J2240" s="11" t="s">
        <v>2982</v>
      </c>
    </row>
    <row r="2241" spans="1:10" ht="13.15" customHeight="1" x14ac:dyDescent="0.25">
      <c r="A2241">
        <f t="shared" si="287"/>
        <v>2236</v>
      </c>
      <c r="B2241" t="s">
        <v>2986</v>
      </c>
      <c r="C2241" s="2">
        <v>0.45277777777777778</v>
      </c>
      <c r="D2241" s="4">
        <f t="shared" si="296"/>
        <v>0.11319444444444443</v>
      </c>
      <c r="E2241" s="6">
        <v>0.33958333333333335</v>
      </c>
      <c r="F2241" s="5">
        <f t="shared" si="297"/>
        <v>0.75</v>
      </c>
      <c r="G2241" s="5">
        <v>0.73299999999999998</v>
      </c>
      <c r="H2241" s="4">
        <f>55.1/1440</f>
        <v>3.8263888888888889E-2</v>
      </c>
      <c r="I2241" s="5">
        <v>8.3000000000000004E-2</v>
      </c>
      <c r="J2241" s="11" t="s">
        <v>2982</v>
      </c>
    </row>
    <row r="2242" spans="1:10" ht="13.15" customHeight="1" x14ac:dyDescent="0.25">
      <c r="A2242">
        <f t="shared" si="287"/>
        <v>2237</v>
      </c>
      <c r="B2242" t="s">
        <v>2987</v>
      </c>
      <c r="C2242" s="2">
        <v>0.4597222222222222</v>
      </c>
      <c r="D2242" s="4">
        <f t="shared" si="296"/>
        <v>0.13263888888888886</v>
      </c>
      <c r="E2242" s="6">
        <v>0.32708333333333334</v>
      </c>
      <c r="F2242" s="5">
        <f t="shared" si="297"/>
        <v>0.71148036253776437</v>
      </c>
      <c r="G2242" s="5">
        <v>0.67100000000000004</v>
      </c>
      <c r="H2242" s="4">
        <f>48.8/1440</f>
        <v>3.3888888888888885E-2</v>
      </c>
      <c r="I2242" s="5">
        <v>6.9000000000000006E-2</v>
      </c>
      <c r="J2242" s="11" t="s">
        <v>2982</v>
      </c>
    </row>
    <row r="2243" spans="1:10" ht="13.15" customHeight="1" x14ac:dyDescent="0.25">
      <c r="A2243">
        <f t="shared" si="287"/>
        <v>2238</v>
      </c>
      <c r="B2243" t="s">
        <v>2988</v>
      </c>
      <c r="C2243" s="2">
        <v>0.44374999999999998</v>
      </c>
      <c r="D2243" s="4">
        <f t="shared" si="296"/>
        <v>0.12291666666666662</v>
      </c>
      <c r="E2243" s="6">
        <v>0.32083333333333336</v>
      </c>
      <c r="F2243" s="5">
        <f t="shared" si="297"/>
        <v>0.72300469483568086</v>
      </c>
      <c r="G2243" s="5">
        <v>0.80700000000000005</v>
      </c>
      <c r="H2243" s="4">
        <f>54/1440</f>
        <v>3.7499999999999999E-2</v>
      </c>
      <c r="I2243" s="5">
        <v>9.4E-2</v>
      </c>
      <c r="J2243" s="11" t="s">
        <v>2982</v>
      </c>
    </row>
    <row r="2244" spans="1:10" ht="13.15" customHeight="1" x14ac:dyDescent="0.25">
      <c r="A2244">
        <f t="shared" si="287"/>
        <v>2239</v>
      </c>
      <c r="B2244" t="s">
        <v>2989</v>
      </c>
      <c r="C2244" s="2">
        <v>0.4861111111111111</v>
      </c>
      <c r="D2244" s="4">
        <f t="shared" si="296"/>
        <v>0.12361111111111112</v>
      </c>
      <c r="E2244" s="6">
        <v>0.36249999999999999</v>
      </c>
      <c r="F2244" s="5">
        <f t="shared" si="297"/>
        <v>0.74571428571428566</v>
      </c>
      <c r="G2244" s="5">
        <v>0.85</v>
      </c>
      <c r="H2244" s="4">
        <f>57.8/1440</f>
        <v>4.0138888888888884E-2</v>
      </c>
      <c r="I2244" s="5">
        <v>9.4E-2</v>
      </c>
      <c r="J2244" s="11" t="s">
        <v>2983</v>
      </c>
    </row>
    <row r="2245" spans="1:10" ht="13.15" customHeight="1" x14ac:dyDescent="0.25">
      <c r="A2245">
        <f t="shared" si="287"/>
        <v>2240</v>
      </c>
      <c r="B2245" t="s">
        <v>2990</v>
      </c>
      <c r="C2245" s="2">
        <v>0.47430555555555554</v>
      </c>
      <c r="D2245" s="4">
        <f t="shared" si="296"/>
        <v>0.12430555555555556</v>
      </c>
      <c r="E2245" s="6">
        <v>0.35</v>
      </c>
      <c r="F2245" s="5">
        <f t="shared" si="297"/>
        <v>0.73792093704245976</v>
      </c>
      <c r="G2245" s="5">
        <v>0.83199999999999996</v>
      </c>
      <c r="H2245" s="4">
        <f>68/1440</f>
        <v>4.7222222222222221E-2</v>
      </c>
      <c r="I2245" s="5">
        <v>0.112</v>
      </c>
      <c r="J2245" s="11" t="s">
        <v>2983</v>
      </c>
    </row>
    <row r="2246" spans="1:10" ht="13.15" customHeight="1" x14ac:dyDescent="0.25">
      <c r="A2246">
        <f t="shared" si="287"/>
        <v>2241</v>
      </c>
      <c r="B2246" t="s">
        <v>2991</v>
      </c>
      <c r="C2246" s="2">
        <v>0.55902777777777779</v>
      </c>
      <c r="D2246" s="4">
        <f t="shared" si="296"/>
        <v>0.14027777777777778</v>
      </c>
      <c r="E2246" s="6">
        <v>0.41875000000000001</v>
      </c>
      <c r="F2246" s="5">
        <f t="shared" si="297"/>
        <v>0.7490683229813665</v>
      </c>
      <c r="G2246" s="5">
        <v>0.78900000000000003</v>
      </c>
      <c r="H2246" s="4">
        <f>67.2/1440</f>
        <v>4.6666666666666669E-2</v>
      </c>
      <c r="I2246" s="5">
        <v>8.7999999999999995E-2</v>
      </c>
      <c r="J2246" s="11" t="s">
        <v>2983</v>
      </c>
    </row>
    <row r="2247" spans="1:10" ht="13.15" customHeight="1" x14ac:dyDescent="0.25">
      <c r="A2247">
        <f t="shared" si="287"/>
        <v>2242</v>
      </c>
      <c r="B2247" t="s">
        <v>2992</v>
      </c>
      <c r="C2247" s="2">
        <v>0.53680555555555554</v>
      </c>
      <c r="D2247" s="4">
        <f t="shared" si="296"/>
        <v>0.12708333333333333</v>
      </c>
      <c r="E2247" s="6">
        <v>0.40972222222222221</v>
      </c>
      <c r="F2247" s="5">
        <f t="shared" si="297"/>
        <v>0.76326002587322117</v>
      </c>
      <c r="G2247" s="5">
        <v>0.81599999999999995</v>
      </c>
      <c r="H2247" s="4">
        <f>75.2/1440</f>
        <v>5.2222222222222225E-2</v>
      </c>
      <c r="I2247" s="5">
        <v>0.104</v>
      </c>
      <c r="J2247" s="11" t="s">
        <v>2983</v>
      </c>
    </row>
    <row r="2248" spans="1:10" ht="13.15" customHeight="1" x14ac:dyDescent="0.25">
      <c r="A2248">
        <f t="shared" si="287"/>
        <v>2243</v>
      </c>
      <c r="B2248" t="s">
        <v>2993</v>
      </c>
      <c r="C2248" s="2">
        <v>0.4</v>
      </c>
      <c r="D2248" s="4">
        <f t="shared" ref="D2248:D2256" si="298">C2248-E2248</f>
        <v>0.12847222222222227</v>
      </c>
      <c r="E2248" s="6">
        <v>0.27152777777777776</v>
      </c>
      <c r="F2248" s="5">
        <f t="shared" ref="F2248:F2256" si="299">E2248/C2248</f>
        <v>0.67881944444444431</v>
      </c>
      <c r="G2248" s="5">
        <v>0.76800000000000002</v>
      </c>
      <c r="H2248" s="4">
        <f>55.1/1440</f>
        <v>3.8263888888888889E-2</v>
      </c>
      <c r="I2248" s="5">
        <v>0.108</v>
      </c>
      <c r="J2248" s="11" t="s">
        <v>3002</v>
      </c>
    </row>
    <row r="2249" spans="1:10" ht="13.15" customHeight="1" x14ac:dyDescent="0.25">
      <c r="A2249">
        <f t="shared" si="287"/>
        <v>2244</v>
      </c>
      <c r="B2249" t="s">
        <v>2994</v>
      </c>
      <c r="C2249" s="2">
        <v>0.38055555555555554</v>
      </c>
      <c r="D2249" s="4">
        <f t="shared" si="298"/>
        <v>0.13472222222222222</v>
      </c>
      <c r="E2249" s="6">
        <v>0.24583333333333332</v>
      </c>
      <c r="F2249" s="5">
        <f t="shared" si="299"/>
        <v>0.64598540145985406</v>
      </c>
      <c r="G2249" s="5">
        <v>0.73099999999999998</v>
      </c>
      <c r="H2249" s="4">
        <f>55/1440</f>
        <v>3.8194444444444448E-2</v>
      </c>
      <c r="I2249" s="5">
        <v>0.114</v>
      </c>
      <c r="J2249" s="11" t="s">
        <v>3002</v>
      </c>
    </row>
    <row r="2250" spans="1:10" ht="13.15" customHeight="1" x14ac:dyDescent="0.25">
      <c r="A2250">
        <f t="shared" si="287"/>
        <v>2245</v>
      </c>
      <c r="B2250" t="s">
        <v>2995</v>
      </c>
      <c r="C2250" s="2">
        <v>0.38680555555555557</v>
      </c>
      <c r="D2250" s="4">
        <f t="shared" si="298"/>
        <v>0.13958333333333334</v>
      </c>
      <c r="E2250" s="6">
        <v>0.24722222222222223</v>
      </c>
      <c r="F2250" s="5">
        <f t="shared" si="299"/>
        <v>0.6391382405745063</v>
      </c>
      <c r="G2250" s="5">
        <v>0.68700000000000006</v>
      </c>
      <c r="H2250" s="4">
        <f>46.4/1440</f>
        <v>3.2222222222222222E-2</v>
      </c>
      <c r="I2250" s="5">
        <v>8.8999999999999996E-2</v>
      </c>
      <c r="J2250" s="11" t="s">
        <v>3002</v>
      </c>
    </row>
    <row r="2251" spans="1:10" ht="13.15" customHeight="1" x14ac:dyDescent="0.25">
      <c r="A2251">
        <f t="shared" si="287"/>
        <v>2246</v>
      </c>
      <c r="B2251" t="s">
        <v>2996</v>
      </c>
      <c r="C2251" s="2">
        <v>0.36666666666666664</v>
      </c>
      <c r="D2251" s="4">
        <f t="shared" si="298"/>
        <v>0.12986111111111109</v>
      </c>
      <c r="E2251" s="6">
        <v>0.23680555555555555</v>
      </c>
      <c r="F2251" s="5">
        <f t="shared" si="299"/>
        <v>0.64583333333333337</v>
      </c>
      <c r="G2251" s="5">
        <v>0.71899999999999997</v>
      </c>
      <c r="H2251" s="4">
        <f>42.8/1440</f>
        <v>2.9722222222222219E-2</v>
      </c>
      <c r="I2251" s="5">
        <v>0.09</v>
      </c>
      <c r="J2251" s="11" t="s">
        <v>3002</v>
      </c>
    </row>
    <row r="2252" spans="1:10" ht="13.15" customHeight="1" x14ac:dyDescent="0.25">
      <c r="A2252">
        <f t="shared" si="287"/>
        <v>2247</v>
      </c>
      <c r="B2252" t="s">
        <v>2997</v>
      </c>
      <c r="C2252" s="2">
        <v>0.37013888888888891</v>
      </c>
      <c r="D2252" s="4">
        <f t="shared" si="298"/>
        <v>0.11041666666666666</v>
      </c>
      <c r="E2252" s="6">
        <v>0.25972222222222224</v>
      </c>
      <c r="F2252" s="5">
        <f t="shared" si="299"/>
        <v>0.70168855534709196</v>
      </c>
      <c r="G2252" s="5">
        <v>0.84099999999999997</v>
      </c>
      <c r="H2252" s="4">
        <f>55.6/1440</f>
        <v>3.861111111111111E-2</v>
      </c>
      <c r="I2252" s="5">
        <v>0.125</v>
      </c>
      <c r="J2252" s="11" t="s">
        <v>3002</v>
      </c>
    </row>
    <row r="2253" spans="1:10" ht="13.15" customHeight="1" x14ac:dyDescent="0.25">
      <c r="A2253">
        <f t="shared" si="287"/>
        <v>2248</v>
      </c>
      <c r="B2253" t="s">
        <v>2998</v>
      </c>
      <c r="C2253" s="2">
        <v>0.34583333333333333</v>
      </c>
      <c r="D2253" s="4">
        <f t="shared" si="298"/>
        <v>0.1048611111111111</v>
      </c>
      <c r="E2253" s="6">
        <v>0.24097222222222223</v>
      </c>
      <c r="F2253" s="5">
        <f t="shared" si="299"/>
        <v>0.69678714859437751</v>
      </c>
      <c r="G2253" s="5">
        <v>0.79600000000000004</v>
      </c>
      <c r="H2253" s="4">
        <f>63.6/1440</f>
        <v>4.4166666666666667E-2</v>
      </c>
      <c r="I2253" s="5">
        <v>0.14599999999999999</v>
      </c>
      <c r="J2253" s="11" t="s">
        <v>3003</v>
      </c>
    </row>
    <row r="2254" spans="1:10" ht="13.15" customHeight="1" x14ac:dyDescent="0.25">
      <c r="A2254">
        <f t="shared" si="287"/>
        <v>2249</v>
      </c>
      <c r="B2254" t="s">
        <v>2999</v>
      </c>
      <c r="C2254" s="2">
        <v>0.42916666666666664</v>
      </c>
      <c r="D2254" s="4">
        <f t="shared" si="298"/>
        <v>0.10624999999999996</v>
      </c>
      <c r="E2254" s="6">
        <v>0.32291666666666669</v>
      </c>
      <c r="F2254" s="5">
        <f t="shared" si="299"/>
        <v>0.75242718446601953</v>
      </c>
      <c r="G2254" s="5">
        <v>0.83099999999999996</v>
      </c>
      <c r="H2254" s="4">
        <f>57.1/1440</f>
        <v>3.965277777777778E-2</v>
      </c>
      <c r="I2254" s="5">
        <v>0.10199999999999999</v>
      </c>
      <c r="J2254" s="11" t="s">
        <v>3003</v>
      </c>
    </row>
    <row r="2255" spans="1:10" ht="13.15" customHeight="1" x14ac:dyDescent="0.25">
      <c r="A2255">
        <f t="shared" si="287"/>
        <v>2250</v>
      </c>
      <c r="B2255" t="s">
        <v>3000</v>
      </c>
      <c r="C2255" s="2">
        <v>0.4861111111111111</v>
      </c>
      <c r="D2255" s="4">
        <f t="shared" si="298"/>
        <v>0.13611111111111113</v>
      </c>
      <c r="E2255" s="6">
        <v>0.35</v>
      </c>
      <c r="F2255" s="5">
        <f t="shared" si="299"/>
        <v>0.72</v>
      </c>
      <c r="G2255" s="5">
        <v>0.72</v>
      </c>
      <c r="H2255" s="4">
        <f>52.8/1440</f>
        <v>3.6666666666666667E-2</v>
      </c>
      <c r="I2255" s="5">
        <v>7.4999999999999997E-2</v>
      </c>
      <c r="J2255" s="11" t="s">
        <v>3003</v>
      </c>
    </row>
    <row r="2256" spans="1:10" ht="13.15" customHeight="1" x14ac:dyDescent="0.25">
      <c r="A2256">
        <f t="shared" si="287"/>
        <v>2251</v>
      </c>
      <c r="B2256" t="s">
        <v>3001</v>
      </c>
      <c r="C2256" s="2">
        <v>0.45763888888888887</v>
      </c>
      <c r="D2256" s="4">
        <f t="shared" si="298"/>
        <v>0.15833333333333333</v>
      </c>
      <c r="E2256" s="6">
        <v>0.29930555555555555</v>
      </c>
      <c r="F2256" s="5">
        <f t="shared" si="299"/>
        <v>0.65402124430955999</v>
      </c>
      <c r="G2256" s="5">
        <v>0.82</v>
      </c>
      <c r="H2256" s="4">
        <f>75.9/1440</f>
        <v>5.2708333333333336E-2</v>
      </c>
      <c r="I2256" s="5">
        <v>0.14399999999999999</v>
      </c>
      <c r="J2256" s="11" t="s">
        <v>3003</v>
      </c>
    </row>
    <row r="2257" spans="1:10" ht="13.15" customHeight="1" x14ac:dyDescent="0.25">
      <c r="A2257">
        <f t="shared" si="287"/>
        <v>2252</v>
      </c>
      <c r="B2257" t="s">
        <v>3004</v>
      </c>
      <c r="C2257" s="2">
        <v>0.37638888888888888</v>
      </c>
      <c r="D2257" s="4">
        <f t="shared" ref="D2257:D2265" si="300">C2257-E2257</f>
        <v>0.1388888888888889</v>
      </c>
      <c r="E2257" s="6">
        <v>0.23749999999999999</v>
      </c>
      <c r="F2257" s="5">
        <f t="shared" ref="F2257:F2265" si="301">E2257/C2257</f>
        <v>0.63099630996309963</v>
      </c>
      <c r="G2257" s="5">
        <v>0.74399999999999999</v>
      </c>
      <c r="H2257" s="4">
        <f>51.5/1440</f>
        <v>3.5763888888888887E-2</v>
      </c>
      <c r="I2257" s="5">
        <v>0.112</v>
      </c>
      <c r="J2257" s="11" t="s">
        <v>3013</v>
      </c>
    </row>
    <row r="2258" spans="1:10" ht="13.15" customHeight="1" x14ac:dyDescent="0.25">
      <c r="A2258">
        <f t="shared" si="287"/>
        <v>2253</v>
      </c>
      <c r="B2258" t="s">
        <v>3005</v>
      </c>
      <c r="C2258" s="2">
        <v>0.39027777777777778</v>
      </c>
      <c r="D2258" s="4">
        <f t="shared" si="300"/>
        <v>0.14791666666666667</v>
      </c>
      <c r="E2258" s="6">
        <v>0.24236111111111111</v>
      </c>
      <c r="F2258" s="5">
        <f t="shared" si="301"/>
        <v>0.62099644128113873</v>
      </c>
      <c r="G2258" s="5">
        <v>0.747</v>
      </c>
      <c r="H2258" s="4">
        <f>56.3/1440</f>
        <v>3.9097222222222221E-2</v>
      </c>
      <c r="I2258" s="5">
        <v>0.121</v>
      </c>
      <c r="J2258" s="11" t="s">
        <v>3013</v>
      </c>
    </row>
    <row r="2259" spans="1:10" ht="13.15" customHeight="1" x14ac:dyDescent="0.25">
      <c r="A2259">
        <f t="shared" si="287"/>
        <v>2254</v>
      </c>
      <c r="B2259" t="s">
        <v>3006</v>
      </c>
      <c r="C2259" s="2">
        <v>0.39652777777777776</v>
      </c>
      <c r="D2259" s="4">
        <f t="shared" si="300"/>
        <v>0.15277777777777776</v>
      </c>
      <c r="E2259" s="6">
        <v>0.24374999999999999</v>
      </c>
      <c r="F2259" s="5">
        <f t="shared" si="301"/>
        <v>0.61471103327495624</v>
      </c>
      <c r="G2259" s="5">
        <v>0.66300000000000003</v>
      </c>
      <c r="H2259" s="4">
        <f>45.7/1440</f>
        <v>3.1736111111111111E-2</v>
      </c>
      <c r="I2259" s="5">
        <v>8.5999999999999993E-2</v>
      </c>
      <c r="J2259" s="11" t="s">
        <v>3013</v>
      </c>
    </row>
    <row r="2260" spans="1:10" ht="13.15" customHeight="1" x14ac:dyDescent="0.25">
      <c r="A2260">
        <f t="shared" si="287"/>
        <v>2255</v>
      </c>
      <c r="B2260" t="s">
        <v>3007</v>
      </c>
      <c r="C2260" s="2">
        <v>0.43402777777777779</v>
      </c>
      <c r="D2260" s="4">
        <f t="shared" si="300"/>
        <v>0.15694444444444444</v>
      </c>
      <c r="E2260" s="6">
        <v>0.27708333333333335</v>
      </c>
      <c r="F2260" s="5">
        <f t="shared" si="301"/>
        <v>0.63839999999999997</v>
      </c>
      <c r="G2260" s="5">
        <v>0.61699999999999999</v>
      </c>
      <c r="H2260" s="4">
        <f>42/1440</f>
        <v>2.9166666666666667E-2</v>
      </c>
      <c r="I2260" s="5">
        <v>6.5000000000000002E-2</v>
      </c>
      <c r="J2260" s="11" t="s">
        <v>3013</v>
      </c>
    </row>
    <row r="2261" spans="1:10" ht="13.15" customHeight="1" x14ac:dyDescent="0.25">
      <c r="A2261">
        <f t="shared" si="287"/>
        <v>2256</v>
      </c>
      <c r="B2261" t="s">
        <v>3008</v>
      </c>
      <c r="C2261" s="2">
        <v>0.27916666666666667</v>
      </c>
      <c r="D2261" s="4">
        <f t="shared" si="300"/>
        <v>8.2638888888888901E-2</v>
      </c>
      <c r="E2261" s="6">
        <v>0.19652777777777777</v>
      </c>
      <c r="F2261" s="5">
        <f t="shared" si="301"/>
        <v>0.70398009950248752</v>
      </c>
      <c r="G2261" s="5">
        <v>0.82599999999999996</v>
      </c>
      <c r="H2261" s="4">
        <f>45.4/1440</f>
        <v>3.152777777777778E-2</v>
      </c>
      <c r="I2261" s="5">
        <v>0.13200000000000001</v>
      </c>
      <c r="J2261" s="11" t="s">
        <v>3013</v>
      </c>
    </row>
    <row r="2262" spans="1:10" ht="13.15" customHeight="1" x14ac:dyDescent="0.25">
      <c r="A2262">
        <f t="shared" si="287"/>
        <v>2257</v>
      </c>
      <c r="B2262" t="s">
        <v>3009</v>
      </c>
      <c r="C2262" s="2">
        <v>0.31944444444444442</v>
      </c>
      <c r="D2262" s="4">
        <f t="shared" si="300"/>
        <v>0.15138888888888885</v>
      </c>
      <c r="E2262" s="6">
        <v>0.16805555555555557</v>
      </c>
      <c r="F2262" s="5">
        <f t="shared" si="301"/>
        <v>0.5260869565217392</v>
      </c>
      <c r="G2262" s="5">
        <v>0.82799999999999996</v>
      </c>
      <c r="H2262" s="4">
        <f>62.2/1440</f>
        <v>4.3194444444444445E-2</v>
      </c>
      <c r="I2262" s="5">
        <v>0.21199999999999999</v>
      </c>
      <c r="J2262" s="11" t="s">
        <v>3014</v>
      </c>
    </row>
    <row r="2263" spans="1:10" ht="13.15" customHeight="1" x14ac:dyDescent="0.25">
      <c r="A2263">
        <f t="shared" si="287"/>
        <v>2258</v>
      </c>
      <c r="B2263" t="s">
        <v>3010</v>
      </c>
      <c r="C2263" s="2">
        <v>0.3840277777777778</v>
      </c>
      <c r="D2263" s="4">
        <f t="shared" si="300"/>
        <v>0.12430555555555556</v>
      </c>
      <c r="E2263" s="6">
        <v>0.25972222222222224</v>
      </c>
      <c r="F2263" s="5">
        <f t="shared" si="301"/>
        <v>0.67631103074141052</v>
      </c>
      <c r="G2263" s="5">
        <v>0.79900000000000004</v>
      </c>
      <c r="H2263" s="4">
        <f>50.7/1440</f>
        <v>3.5208333333333335E-2</v>
      </c>
      <c r="I2263" s="5">
        <v>0.108</v>
      </c>
      <c r="J2263" s="11" t="s">
        <v>3014</v>
      </c>
    </row>
    <row r="2264" spans="1:10" ht="13.15" customHeight="1" x14ac:dyDescent="0.25">
      <c r="A2264">
        <f t="shared" si="287"/>
        <v>2259</v>
      </c>
      <c r="B2264" t="s">
        <v>3011</v>
      </c>
      <c r="C2264" s="2">
        <v>0.50416666666666665</v>
      </c>
      <c r="D2264" s="4">
        <f t="shared" si="300"/>
        <v>0.1645833333333333</v>
      </c>
      <c r="E2264" s="6">
        <v>0.33958333333333335</v>
      </c>
      <c r="F2264" s="5">
        <f t="shared" si="301"/>
        <v>0.67355371900826455</v>
      </c>
      <c r="G2264" s="5">
        <v>0.91900000000000004</v>
      </c>
      <c r="H2264" s="4">
        <f>44.2/1440</f>
        <v>3.0694444444444448E-2</v>
      </c>
      <c r="I2264" s="5">
        <v>8.3000000000000004E-2</v>
      </c>
      <c r="J2264" s="11" t="s">
        <v>3014</v>
      </c>
    </row>
    <row r="2265" spans="1:10" ht="13.15" customHeight="1" x14ac:dyDescent="0.25">
      <c r="A2265">
        <f t="shared" ref="A2265:A2329" si="302">A2264+1</f>
        <v>2260</v>
      </c>
      <c r="B2265" t="s">
        <v>3012</v>
      </c>
      <c r="C2265" s="2">
        <v>0.34791666666666665</v>
      </c>
      <c r="D2265" s="4">
        <f t="shared" si="300"/>
        <v>0.13680555555555554</v>
      </c>
      <c r="E2265" s="6">
        <v>0.21111111111111111</v>
      </c>
      <c r="F2265" s="5">
        <f t="shared" si="301"/>
        <v>0.60678642714570863</v>
      </c>
      <c r="G2265" s="5">
        <v>0.82899999999999996</v>
      </c>
      <c r="H2265" s="4">
        <f>66.5/1440</f>
        <v>4.6180555555555558E-2</v>
      </c>
      <c r="I2265" s="5">
        <v>0.18099999999999999</v>
      </c>
      <c r="J2265" s="11" t="s">
        <v>3014</v>
      </c>
    </row>
    <row r="2266" spans="1:10" ht="13.15" customHeight="1" x14ac:dyDescent="0.25">
      <c r="A2266">
        <f t="shared" si="302"/>
        <v>2261</v>
      </c>
      <c r="B2266" t="s">
        <v>3017</v>
      </c>
      <c r="C2266" s="2">
        <v>0.40138888888888891</v>
      </c>
      <c r="D2266" s="4">
        <f t="shared" ref="D2266:D2283" si="303">C2266-E2266</f>
        <v>0.12847222222222227</v>
      </c>
      <c r="E2266" s="6">
        <v>0.27291666666666664</v>
      </c>
      <c r="F2266" s="5">
        <f t="shared" ref="F2266:F2283" si="304">E2266/C2266</f>
        <v>0.67993079584775074</v>
      </c>
      <c r="G2266" s="5">
        <v>0.75</v>
      </c>
      <c r="H2266" s="4">
        <f>55.2/1440</f>
        <v>3.8333333333333337E-2</v>
      </c>
      <c r="I2266" s="5">
        <v>0.105</v>
      </c>
      <c r="J2266" s="11" t="s">
        <v>3015</v>
      </c>
    </row>
    <row r="2267" spans="1:10" ht="13.15" customHeight="1" x14ac:dyDescent="0.25">
      <c r="A2267">
        <f t="shared" si="302"/>
        <v>2262</v>
      </c>
      <c r="B2267" t="s">
        <v>3018</v>
      </c>
      <c r="C2267" s="2">
        <v>0.39930555555555558</v>
      </c>
      <c r="D2267" s="4">
        <f t="shared" si="303"/>
        <v>0.12777777777777782</v>
      </c>
      <c r="E2267" s="6">
        <v>0.27152777777777776</v>
      </c>
      <c r="F2267" s="5">
        <f t="shared" si="304"/>
        <v>0.67999999999999994</v>
      </c>
      <c r="G2267" s="5">
        <v>0.755</v>
      </c>
      <c r="H2267" s="4">
        <f>59.5/1440</f>
        <v>4.1319444444444443E-2</v>
      </c>
      <c r="I2267" s="5">
        <v>0.115</v>
      </c>
      <c r="J2267" s="11" t="s">
        <v>3015</v>
      </c>
    </row>
    <row r="2268" spans="1:10" ht="13.15" customHeight="1" x14ac:dyDescent="0.25">
      <c r="A2268">
        <f t="shared" si="302"/>
        <v>2263</v>
      </c>
      <c r="B2268" t="s">
        <v>3019</v>
      </c>
      <c r="C2268" s="2">
        <v>0.41736111111111113</v>
      </c>
      <c r="D2268" s="4">
        <f t="shared" si="303"/>
        <v>0.13055555555555559</v>
      </c>
      <c r="E2268" s="6">
        <v>0.28680555555555554</v>
      </c>
      <c r="F2268" s="5">
        <f t="shared" si="304"/>
        <v>0.68718801996672207</v>
      </c>
      <c r="G2268" s="5">
        <v>0.69499999999999995</v>
      </c>
      <c r="H2268" s="4">
        <f>54.2/1440</f>
        <v>3.7638888888888888E-2</v>
      </c>
      <c r="I2268" s="5">
        <v>9.0999999999999998E-2</v>
      </c>
      <c r="J2268" s="11" t="s">
        <v>3015</v>
      </c>
    </row>
    <row r="2269" spans="1:10" ht="13.15" customHeight="1" x14ac:dyDescent="0.25">
      <c r="A2269">
        <f t="shared" si="302"/>
        <v>2264</v>
      </c>
      <c r="B2269" t="s">
        <v>3020</v>
      </c>
      <c r="C2269" s="2">
        <v>0.37430555555555556</v>
      </c>
      <c r="D2269" s="4">
        <f t="shared" si="303"/>
        <v>0.12013888888888891</v>
      </c>
      <c r="E2269" s="6">
        <v>0.25416666666666665</v>
      </c>
      <c r="F2269" s="5">
        <f t="shared" si="304"/>
        <v>0.67903525046382185</v>
      </c>
      <c r="G2269" s="5">
        <v>0.67</v>
      </c>
      <c r="H2269" s="4">
        <f>45.8/1440</f>
        <v>3.1805555555555552E-2</v>
      </c>
      <c r="I2269" s="5">
        <v>8.4000000000000005E-2</v>
      </c>
      <c r="J2269" s="11" t="s">
        <v>3015</v>
      </c>
    </row>
    <row r="2270" spans="1:10" ht="13.15" customHeight="1" x14ac:dyDescent="0.25">
      <c r="A2270">
        <f t="shared" si="302"/>
        <v>2265</v>
      </c>
      <c r="B2270" t="s">
        <v>3021</v>
      </c>
      <c r="C2270" s="2">
        <v>0.38958333333333334</v>
      </c>
      <c r="D2270" s="4">
        <f t="shared" si="303"/>
        <v>0.13611111111111113</v>
      </c>
      <c r="E2270" s="6">
        <v>0.25347222222222221</v>
      </c>
      <c r="F2270" s="5">
        <f t="shared" si="304"/>
        <v>0.65062388591800357</v>
      </c>
      <c r="G2270" s="5">
        <v>0.78500000000000003</v>
      </c>
      <c r="H2270" s="4">
        <f>45/1440</f>
        <v>3.125E-2</v>
      </c>
      <c r="I2270" s="5">
        <v>9.7000000000000003E-2</v>
      </c>
      <c r="J2270" s="11" t="s">
        <v>3015</v>
      </c>
    </row>
    <row r="2271" spans="1:10" ht="13.15" customHeight="1" x14ac:dyDescent="0.25">
      <c r="A2271">
        <f t="shared" si="302"/>
        <v>2266</v>
      </c>
      <c r="B2271" t="s">
        <v>3022</v>
      </c>
      <c r="C2271" s="2">
        <v>0.38541666666666669</v>
      </c>
      <c r="D2271" s="4">
        <f t="shared" si="303"/>
        <v>0.125</v>
      </c>
      <c r="E2271" s="6">
        <v>0.26041666666666669</v>
      </c>
      <c r="F2271" s="5">
        <f t="shared" si="304"/>
        <v>0.67567567567567566</v>
      </c>
      <c r="G2271" s="5">
        <v>0.81200000000000006</v>
      </c>
      <c r="H2271" s="4">
        <f>56/1440</f>
        <v>3.888888888888889E-2</v>
      </c>
      <c r="I2271" s="5">
        <v>0.121</v>
      </c>
      <c r="J2271" s="11" t="s">
        <v>3016</v>
      </c>
    </row>
    <row r="2272" spans="1:10" ht="13.15" customHeight="1" x14ac:dyDescent="0.25">
      <c r="A2272">
        <f t="shared" si="302"/>
        <v>2267</v>
      </c>
      <c r="B2272" t="s">
        <v>3023</v>
      </c>
      <c r="C2272" s="2">
        <v>0.40902777777777777</v>
      </c>
      <c r="D2272" s="4">
        <f t="shared" si="303"/>
        <v>0.12083333333333335</v>
      </c>
      <c r="E2272" s="6">
        <v>0.28819444444444442</v>
      </c>
      <c r="F2272" s="5">
        <f t="shared" si="304"/>
        <v>0.70458404074702885</v>
      </c>
      <c r="G2272" s="5">
        <v>0.78400000000000003</v>
      </c>
      <c r="H2272" s="4">
        <f>57.4/1440</f>
        <v>3.9861111111111111E-2</v>
      </c>
      <c r="I2272" s="5">
        <v>0.109</v>
      </c>
      <c r="J2272" s="11" t="s">
        <v>3016</v>
      </c>
    </row>
    <row r="2273" spans="1:10" ht="13.15" customHeight="1" x14ac:dyDescent="0.25">
      <c r="A2273">
        <f t="shared" si="302"/>
        <v>2268</v>
      </c>
      <c r="B2273" t="s">
        <v>3024</v>
      </c>
      <c r="C2273" s="2">
        <v>0.40555555555555556</v>
      </c>
      <c r="D2273" s="4">
        <f t="shared" si="303"/>
        <v>0.12638888888888888</v>
      </c>
      <c r="E2273" s="6">
        <v>0.27916666666666667</v>
      </c>
      <c r="F2273" s="5">
        <f t="shared" si="304"/>
        <v>0.68835616438356162</v>
      </c>
      <c r="G2273" s="5">
        <v>0.76400000000000001</v>
      </c>
      <c r="H2273" s="4">
        <f>50.5/1440</f>
        <v>3.5069444444444445E-2</v>
      </c>
      <c r="I2273" s="5">
        <v>9.6000000000000002E-2</v>
      </c>
      <c r="J2273" s="11" t="s">
        <v>3016</v>
      </c>
    </row>
    <row r="2274" spans="1:10" ht="13.15" customHeight="1" x14ac:dyDescent="0.25">
      <c r="A2274">
        <f t="shared" si="302"/>
        <v>2269</v>
      </c>
      <c r="B2274" t="s">
        <v>3025</v>
      </c>
      <c r="C2274" s="2">
        <v>0.41458333333333336</v>
      </c>
      <c r="D2274" s="4">
        <f t="shared" si="303"/>
        <v>0.1256944444444445</v>
      </c>
      <c r="E2274" s="6">
        <v>0.28888888888888886</v>
      </c>
      <c r="F2274" s="5">
        <f t="shared" si="304"/>
        <v>0.69681742043551076</v>
      </c>
      <c r="G2274" s="5">
        <v>0.82599999999999996</v>
      </c>
      <c r="H2274" s="4">
        <f>75.2/1440</f>
        <v>5.2222222222222225E-2</v>
      </c>
      <c r="I2274" s="5">
        <v>0.14899999999999999</v>
      </c>
      <c r="J2274" s="11" t="s">
        <v>3016</v>
      </c>
    </row>
    <row r="2275" spans="1:10" ht="13.15" customHeight="1" x14ac:dyDescent="0.25">
      <c r="A2275">
        <f t="shared" si="302"/>
        <v>2270</v>
      </c>
      <c r="B2275" t="s">
        <v>3026</v>
      </c>
      <c r="C2275" s="2">
        <v>0.43888888888888888</v>
      </c>
      <c r="D2275" s="4">
        <f t="shared" si="303"/>
        <v>0.10972222222222222</v>
      </c>
      <c r="E2275" s="6">
        <v>0.32916666666666666</v>
      </c>
      <c r="F2275" s="5">
        <f t="shared" si="304"/>
        <v>0.75</v>
      </c>
      <c r="G2275" s="5">
        <v>0.83399999999999996</v>
      </c>
      <c r="H2275" s="4">
        <f>64/1440</f>
        <v>4.4444444444444446E-2</v>
      </c>
      <c r="I2275" s="5">
        <v>0.112</v>
      </c>
      <c r="J2275" s="11" t="s">
        <v>3035</v>
      </c>
    </row>
    <row r="2276" spans="1:10" ht="13.15" customHeight="1" x14ac:dyDescent="0.25">
      <c r="A2276">
        <f t="shared" si="302"/>
        <v>2271</v>
      </c>
      <c r="B2276" t="s">
        <v>3027</v>
      </c>
      <c r="C2276" s="2">
        <v>0.46805555555555556</v>
      </c>
      <c r="D2276" s="4">
        <f t="shared" si="303"/>
        <v>0.1159722222222222</v>
      </c>
      <c r="E2276" s="6">
        <v>0.35208333333333336</v>
      </c>
      <c r="F2276" s="5">
        <f t="shared" si="304"/>
        <v>0.75222551928783388</v>
      </c>
      <c r="G2276" s="5">
        <v>0.83799999999999997</v>
      </c>
      <c r="H2276" s="4">
        <f>81.8/1440</f>
        <v>5.6805555555555554E-2</v>
      </c>
      <c r="I2276" s="5">
        <v>0.13500000000000001</v>
      </c>
      <c r="J2276" s="11" t="s">
        <v>3035</v>
      </c>
    </row>
    <row r="2277" spans="1:10" ht="13.15" customHeight="1" x14ac:dyDescent="0.25">
      <c r="A2277">
        <f t="shared" si="302"/>
        <v>2272</v>
      </c>
      <c r="B2277" t="s">
        <v>3028</v>
      </c>
      <c r="C2277" s="2">
        <v>0.44166666666666665</v>
      </c>
      <c r="D2277" s="4">
        <f t="shared" si="303"/>
        <v>0.10555555555555551</v>
      </c>
      <c r="E2277" s="6">
        <v>0.33611111111111114</v>
      </c>
      <c r="F2277" s="5">
        <f t="shared" si="304"/>
        <v>0.76100628930817615</v>
      </c>
      <c r="G2277" s="5">
        <v>0.81599999999999995</v>
      </c>
      <c r="H2277" s="4">
        <f>46.3/1440</f>
        <v>3.2152777777777773E-2</v>
      </c>
      <c r="I2277" s="5">
        <v>7.8E-2</v>
      </c>
      <c r="J2277" s="11" t="s">
        <v>3035</v>
      </c>
    </row>
    <row r="2278" spans="1:10" ht="13.15" customHeight="1" x14ac:dyDescent="0.25">
      <c r="A2278">
        <f t="shared" si="302"/>
        <v>2273</v>
      </c>
      <c r="B2278" t="s">
        <v>3029</v>
      </c>
      <c r="C2278" s="2">
        <v>0.4597222222222222</v>
      </c>
      <c r="D2278" s="4">
        <f t="shared" si="303"/>
        <v>0.12152777777777773</v>
      </c>
      <c r="E2278" s="6">
        <v>0.33819444444444446</v>
      </c>
      <c r="F2278" s="5">
        <f t="shared" si="304"/>
        <v>0.7356495468277946</v>
      </c>
      <c r="G2278" s="5">
        <v>0.79400000000000004</v>
      </c>
      <c r="H2278" s="4">
        <f>63.9/1440</f>
        <v>4.4374999999999998E-2</v>
      </c>
      <c r="I2278" s="5">
        <v>0.104</v>
      </c>
      <c r="J2278" s="11" t="s">
        <v>3035</v>
      </c>
    </row>
    <row r="2279" spans="1:10" ht="13.15" customHeight="1" x14ac:dyDescent="0.25">
      <c r="A2279">
        <f t="shared" si="302"/>
        <v>2274</v>
      </c>
      <c r="B2279" t="s">
        <v>3030</v>
      </c>
      <c r="C2279" s="2">
        <v>0.42222222222222222</v>
      </c>
      <c r="D2279" s="4">
        <f t="shared" si="303"/>
        <v>0.10416666666666669</v>
      </c>
      <c r="E2279" s="6">
        <v>0.31805555555555554</v>
      </c>
      <c r="F2279" s="5">
        <f t="shared" si="304"/>
        <v>0.75328947368421051</v>
      </c>
      <c r="G2279" s="5">
        <v>0.93600000000000005</v>
      </c>
      <c r="H2279" s="4">
        <f>67.1/1440</f>
        <v>4.659722222222222E-2</v>
      </c>
      <c r="I2279" s="5">
        <v>0.13700000000000001</v>
      </c>
      <c r="J2279" s="11" t="s">
        <v>3035</v>
      </c>
    </row>
    <row r="2280" spans="1:10" ht="13.15" customHeight="1" x14ac:dyDescent="0.25">
      <c r="A2280">
        <f t="shared" si="302"/>
        <v>2275</v>
      </c>
      <c r="B2280" t="s">
        <v>3031</v>
      </c>
      <c r="C2280" s="2">
        <v>0.37291666666666667</v>
      </c>
      <c r="D2280" s="4">
        <f t="shared" si="303"/>
        <v>8.7500000000000022E-2</v>
      </c>
      <c r="E2280" s="6">
        <v>0.28541666666666665</v>
      </c>
      <c r="F2280" s="5">
        <f t="shared" si="304"/>
        <v>0.76536312849162003</v>
      </c>
      <c r="G2280" s="5">
        <v>0.82499999999999996</v>
      </c>
      <c r="H2280" s="4">
        <f>49.4/1440</f>
        <v>3.4305555555555554E-2</v>
      </c>
      <c r="I2280" s="5">
        <v>9.9000000000000005E-2</v>
      </c>
      <c r="J2280" s="11" t="s">
        <v>3036</v>
      </c>
    </row>
    <row r="2281" spans="1:10" ht="13.15" customHeight="1" x14ac:dyDescent="0.25">
      <c r="A2281">
        <f t="shared" si="302"/>
        <v>2276</v>
      </c>
      <c r="B2281" t="s">
        <v>3032</v>
      </c>
      <c r="C2281" s="2">
        <v>0.44930555555555557</v>
      </c>
      <c r="D2281" s="4">
        <f t="shared" si="303"/>
        <v>0.12777777777777777</v>
      </c>
      <c r="E2281" s="6">
        <v>0.3215277777777778</v>
      </c>
      <c r="F2281" s="5">
        <f t="shared" si="304"/>
        <v>0.71561051004636789</v>
      </c>
      <c r="G2281" s="5">
        <v>0.86699999999999999</v>
      </c>
      <c r="H2281" s="4">
        <f>62.2/1440</f>
        <v>4.3194444444444445E-2</v>
      </c>
      <c r="I2281" s="5">
        <v>0.11600000000000001</v>
      </c>
      <c r="J2281" s="11" t="s">
        <v>3036</v>
      </c>
    </row>
    <row r="2282" spans="1:10" ht="13.15" customHeight="1" x14ac:dyDescent="0.25">
      <c r="A2282">
        <f t="shared" si="302"/>
        <v>2277</v>
      </c>
      <c r="B2282" t="s">
        <v>3033</v>
      </c>
      <c r="C2282" s="2">
        <v>0.40347222222222223</v>
      </c>
      <c r="D2282" s="4">
        <f t="shared" si="303"/>
        <v>0.13541666666666669</v>
      </c>
      <c r="E2282" s="6">
        <v>0.26805555555555555</v>
      </c>
      <c r="F2282" s="5">
        <f t="shared" si="304"/>
        <v>0.66437177280550774</v>
      </c>
      <c r="G2282" s="5">
        <v>0.752</v>
      </c>
      <c r="H2282" s="4">
        <f>58.8/1440</f>
        <v>4.0833333333333333E-2</v>
      </c>
      <c r="I2282" s="5">
        <v>0.114</v>
      </c>
      <c r="J2282" s="11" t="s">
        <v>3036</v>
      </c>
    </row>
    <row r="2283" spans="1:10" ht="13.15" customHeight="1" x14ac:dyDescent="0.25">
      <c r="A2283">
        <f t="shared" si="302"/>
        <v>2278</v>
      </c>
      <c r="B2283" t="s">
        <v>3034</v>
      </c>
      <c r="C2283" s="2">
        <v>0.55208333333333337</v>
      </c>
      <c r="D2283" s="4">
        <f t="shared" si="303"/>
        <v>0.12986111111111115</v>
      </c>
      <c r="E2283" s="6">
        <v>0.42222222222222222</v>
      </c>
      <c r="F2283" s="5">
        <f t="shared" si="304"/>
        <v>0.76477987421383642</v>
      </c>
      <c r="G2283" s="5">
        <v>0.77400000000000002</v>
      </c>
      <c r="H2283" s="4">
        <f>89.3/1440</f>
        <v>6.2013888888888889E-2</v>
      </c>
      <c r="I2283" s="5">
        <v>0.114</v>
      </c>
      <c r="J2283" s="11" t="s">
        <v>3036</v>
      </c>
    </row>
    <row r="2284" spans="1:10" ht="13.15" customHeight="1" x14ac:dyDescent="0.25">
      <c r="A2284">
        <f t="shared" si="302"/>
        <v>2279</v>
      </c>
      <c r="B2284" t="s">
        <v>3037</v>
      </c>
      <c r="C2284" s="2">
        <v>0.43333333333333335</v>
      </c>
      <c r="D2284" s="4">
        <f t="shared" ref="D2284:D2292" si="305">C2284-E2284</f>
        <v>0.1076388888888889</v>
      </c>
      <c r="E2284" s="6">
        <v>0.32569444444444445</v>
      </c>
      <c r="F2284" s="5">
        <f t="shared" ref="F2284:F2292" si="306">E2284/C2284</f>
        <v>0.7516025641025641</v>
      </c>
      <c r="G2284" s="5">
        <v>0.79700000000000004</v>
      </c>
      <c r="H2284" s="4">
        <f>58.1/1440</f>
        <v>4.0347222222222222E-2</v>
      </c>
      <c r="I2284" s="5">
        <v>9.9000000000000005E-2</v>
      </c>
      <c r="J2284" s="11" t="s">
        <v>3046</v>
      </c>
    </row>
    <row r="2285" spans="1:10" ht="13.15" customHeight="1" x14ac:dyDescent="0.25">
      <c r="A2285">
        <f t="shared" si="302"/>
        <v>2280</v>
      </c>
      <c r="B2285" t="s">
        <v>3038</v>
      </c>
      <c r="C2285" s="2">
        <v>0.44097222222222221</v>
      </c>
      <c r="D2285" s="4">
        <f t="shared" si="305"/>
        <v>0.11874999999999997</v>
      </c>
      <c r="E2285" s="6">
        <v>0.32222222222222224</v>
      </c>
      <c r="F2285" s="5">
        <f t="shared" si="306"/>
        <v>0.73070866141732294</v>
      </c>
      <c r="G2285" s="5">
        <v>0.78100000000000003</v>
      </c>
      <c r="H2285" s="4">
        <f>64.3/1440</f>
        <v>4.4652777777777777E-2</v>
      </c>
      <c r="I2285" s="5">
        <v>0.108</v>
      </c>
      <c r="J2285" s="11" t="s">
        <v>3046</v>
      </c>
    </row>
    <row r="2286" spans="1:10" ht="13.15" customHeight="1" x14ac:dyDescent="0.25">
      <c r="A2286">
        <f t="shared" si="302"/>
        <v>2281</v>
      </c>
      <c r="B2286" t="s">
        <v>3039</v>
      </c>
      <c r="C2286" s="2">
        <v>0.4236111111111111</v>
      </c>
      <c r="D2286" s="4">
        <f t="shared" si="305"/>
        <v>0.11874999999999997</v>
      </c>
      <c r="E2286" s="6">
        <v>0.30486111111111114</v>
      </c>
      <c r="F2286" s="5">
        <f t="shared" si="306"/>
        <v>0.71967213114754103</v>
      </c>
      <c r="G2286" s="5">
        <v>0.79900000000000004</v>
      </c>
      <c r="H2286" s="4">
        <f>48.7/1440</f>
        <v>3.3819444444444444E-2</v>
      </c>
      <c r="I2286" s="5">
        <v>8.7999999999999995E-2</v>
      </c>
      <c r="J2286" s="11" t="s">
        <v>3046</v>
      </c>
    </row>
    <row r="2287" spans="1:10" ht="13.15" customHeight="1" x14ac:dyDescent="0.25">
      <c r="A2287">
        <f t="shared" si="302"/>
        <v>2282</v>
      </c>
      <c r="B2287" t="s">
        <v>3040</v>
      </c>
      <c r="C2287" s="2">
        <v>0.43402777777777779</v>
      </c>
      <c r="D2287" s="4">
        <f t="shared" si="305"/>
        <v>0.10694444444444445</v>
      </c>
      <c r="E2287" s="6">
        <v>0.32708333333333334</v>
      </c>
      <c r="F2287" s="5">
        <f t="shared" si="306"/>
        <v>0.75359999999999994</v>
      </c>
      <c r="G2287" s="5">
        <v>0.76</v>
      </c>
      <c r="H2287" s="4">
        <f>54.7/1440</f>
        <v>3.7986111111111116E-2</v>
      </c>
      <c r="I2287" s="5">
        <v>8.7999999999999995E-2</v>
      </c>
      <c r="J2287" s="11" t="s">
        <v>3046</v>
      </c>
    </row>
    <row r="2288" spans="1:10" ht="13.15" customHeight="1" x14ac:dyDescent="0.25">
      <c r="A2288">
        <f t="shared" si="302"/>
        <v>2283</v>
      </c>
      <c r="B2288" t="s">
        <v>3041</v>
      </c>
      <c r="C2288" s="2">
        <v>0.40416666666666667</v>
      </c>
      <c r="D2288" s="4">
        <f t="shared" si="305"/>
        <v>9.2361111111111116E-2</v>
      </c>
      <c r="E2288" s="6">
        <v>0.31180555555555556</v>
      </c>
      <c r="F2288" s="5">
        <f t="shared" si="306"/>
        <v>0.77147766323024058</v>
      </c>
      <c r="G2288" s="5">
        <v>0.81799999999999995</v>
      </c>
      <c r="H2288" s="4">
        <f>52.4/1440</f>
        <v>3.6388888888888887E-2</v>
      </c>
      <c r="I2288" s="5">
        <v>9.5000000000000001E-2</v>
      </c>
      <c r="J2288" s="11" t="s">
        <v>3046</v>
      </c>
    </row>
    <row r="2289" spans="1:10" ht="13.15" customHeight="1" x14ac:dyDescent="0.25">
      <c r="A2289">
        <f t="shared" si="302"/>
        <v>2284</v>
      </c>
      <c r="B2289" t="s">
        <v>3042</v>
      </c>
      <c r="C2289" s="2">
        <v>0.4236111111111111</v>
      </c>
      <c r="D2289" s="4">
        <f t="shared" si="305"/>
        <v>0.10416666666666669</v>
      </c>
      <c r="E2289" s="6">
        <v>0.31944444444444442</v>
      </c>
      <c r="F2289" s="5">
        <f t="shared" si="306"/>
        <v>0.75409836065573765</v>
      </c>
      <c r="G2289" s="5">
        <v>0.78200000000000003</v>
      </c>
      <c r="H2289" s="4">
        <f>56.3/1440</f>
        <v>3.9097222222222221E-2</v>
      </c>
      <c r="I2289" s="5">
        <v>9.5000000000000001E-2</v>
      </c>
      <c r="J2289" s="11" t="s">
        <v>3047</v>
      </c>
    </row>
    <row r="2290" spans="1:10" ht="13.15" customHeight="1" x14ac:dyDescent="0.25">
      <c r="A2290">
        <f t="shared" si="302"/>
        <v>2285</v>
      </c>
      <c r="B2290" t="s">
        <v>3043</v>
      </c>
      <c r="C2290" s="2">
        <v>0.48472222222222222</v>
      </c>
      <c r="D2290" s="4">
        <f t="shared" si="305"/>
        <v>0.12291666666666667</v>
      </c>
      <c r="E2290" s="6">
        <v>0.36180555555555555</v>
      </c>
      <c r="F2290" s="5">
        <f t="shared" si="306"/>
        <v>0.74641833810888247</v>
      </c>
      <c r="G2290" s="5">
        <v>0.873</v>
      </c>
      <c r="H2290" s="4">
        <f>64.7/1440</f>
        <v>4.4930555555555557E-2</v>
      </c>
      <c r="I2290" s="5">
        <v>0.108</v>
      </c>
      <c r="J2290" s="11" t="s">
        <v>3047</v>
      </c>
    </row>
    <row r="2291" spans="1:10" ht="13.15" customHeight="1" x14ac:dyDescent="0.25">
      <c r="A2291">
        <f t="shared" si="302"/>
        <v>2286</v>
      </c>
      <c r="B2291" t="s">
        <v>3044</v>
      </c>
      <c r="C2291" s="2">
        <v>0.4909722222222222</v>
      </c>
      <c r="D2291" s="4">
        <f t="shared" si="305"/>
        <v>0.1159722222222222</v>
      </c>
      <c r="E2291" s="6">
        <v>0.375</v>
      </c>
      <c r="F2291" s="5">
        <f t="shared" si="306"/>
        <v>0.76379066478076385</v>
      </c>
      <c r="G2291" s="5">
        <v>0.83499999999999996</v>
      </c>
      <c r="H2291" s="4">
        <f>61.1/1440</f>
        <v>4.2430555555555555E-2</v>
      </c>
      <c r="I2291" s="5">
        <v>9.4E-2</v>
      </c>
      <c r="J2291" s="11" t="s">
        <v>3047</v>
      </c>
    </row>
    <row r="2292" spans="1:10" ht="13.15" customHeight="1" x14ac:dyDescent="0.25">
      <c r="A2292">
        <f t="shared" si="302"/>
        <v>2287</v>
      </c>
      <c r="B2292" t="s">
        <v>3045</v>
      </c>
      <c r="C2292" s="2">
        <v>0.46250000000000002</v>
      </c>
      <c r="D2292" s="4">
        <f t="shared" si="305"/>
        <v>0.1027777777777778</v>
      </c>
      <c r="E2292" s="6">
        <v>0.35972222222222222</v>
      </c>
      <c r="F2292" s="5">
        <f t="shared" si="306"/>
        <v>0.77777777777777779</v>
      </c>
      <c r="G2292" s="5">
        <v>0.75700000000000001</v>
      </c>
      <c r="H2292" s="4">
        <f>72.1/1440</f>
        <v>5.0069444444444437E-2</v>
      </c>
      <c r="I2292" s="5">
        <v>0.105</v>
      </c>
      <c r="J2292" s="11" t="s">
        <v>3047</v>
      </c>
    </row>
    <row r="2293" spans="1:10" ht="13.15" customHeight="1" x14ac:dyDescent="0.25">
      <c r="A2293">
        <f t="shared" si="302"/>
        <v>2288</v>
      </c>
      <c r="B2293" t="s">
        <v>3050</v>
      </c>
      <c r="C2293" s="2">
        <v>0.49027777777777776</v>
      </c>
      <c r="D2293" s="4">
        <f t="shared" ref="D2293:D2301" si="307">C2293-E2293</f>
        <v>0.10347222222222219</v>
      </c>
      <c r="E2293" s="6">
        <v>0.38680555555555557</v>
      </c>
      <c r="F2293" s="5">
        <f t="shared" ref="F2293:F2301" si="308">E2293/C2293</f>
        <v>0.78895184135977348</v>
      </c>
      <c r="G2293" s="5">
        <v>1</v>
      </c>
      <c r="H2293" s="4">
        <f>91.5/1440</f>
        <v>6.3541666666666663E-2</v>
      </c>
      <c r="I2293" s="5">
        <v>0.16400000000000001</v>
      </c>
      <c r="J2293" s="11" t="s">
        <v>3048</v>
      </c>
    </row>
    <row r="2294" spans="1:10" ht="13.15" customHeight="1" x14ac:dyDescent="0.25">
      <c r="A2294">
        <f t="shared" si="302"/>
        <v>2289</v>
      </c>
      <c r="B2294" t="s">
        <v>3051</v>
      </c>
      <c r="C2294" s="2">
        <v>0.48680555555555555</v>
      </c>
      <c r="D2294" s="4">
        <f t="shared" si="307"/>
        <v>0.10555555555555557</v>
      </c>
      <c r="E2294" s="6">
        <v>0.38124999999999998</v>
      </c>
      <c r="F2294" s="5">
        <f t="shared" si="308"/>
        <v>0.7831669044222539</v>
      </c>
      <c r="G2294" s="5">
        <v>1</v>
      </c>
      <c r="H2294" s="4">
        <f>93.9/1440</f>
        <v>6.520833333333334E-2</v>
      </c>
      <c r="I2294" s="5">
        <v>0.17100000000000001</v>
      </c>
      <c r="J2294" s="11" t="s">
        <v>3048</v>
      </c>
    </row>
    <row r="2295" spans="1:10" ht="13.15" customHeight="1" x14ac:dyDescent="0.25">
      <c r="A2295">
        <f t="shared" si="302"/>
        <v>2290</v>
      </c>
      <c r="B2295" t="s">
        <v>3052</v>
      </c>
      <c r="C2295" s="2">
        <v>0.38750000000000001</v>
      </c>
      <c r="D2295" s="4">
        <f t="shared" si="307"/>
        <v>0.10555555555555557</v>
      </c>
      <c r="E2295" s="6">
        <v>0.28194444444444444</v>
      </c>
      <c r="F2295" s="5">
        <f t="shared" si="308"/>
        <v>0.72759856630824371</v>
      </c>
      <c r="G2295" s="5">
        <v>1</v>
      </c>
      <c r="H2295" s="4">
        <f>74.6/1440</f>
        <v>5.1805555555555549E-2</v>
      </c>
      <c r="I2295" s="5">
        <v>0.184</v>
      </c>
      <c r="J2295" s="11" t="s">
        <v>3048</v>
      </c>
    </row>
    <row r="2296" spans="1:10" ht="13.15" customHeight="1" x14ac:dyDescent="0.25">
      <c r="A2296">
        <f t="shared" si="302"/>
        <v>2291</v>
      </c>
      <c r="B2296" t="s">
        <v>3053</v>
      </c>
      <c r="C2296" s="2">
        <v>0.48680555555555555</v>
      </c>
      <c r="D2296" s="4">
        <f t="shared" si="307"/>
        <v>9.8611111111111094E-2</v>
      </c>
      <c r="E2296" s="6">
        <v>0.38819444444444445</v>
      </c>
      <c r="F2296" s="5">
        <f t="shared" si="308"/>
        <v>0.79743223965763199</v>
      </c>
      <c r="G2296" s="5">
        <v>1</v>
      </c>
      <c r="H2296" s="4">
        <f>80.6/1440</f>
        <v>5.5972222222222215E-2</v>
      </c>
      <c r="I2296" s="5">
        <v>0.14399999999999999</v>
      </c>
      <c r="J2296" s="11" t="s">
        <v>3048</v>
      </c>
    </row>
    <row r="2297" spans="1:10" ht="13.15" customHeight="1" x14ac:dyDescent="0.25">
      <c r="A2297">
        <f t="shared" si="302"/>
        <v>2292</v>
      </c>
      <c r="B2297" t="s">
        <v>3054</v>
      </c>
      <c r="C2297" s="2">
        <v>0.46597222222222223</v>
      </c>
      <c r="D2297" s="4">
        <f t="shared" si="307"/>
        <v>9.8611111111111094E-2</v>
      </c>
      <c r="E2297" s="6">
        <v>0.36736111111111114</v>
      </c>
      <c r="F2297" s="5">
        <f t="shared" si="308"/>
        <v>0.78837555886736221</v>
      </c>
      <c r="G2297" s="5">
        <v>1</v>
      </c>
      <c r="H2297" s="4">
        <f>95.4/1440</f>
        <v>6.6250000000000003E-2</v>
      </c>
      <c r="I2297" s="5">
        <v>0.18</v>
      </c>
      <c r="J2297" s="11" t="s">
        <v>3048</v>
      </c>
    </row>
    <row r="2298" spans="1:10" ht="13.15" customHeight="1" x14ac:dyDescent="0.25">
      <c r="A2298">
        <f t="shared" si="302"/>
        <v>2293</v>
      </c>
      <c r="B2298" t="s">
        <v>3055</v>
      </c>
      <c r="C2298" s="2">
        <v>0.4826388888888889</v>
      </c>
      <c r="D2298" s="4">
        <f t="shared" si="307"/>
        <v>0.10833333333333334</v>
      </c>
      <c r="E2298" s="6">
        <v>0.37430555555555556</v>
      </c>
      <c r="F2298" s="5">
        <f t="shared" si="308"/>
        <v>0.77553956834532378</v>
      </c>
      <c r="G2298" s="5">
        <v>1</v>
      </c>
      <c r="H2298" s="4">
        <f>95.2/1440</f>
        <v>6.6111111111111107E-2</v>
      </c>
      <c r="I2298" s="5">
        <v>0.17599999999999999</v>
      </c>
      <c r="J2298" s="11" t="s">
        <v>3049</v>
      </c>
    </row>
    <row r="2299" spans="1:10" ht="13.15" customHeight="1" x14ac:dyDescent="0.25">
      <c r="A2299">
        <f t="shared" si="302"/>
        <v>2294</v>
      </c>
      <c r="B2299" t="s">
        <v>3056</v>
      </c>
      <c r="C2299" s="2">
        <v>0.56388888888888888</v>
      </c>
      <c r="D2299" s="4">
        <f t="shared" si="307"/>
        <v>0.10902777777777778</v>
      </c>
      <c r="E2299" s="6">
        <v>0.4548611111111111</v>
      </c>
      <c r="F2299" s="5">
        <f t="shared" si="308"/>
        <v>0.80665024630541871</v>
      </c>
      <c r="G2299" s="5">
        <v>1</v>
      </c>
      <c r="H2299" s="4">
        <f>92.5/1440</f>
        <v>6.4236111111111105E-2</v>
      </c>
      <c r="I2299" s="5">
        <v>0.14099999999999999</v>
      </c>
      <c r="J2299" s="11" t="s">
        <v>3049</v>
      </c>
    </row>
    <row r="2300" spans="1:10" ht="13.15" customHeight="1" x14ac:dyDescent="0.25">
      <c r="A2300">
        <f t="shared" si="302"/>
        <v>2295</v>
      </c>
      <c r="B2300" t="s">
        <v>3057</v>
      </c>
      <c r="C2300" s="2">
        <v>0.5625</v>
      </c>
      <c r="D2300" s="4">
        <f t="shared" si="307"/>
        <v>0.1076388888888889</v>
      </c>
      <c r="E2300" s="6">
        <v>0.4548611111111111</v>
      </c>
      <c r="F2300" s="5">
        <f t="shared" si="308"/>
        <v>0.80864197530864201</v>
      </c>
      <c r="G2300" s="5">
        <v>1</v>
      </c>
      <c r="H2300" s="4">
        <f>92.2/1440</f>
        <v>6.4027777777777781E-2</v>
      </c>
      <c r="I2300" s="5">
        <v>0.14099999999999999</v>
      </c>
      <c r="J2300" s="11" t="s">
        <v>3049</v>
      </c>
    </row>
    <row r="2301" spans="1:10" ht="13.15" customHeight="1" x14ac:dyDescent="0.25">
      <c r="A2301">
        <f t="shared" si="302"/>
        <v>2296</v>
      </c>
      <c r="B2301" t="s">
        <v>3058</v>
      </c>
      <c r="C2301" s="2">
        <v>0.50624999999999998</v>
      </c>
      <c r="D2301" s="4">
        <f t="shared" si="307"/>
        <v>0.10277777777777775</v>
      </c>
      <c r="E2301" s="6">
        <v>0.40347222222222223</v>
      </c>
      <c r="F2301" s="5">
        <f t="shared" si="308"/>
        <v>0.7969821673525378</v>
      </c>
      <c r="G2301" s="5">
        <v>1</v>
      </c>
      <c r="H2301" s="4">
        <f>95.7/1440</f>
        <v>6.6458333333333341E-2</v>
      </c>
      <c r="I2301" s="5">
        <v>0.16500000000000001</v>
      </c>
      <c r="J2301" s="11" t="s">
        <v>3049</v>
      </c>
    </row>
    <row r="2302" spans="1:10" ht="13.15" customHeight="1" x14ac:dyDescent="0.25">
      <c r="A2302">
        <f t="shared" si="302"/>
        <v>2297</v>
      </c>
      <c r="B2302" t="s">
        <v>3059</v>
      </c>
      <c r="C2302" s="2">
        <v>0.43472222222222223</v>
      </c>
      <c r="D2302" s="4">
        <f t="shared" ref="D2302:D2310" si="309">C2302-E2302</f>
        <v>0.10902777777777778</v>
      </c>
      <c r="E2302" s="6">
        <v>0.32569444444444445</v>
      </c>
      <c r="F2302" s="5">
        <f t="shared" ref="F2302:F2310" si="310">E2302/C2302</f>
        <v>0.74920127795527158</v>
      </c>
      <c r="G2302" s="5">
        <v>0.82</v>
      </c>
      <c r="H2302" s="4">
        <f>57/1440</f>
        <v>3.9583333333333331E-2</v>
      </c>
      <c r="I2302" s="5">
        <v>0.1</v>
      </c>
      <c r="J2302" s="11" t="s">
        <v>3068</v>
      </c>
    </row>
    <row r="2303" spans="1:10" ht="13.15" customHeight="1" x14ac:dyDescent="0.25">
      <c r="A2303">
        <f t="shared" si="302"/>
        <v>2298</v>
      </c>
      <c r="B2303" t="s">
        <v>3060</v>
      </c>
      <c r="C2303" s="2">
        <v>0.4236111111111111</v>
      </c>
      <c r="D2303" s="4">
        <f t="shared" si="309"/>
        <v>0.11180555555555555</v>
      </c>
      <c r="E2303" s="6">
        <v>0.31180555555555556</v>
      </c>
      <c r="F2303" s="5">
        <f t="shared" si="310"/>
        <v>0.73606557377049187</v>
      </c>
      <c r="G2303" s="5">
        <v>0.82699999999999996</v>
      </c>
      <c r="H2303" s="4">
        <f>69.7/1440</f>
        <v>4.8402777777777781E-2</v>
      </c>
      <c r="I2303" s="5">
        <v>0.128</v>
      </c>
      <c r="J2303" s="11" t="s">
        <v>3068</v>
      </c>
    </row>
    <row r="2304" spans="1:10" ht="13.15" customHeight="1" x14ac:dyDescent="0.25">
      <c r="A2304">
        <f t="shared" si="302"/>
        <v>2299</v>
      </c>
      <c r="B2304" t="s">
        <v>3061</v>
      </c>
      <c r="C2304" s="2">
        <v>0.39652777777777776</v>
      </c>
      <c r="D2304" s="4">
        <f t="shared" si="309"/>
        <v>9.8611111111111094E-2</v>
      </c>
      <c r="E2304" s="6">
        <v>0.29791666666666666</v>
      </c>
      <c r="F2304" s="5">
        <f t="shared" si="310"/>
        <v>0.75131348511383544</v>
      </c>
      <c r="G2304" s="5">
        <v>0.81799999999999995</v>
      </c>
      <c r="H2304" s="4">
        <f>43.4/1440</f>
        <v>3.0138888888888889E-2</v>
      </c>
      <c r="I2304" s="5">
        <v>8.3000000000000004E-2</v>
      </c>
      <c r="J2304" s="11" t="s">
        <v>3068</v>
      </c>
    </row>
    <row r="2305" spans="1:10" ht="13.15" customHeight="1" x14ac:dyDescent="0.25">
      <c r="A2305">
        <f t="shared" si="302"/>
        <v>2300</v>
      </c>
      <c r="B2305" t="s">
        <v>3062</v>
      </c>
      <c r="C2305" s="2">
        <v>0.45416666666666666</v>
      </c>
      <c r="D2305" s="4">
        <f t="shared" si="309"/>
        <v>0.13124999999999998</v>
      </c>
      <c r="E2305" s="6">
        <v>0.32291666666666669</v>
      </c>
      <c r="F2305" s="5">
        <f t="shared" si="310"/>
        <v>0.71100917431192667</v>
      </c>
      <c r="G2305" s="5">
        <v>0.77900000000000003</v>
      </c>
      <c r="H2305" s="4">
        <f>51.6/1440</f>
        <v>3.5833333333333335E-2</v>
      </c>
      <c r="I2305" s="5">
        <v>8.5999999999999993E-2</v>
      </c>
      <c r="J2305" s="11" t="s">
        <v>3068</v>
      </c>
    </row>
    <row r="2306" spans="1:10" ht="13.15" customHeight="1" x14ac:dyDescent="0.25">
      <c r="A2306">
        <f t="shared" si="302"/>
        <v>2301</v>
      </c>
      <c r="B2306" t="s">
        <v>3063</v>
      </c>
      <c r="C2306" s="2">
        <v>0.44236111111111109</v>
      </c>
      <c r="D2306" s="4">
        <f t="shared" si="309"/>
        <v>0.11944444444444441</v>
      </c>
      <c r="E2306" s="6">
        <v>0.32291666666666669</v>
      </c>
      <c r="F2306" s="5">
        <f t="shared" si="310"/>
        <v>0.72998430141287296</v>
      </c>
      <c r="G2306" s="5">
        <v>0.80700000000000005</v>
      </c>
      <c r="H2306" s="4">
        <f>58/1440</f>
        <v>4.027777777777778E-2</v>
      </c>
      <c r="I2306" s="5">
        <v>0.10100000000000001</v>
      </c>
      <c r="J2306" s="11" t="s">
        <v>3068</v>
      </c>
    </row>
    <row r="2307" spans="1:10" ht="13.15" customHeight="1" x14ac:dyDescent="0.25">
      <c r="A2307">
        <f t="shared" si="302"/>
        <v>2302</v>
      </c>
      <c r="B2307" t="s">
        <v>3064</v>
      </c>
      <c r="C2307" s="2">
        <v>0.49236111111111114</v>
      </c>
      <c r="D2307" s="4">
        <f t="shared" si="309"/>
        <v>0.11250000000000004</v>
      </c>
      <c r="E2307" s="6">
        <v>0.37986111111111109</v>
      </c>
      <c r="F2307" s="5">
        <f t="shared" si="310"/>
        <v>0.77150916784203094</v>
      </c>
      <c r="G2307" s="5">
        <v>0.82599999999999996</v>
      </c>
      <c r="H2307" s="4">
        <f>68.4/1440</f>
        <v>4.7500000000000001E-2</v>
      </c>
      <c r="I2307" s="5">
        <v>0.10299999999999999</v>
      </c>
      <c r="J2307" s="11" t="s">
        <v>3069</v>
      </c>
    </row>
    <row r="2308" spans="1:10" ht="13.15" customHeight="1" x14ac:dyDescent="0.25">
      <c r="A2308">
        <f t="shared" si="302"/>
        <v>2303</v>
      </c>
      <c r="B2308" t="s">
        <v>3065</v>
      </c>
      <c r="C2308" s="2">
        <v>0.48402777777777778</v>
      </c>
      <c r="D2308" s="4">
        <f t="shared" si="309"/>
        <v>0.14861111111111114</v>
      </c>
      <c r="E2308" s="6">
        <v>0.33541666666666664</v>
      </c>
      <c r="F2308" s="5">
        <f t="shared" si="310"/>
        <v>0.69296987087517925</v>
      </c>
      <c r="G2308" s="5">
        <v>0.83799999999999997</v>
      </c>
      <c r="H2308" s="4">
        <f>55.7/1440</f>
        <v>3.8680555555555558E-2</v>
      </c>
      <c r="I2308" s="5">
        <v>9.7000000000000003E-2</v>
      </c>
      <c r="J2308" s="11" t="s">
        <v>3069</v>
      </c>
    </row>
    <row r="2309" spans="1:10" ht="13.15" customHeight="1" x14ac:dyDescent="0.25">
      <c r="A2309">
        <f t="shared" si="302"/>
        <v>2304</v>
      </c>
      <c r="B2309" t="s">
        <v>3066</v>
      </c>
      <c r="C2309" s="2">
        <v>0.43680555555555556</v>
      </c>
      <c r="D2309" s="4">
        <f t="shared" si="309"/>
        <v>9.5138888888888884E-2</v>
      </c>
      <c r="E2309" s="6">
        <v>0.34166666666666667</v>
      </c>
      <c r="F2309" s="5">
        <f t="shared" si="310"/>
        <v>0.78219395866454688</v>
      </c>
      <c r="G2309" s="5">
        <v>0.93799999999999994</v>
      </c>
      <c r="H2309" s="4">
        <f>61.8/1440</f>
        <v>4.2916666666666665E-2</v>
      </c>
      <c r="I2309" s="5">
        <v>0.11799999999999999</v>
      </c>
      <c r="J2309" s="11" t="s">
        <v>3069</v>
      </c>
    </row>
    <row r="2310" spans="1:10" ht="13.15" customHeight="1" x14ac:dyDescent="0.25">
      <c r="A2310">
        <f t="shared" si="302"/>
        <v>2305</v>
      </c>
      <c r="B2310" t="s">
        <v>3067</v>
      </c>
      <c r="C2310" s="2">
        <v>0.49583333333333335</v>
      </c>
      <c r="D2310" s="4">
        <f t="shared" si="309"/>
        <v>0.10000000000000003</v>
      </c>
      <c r="E2310" s="6">
        <v>0.39583333333333331</v>
      </c>
      <c r="F2310" s="5">
        <f t="shared" si="310"/>
        <v>0.79831932773109238</v>
      </c>
      <c r="G2310" s="5">
        <v>0.83599999999999997</v>
      </c>
      <c r="H2310" s="4">
        <f>53.5/1440</f>
        <v>3.7152777777777778E-2</v>
      </c>
      <c r="I2310" s="5">
        <v>7.8E-2</v>
      </c>
      <c r="J2310" s="11" t="s">
        <v>3069</v>
      </c>
    </row>
    <row r="2311" spans="1:10" ht="13.15" customHeight="1" x14ac:dyDescent="0.25">
      <c r="A2311">
        <f t="shared" si="302"/>
        <v>2306</v>
      </c>
      <c r="B2311" t="s">
        <v>3070</v>
      </c>
      <c r="C2311" s="2">
        <v>0.41875000000000001</v>
      </c>
      <c r="D2311" s="4">
        <f t="shared" ref="D2311:D2319" si="311">C2311-E2311</f>
        <v>0.12152777777777779</v>
      </c>
      <c r="E2311" s="6">
        <v>0.29722222222222222</v>
      </c>
      <c r="F2311" s="5">
        <f t="shared" ref="F2311:F2319" si="312">E2311/C2311</f>
        <v>0.70978441127694858</v>
      </c>
      <c r="G2311" s="5">
        <v>0.79800000000000004</v>
      </c>
      <c r="H2311" s="4">
        <f>54.4/1440</f>
        <v>3.7777777777777778E-2</v>
      </c>
      <c r="I2311" s="5">
        <v>0.10100000000000001</v>
      </c>
      <c r="J2311" s="11" t="s">
        <v>3071</v>
      </c>
    </row>
    <row r="2312" spans="1:10" ht="13.15" customHeight="1" x14ac:dyDescent="0.25">
      <c r="A2312">
        <f t="shared" si="302"/>
        <v>2307</v>
      </c>
      <c r="B2312" t="s">
        <v>3072</v>
      </c>
      <c r="C2312" s="2">
        <v>0.49652777777777779</v>
      </c>
      <c r="D2312" s="4">
        <f t="shared" si="311"/>
        <v>0.125</v>
      </c>
      <c r="E2312" s="6">
        <v>0.37152777777777779</v>
      </c>
      <c r="F2312" s="5">
        <f t="shared" si="312"/>
        <v>0.74825174825174823</v>
      </c>
      <c r="G2312" s="5">
        <v>0.84099999999999997</v>
      </c>
      <c r="H2312" s="4">
        <f>61.5/1440</f>
        <v>4.2708333333333334E-2</v>
      </c>
      <c r="I2312" s="5">
        <v>9.7000000000000003E-2</v>
      </c>
      <c r="J2312" s="11" t="s">
        <v>3071</v>
      </c>
    </row>
    <row r="2313" spans="1:10" ht="13.15" customHeight="1" x14ac:dyDescent="0.25">
      <c r="A2313">
        <f t="shared" si="302"/>
        <v>2308</v>
      </c>
      <c r="B2313" t="s">
        <v>3073</v>
      </c>
      <c r="C2313" s="2">
        <v>0.3972222222222222</v>
      </c>
      <c r="D2313" s="4">
        <f t="shared" si="311"/>
        <v>0.11805555555555552</v>
      </c>
      <c r="E2313" s="6">
        <v>0.27916666666666667</v>
      </c>
      <c r="F2313" s="5">
        <f t="shared" si="312"/>
        <v>0.70279720279720281</v>
      </c>
      <c r="G2313" s="5">
        <v>0.77200000000000002</v>
      </c>
      <c r="H2313" s="4">
        <f>54.2/1440</f>
        <v>3.7638888888888888E-2</v>
      </c>
      <c r="I2313" s="5">
        <v>0.104</v>
      </c>
      <c r="J2313" s="11" t="s">
        <v>3071</v>
      </c>
    </row>
    <row r="2314" spans="1:10" ht="13.15" customHeight="1" x14ac:dyDescent="0.25">
      <c r="A2314">
        <f t="shared" si="302"/>
        <v>2309</v>
      </c>
      <c r="B2314" t="s">
        <v>3074</v>
      </c>
      <c r="C2314" s="2">
        <v>0.3888888888888889</v>
      </c>
      <c r="D2314" s="4">
        <f t="shared" si="311"/>
        <v>0.13333333333333336</v>
      </c>
      <c r="E2314" s="6">
        <v>0.25555555555555554</v>
      </c>
      <c r="F2314" s="5">
        <f t="shared" si="312"/>
        <v>0.65714285714285703</v>
      </c>
      <c r="G2314" s="5">
        <v>0.68600000000000005</v>
      </c>
      <c r="H2314" s="4">
        <f>47.5/1440</f>
        <v>3.2986111111111112E-2</v>
      </c>
      <c r="I2314" s="5">
        <v>8.7999999999999995E-2</v>
      </c>
      <c r="J2314" s="11" t="s">
        <v>3071</v>
      </c>
    </row>
    <row r="2315" spans="1:10" ht="13.15" customHeight="1" x14ac:dyDescent="0.25">
      <c r="A2315">
        <f t="shared" si="302"/>
        <v>2310</v>
      </c>
      <c r="B2315" t="s">
        <v>3075</v>
      </c>
      <c r="C2315" s="2">
        <v>0.45416666666666666</v>
      </c>
      <c r="D2315" s="4">
        <f t="shared" si="311"/>
        <v>0.12638888888888888</v>
      </c>
      <c r="E2315" s="6">
        <v>0.32777777777777778</v>
      </c>
      <c r="F2315" s="5">
        <f t="shared" si="312"/>
        <v>0.72171253822629966</v>
      </c>
      <c r="G2315" s="5">
        <v>0.878</v>
      </c>
      <c r="H2315" s="4">
        <f>54.5/1440</f>
        <v>3.784722222222222E-2</v>
      </c>
      <c r="I2315" s="5">
        <v>0.10100000000000001</v>
      </c>
      <c r="J2315" s="11" t="s">
        <v>3071</v>
      </c>
    </row>
    <row r="2316" spans="1:10" ht="13.15" customHeight="1" x14ac:dyDescent="0.25">
      <c r="A2316">
        <f t="shared" si="302"/>
        <v>2311</v>
      </c>
      <c r="B2316" t="s">
        <v>3076</v>
      </c>
      <c r="C2316" s="2">
        <v>0.38194444444444442</v>
      </c>
      <c r="D2316" s="4">
        <f t="shared" si="311"/>
        <v>0.13194444444444442</v>
      </c>
      <c r="E2316" s="6">
        <v>0.25</v>
      </c>
      <c r="F2316" s="5">
        <f t="shared" si="312"/>
        <v>0.65454545454545454</v>
      </c>
      <c r="G2316" s="5">
        <v>0.82799999999999996</v>
      </c>
      <c r="H2316" s="4">
        <f>40.6/1440</f>
        <v>2.8194444444444446E-2</v>
      </c>
      <c r="I2316" s="5">
        <v>9.2999999999999999E-2</v>
      </c>
      <c r="J2316" s="11" t="s">
        <v>3077</v>
      </c>
    </row>
    <row r="2317" spans="1:10" ht="13.15" customHeight="1" x14ac:dyDescent="0.25">
      <c r="A2317">
        <f t="shared" si="302"/>
        <v>2312</v>
      </c>
      <c r="B2317" t="s">
        <v>3078</v>
      </c>
      <c r="C2317" s="2">
        <v>0.4465277777777778</v>
      </c>
      <c r="D2317" s="4">
        <f t="shared" si="311"/>
        <v>0.13611111111111113</v>
      </c>
      <c r="E2317" s="6">
        <v>0.31041666666666667</v>
      </c>
      <c r="F2317" s="5">
        <f t="shared" si="312"/>
        <v>0.69517884914463446</v>
      </c>
      <c r="G2317" s="5">
        <v>0.86699999999999999</v>
      </c>
      <c r="H2317" s="4">
        <f>60.2/1440</f>
        <v>4.1805555555555554E-2</v>
      </c>
      <c r="I2317" s="5">
        <v>0.11700000000000001</v>
      </c>
      <c r="J2317" s="11" t="s">
        <v>3077</v>
      </c>
    </row>
    <row r="2318" spans="1:10" ht="13.15" customHeight="1" x14ac:dyDescent="0.25">
      <c r="A2318">
        <f t="shared" si="302"/>
        <v>2313</v>
      </c>
      <c r="B2318" t="s">
        <v>3079</v>
      </c>
      <c r="C2318" s="2">
        <v>0.34444444444444444</v>
      </c>
      <c r="D2318" s="4">
        <f t="shared" si="311"/>
        <v>8.4027777777777757E-2</v>
      </c>
      <c r="E2318" s="6">
        <v>0.26041666666666669</v>
      </c>
      <c r="F2318" s="5">
        <f t="shared" si="312"/>
        <v>0.75604838709677424</v>
      </c>
      <c r="G2318" s="5">
        <v>0.61599999999999999</v>
      </c>
      <c r="H2318" s="4">
        <f>61.3/1440</f>
        <v>4.2569444444444444E-2</v>
      </c>
      <c r="I2318" s="5">
        <v>0.10100000000000001</v>
      </c>
      <c r="J2318" s="11" t="s">
        <v>3077</v>
      </c>
    </row>
    <row r="2319" spans="1:10" ht="13.15" customHeight="1" x14ac:dyDescent="0.25">
      <c r="A2319">
        <f t="shared" si="302"/>
        <v>2314</v>
      </c>
      <c r="B2319" t="s">
        <v>3080</v>
      </c>
      <c r="C2319" s="2">
        <v>0.41666666666666669</v>
      </c>
      <c r="D2319" s="4">
        <f t="shared" si="311"/>
        <v>0.14375000000000004</v>
      </c>
      <c r="E2319" s="6">
        <v>0.27291666666666664</v>
      </c>
      <c r="F2319" s="5">
        <f t="shared" si="312"/>
        <v>0.65499999999999992</v>
      </c>
      <c r="G2319" s="5">
        <v>0.82199999999999995</v>
      </c>
      <c r="H2319" s="4">
        <f>51.7/1440</f>
        <v>3.5902777777777777E-2</v>
      </c>
      <c r="I2319" s="5">
        <v>0.108</v>
      </c>
      <c r="J2319" s="11" t="s">
        <v>3077</v>
      </c>
    </row>
    <row r="2320" spans="1:10" ht="13.15" customHeight="1" x14ac:dyDescent="0.25">
      <c r="A2320">
        <f t="shared" si="302"/>
        <v>2315</v>
      </c>
      <c r="B2320" t="s">
        <v>3081</v>
      </c>
      <c r="C2320" s="2">
        <v>0.39583333333333331</v>
      </c>
      <c r="D2320" s="4">
        <f t="shared" ref="D2320:D2337" si="313">C2320-E2320</f>
        <v>0.10624999999999996</v>
      </c>
      <c r="E2320" s="6">
        <v>0.28958333333333336</v>
      </c>
      <c r="F2320" s="5">
        <f t="shared" ref="F2320:F2337" si="314">E2320/C2320</f>
        <v>0.73157894736842111</v>
      </c>
      <c r="G2320" s="5">
        <v>0.82399999999999995</v>
      </c>
      <c r="H2320" s="4">
        <f>55.3/1440</f>
        <v>3.8402777777777779E-2</v>
      </c>
      <c r="I2320" s="5">
        <v>0.109</v>
      </c>
      <c r="J2320" s="11" t="s">
        <v>3090</v>
      </c>
    </row>
    <row r="2321" spans="1:10" ht="13.15" customHeight="1" x14ac:dyDescent="0.25">
      <c r="A2321">
        <f t="shared" si="302"/>
        <v>2316</v>
      </c>
      <c r="B2321" t="s">
        <v>3082</v>
      </c>
      <c r="C2321" s="2">
        <v>0.40069444444444446</v>
      </c>
      <c r="D2321" s="4">
        <f t="shared" si="313"/>
        <v>0.11805555555555558</v>
      </c>
      <c r="E2321" s="6">
        <v>0.28263888888888888</v>
      </c>
      <c r="F2321" s="5">
        <f t="shared" si="314"/>
        <v>0.70537261698440201</v>
      </c>
      <c r="G2321" s="5">
        <v>0.84699999999999998</v>
      </c>
      <c r="H2321" s="4">
        <f>47.6/1440</f>
        <v>3.3055555555555553E-2</v>
      </c>
      <c r="I2321" s="5">
        <v>9.9000000000000005E-2</v>
      </c>
      <c r="J2321" s="11" t="s">
        <v>3090</v>
      </c>
    </row>
    <row r="2322" spans="1:10" ht="13.15" customHeight="1" x14ac:dyDescent="0.25">
      <c r="A2322">
        <f t="shared" si="302"/>
        <v>2317</v>
      </c>
      <c r="B2322" t="s">
        <v>3083</v>
      </c>
      <c r="C2322" s="2">
        <v>0.31597222222222221</v>
      </c>
      <c r="D2322" s="4">
        <f t="shared" si="313"/>
        <v>9.305555555555553E-2</v>
      </c>
      <c r="E2322" s="6">
        <v>0.22291666666666668</v>
      </c>
      <c r="F2322" s="5">
        <f t="shared" si="314"/>
        <v>0.70549450549450554</v>
      </c>
      <c r="G2322" s="5">
        <v>0.76500000000000001</v>
      </c>
      <c r="H2322" s="4">
        <f>44.5/1440</f>
        <v>3.0902777777777779E-2</v>
      </c>
      <c r="I2322" s="5">
        <v>0.106</v>
      </c>
      <c r="J2322" s="11" t="s">
        <v>3090</v>
      </c>
    </row>
    <row r="2323" spans="1:10" ht="13.15" customHeight="1" x14ac:dyDescent="0.25">
      <c r="A2323">
        <f t="shared" si="302"/>
        <v>2318</v>
      </c>
      <c r="B2323" t="s">
        <v>3084</v>
      </c>
      <c r="C2323" s="2">
        <v>0.43888888888888888</v>
      </c>
      <c r="D2323" s="4">
        <f t="shared" si="313"/>
        <v>0.11319444444444443</v>
      </c>
      <c r="E2323" s="6">
        <v>0.32569444444444445</v>
      </c>
      <c r="F2323" s="5">
        <f t="shared" si="314"/>
        <v>0.74208860759493678</v>
      </c>
      <c r="G2323" s="5">
        <v>0.77300000000000002</v>
      </c>
      <c r="H2323" s="4">
        <f>46.2/1440</f>
        <v>3.2083333333333339E-2</v>
      </c>
      <c r="I2323" s="5">
        <v>7.5999999999999998E-2</v>
      </c>
      <c r="J2323" s="11" t="s">
        <v>3090</v>
      </c>
    </row>
    <row r="2324" spans="1:10" ht="13.15" customHeight="1" x14ac:dyDescent="0.25">
      <c r="A2324">
        <f t="shared" si="302"/>
        <v>2319</v>
      </c>
      <c r="B2324" t="s">
        <v>3085</v>
      </c>
      <c r="C2324" s="2">
        <v>0.47499999999999998</v>
      </c>
      <c r="D2324" s="4">
        <f t="shared" si="313"/>
        <v>0.11180555555555555</v>
      </c>
      <c r="E2324" s="6">
        <v>0.36319444444444443</v>
      </c>
      <c r="F2324" s="5">
        <f t="shared" si="314"/>
        <v>0.76461988304093564</v>
      </c>
      <c r="G2324" s="5">
        <v>0.89500000000000002</v>
      </c>
      <c r="H2324" s="4">
        <f>76.1/1440</f>
        <v>5.2847222222222219E-2</v>
      </c>
      <c r="I2324" s="5">
        <v>0.13</v>
      </c>
      <c r="J2324" s="11" t="s">
        <v>3090</v>
      </c>
    </row>
    <row r="2325" spans="1:10" ht="13.15" customHeight="1" x14ac:dyDescent="0.25">
      <c r="A2325">
        <f t="shared" si="302"/>
        <v>2320</v>
      </c>
      <c r="B2325" t="s">
        <v>3086</v>
      </c>
      <c r="C2325" s="2">
        <v>0.38124999999999998</v>
      </c>
      <c r="D2325" s="4">
        <f t="shared" si="313"/>
        <v>0.11805555555555552</v>
      </c>
      <c r="E2325" s="6">
        <v>0.26319444444444445</v>
      </c>
      <c r="F2325" s="5">
        <f t="shared" si="314"/>
        <v>0.69034608378870677</v>
      </c>
      <c r="G2325" s="5">
        <v>0.81299999999999994</v>
      </c>
      <c r="H2325" s="4">
        <f>53.3/1440</f>
        <v>3.7013888888888888E-2</v>
      </c>
      <c r="I2325" s="5">
        <v>0.114</v>
      </c>
      <c r="J2325" s="11" t="s">
        <v>3091</v>
      </c>
    </row>
    <row r="2326" spans="1:10" ht="13.15" customHeight="1" x14ac:dyDescent="0.25">
      <c r="A2326">
        <f t="shared" si="302"/>
        <v>2321</v>
      </c>
      <c r="B2326" t="s">
        <v>3087</v>
      </c>
      <c r="C2326" s="2">
        <v>0.53402777777777777</v>
      </c>
      <c r="D2326" s="4">
        <f t="shared" si="313"/>
        <v>0.13680555555555557</v>
      </c>
      <c r="E2326" s="6">
        <v>0.3972222222222222</v>
      </c>
      <c r="F2326" s="5">
        <f t="shared" si="314"/>
        <v>0.74382314694408325</v>
      </c>
      <c r="G2326" s="5">
        <v>0.83499999999999996</v>
      </c>
      <c r="H2326" s="4">
        <f>48.8/1440</f>
        <v>3.3888888888888885E-2</v>
      </c>
      <c r="I2326" s="5">
        <v>7.0999999999999994E-2</v>
      </c>
      <c r="J2326" s="11" t="s">
        <v>3091</v>
      </c>
    </row>
    <row r="2327" spans="1:10" ht="13.15" customHeight="1" x14ac:dyDescent="0.25">
      <c r="A2327">
        <f t="shared" si="302"/>
        <v>2322</v>
      </c>
      <c r="B2327" t="s">
        <v>3088</v>
      </c>
      <c r="C2327" s="2">
        <v>0.39791666666666664</v>
      </c>
      <c r="D2327" s="4">
        <f t="shared" si="313"/>
        <v>0.11666666666666664</v>
      </c>
      <c r="E2327" s="6">
        <v>0.28125</v>
      </c>
      <c r="F2327" s="5">
        <f t="shared" si="314"/>
        <v>0.70680628272251311</v>
      </c>
      <c r="G2327" s="5">
        <v>0.76400000000000001</v>
      </c>
      <c r="H2327" s="4">
        <f>65.7/1440</f>
        <v>4.5624999999999999E-2</v>
      </c>
      <c r="I2327" s="5">
        <v>0.124</v>
      </c>
      <c r="J2327" s="11" t="s">
        <v>3091</v>
      </c>
    </row>
    <row r="2328" spans="1:10" ht="13.15" customHeight="1" x14ac:dyDescent="0.25">
      <c r="A2328">
        <f t="shared" si="302"/>
        <v>2323</v>
      </c>
      <c r="B2328" t="s">
        <v>3089</v>
      </c>
      <c r="C2328" s="2">
        <v>0.39166666666666666</v>
      </c>
      <c r="D2328" s="4">
        <f t="shared" si="313"/>
        <v>8.0555555555555547E-2</v>
      </c>
      <c r="E2328" s="6">
        <v>0.31111111111111112</v>
      </c>
      <c r="F2328" s="5">
        <f t="shared" si="314"/>
        <v>0.79432624113475181</v>
      </c>
      <c r="G2328" s="5">
        <v>0.83299999999999996</v>
      </c>
      <c r="H2328" s="4">
        <f>61.8/1440</f>
        <v>4.2916666666666665E-2</v>
      </c>
      <c r="I2328" s="5">
        <v>0.115</v>
      </c>
      <c r="J2328" s="11" t="s">
        <v>3091</v>
      </c>
    </row>
    <row r="2329" spans="1:10" ht="13.15" customHeight="1" x14ac:dyDescent="0.25">
      <c r="A2329">
        <f t="shared" si="302"/>
        <v>2324</v>
      </c>
      <c r="B2329" t="s">
        <v>3092</v>
      </c>
      <c r="C2329" s="2">
        <v>0.41249999999999998</v>
      </c>
      <c r="D2329" s="4">
        <f t="shared" si="313"/>
        <v>0.1159722222222222</v>
      </c>
      <c r="E2329" s="6">
        <v>0.29652777777777778</v>
      </c>
      <c r="F2329" s="5">
        <f t="shared" si="314"/>
        <v>0.71885521885521886</v>
      </c>
      <c r="G2329" s="5">
        <v>0.77500000000000002</v>
      </c>
      <c r="H2329" s="4">
        <f>56.9/1440</f>
        <v>3.951388888888889E-2</v>
      </c>
      <c r="I2329" s="5">
        <v>0.10299999999999999</v>
      </c>
      <c r="J2329" s="11" t="s">
        <v>3093</v>
      </c>
    </row>
    <row r="2330" spans="1:10" ht="13.15" customHeight="1" x14ac:dyDescent="0.25">
      <c r="A2330">
        <f t="shared" ref="A2330:A2393" si="315">A2329+1</f>
        <v>2325</v>
      </c>
      <c r="B2330" t="s">
        <v>3094</v>
      </c>
      <c r="C2330" s="2">
        <v>0.40694444444444444</v>
      </c>
      <c r="D2330" s="4">
        <f t="shared" si="313"/>
        <v>0.11388888888888887</v>
      </c>
      <c r="E2330" s="6">
        <v>0.29305555555555557</v>
      </c>
      <c r="F2330" s="5">
        <f t="shared" si="314"/>
        <v>0.72013651877133111</v>
      </c>
      <c r="G2330" s="5">
        <v>0.81399999999999995</v>
      </c>
      <c r="H2330" s="4">
        <f>62.4/1440</f>
        <v>4.3333333333333335E-2</v>
      </c>
      <c r="I2330" s="5">
        <v>0.12</v>
      </c>
      <c r="J2330" s="11" t="s">
        <v>3093</v>
      </c>
    </row>
    <row r="2331" spans="1:10" ht="13.15" customHeight="1" x14ac:dyDescent="0.25">
      <c r="A2331">
        <f t="shared" si="315"/>
        <v>2326</v>
      </c>
      <c r="B2331" t="s">
        <v>3095</v>
      </c>
      <c r="C2331" s="2">
        <v>0.40625</v>
      </c>
      <c r="D2331" s="4">
        <f t="shared" si="313"/>
        <v>0.11527777777777776</v>
      </c>
      <c r="E2331" s="6">
        <v>0.29097222222222224</v>
      </c>
      <c r="F2331" s="5">
        <f t="shared" si="314"/>
        <v>0.71623931623931625</v>
      </c>
      <c r="G2331" s="5">
        <v>0.69899999999999995</v>
      </c>
      <c r="H2331" s="4">
        <f>49.7/1440</f>
        <v>3.4513888888888893E-2</v>
      </c>
      <c r="I2331" s="5">
        <v>8.3000000000000004E-2</v>
      </c>
      <c r="J2331" s="11" t="s">
        <v>3093</v>
      </c>
    </row>
    <row r="2332" spans="1:10" ht="13.15" customHeight="1" x14ac:dyDescent="0.25">
      <c r="A2332">
        <f t="shared" si="315"/>
        <v>2327</v>
      </c>
      <c r="B2332" t="s">
        <v>3096</v>
      </c>
      <c r="C2332" s="2">
        <v>0.37777777777777777</v>
      </c>
      <c r="D2332" s="4">
        <f t="shared" si="313"/>
        <v>0.12152777777777779</v>
      </c>
      <c r="E2332" s="6">
        <v>0.25624999999999998</v>
      </c>
      <c r="F2332" s="5">
        <f t="shared" si="314"/>
        <v>0.67830882352941169</v>
      </c>
      <c r="G2332" s="5">
        <v>0.7</v>
      </c>
      <c r="H2332" s="4">
        <f>46.3/1440</f>
        <v>3.2152777777777773E-2</v>
      </c>
      <c r="I2332" s="5">
        <v>8.7999999999999995E-2</v>
      </c>
      <c r="J2332" s="11" t="s">
        <v>3093</v>
      </c>
    </row>
    <row r="2333" spans="1:10" ht="13.15" customHeight="1" x14ac:dyDescent="0.25">
      <c r="A2333">
        <f t="shared" si="315"/>
        <v>2328</v>
      </c>
      <c r="B2333" t="s">
        <v>3097</v>
      </c>
      <c r="C2333" s="2">
        <v>0.40833333333333333</v>
      </c>
      <c r="D2333" s="4">
        <f t="shared" si="313"/>
        <v>0.11249999999999999</v>
      </c>
      <c r="E2333" s="6">
        <v>0.29583333333333334</v>
      </c>
      <c r="F2333" s="5">
        <f t="shared" si="314"/>
        <v>0.72448979591836737</v>
      </c>
      <c r="G2333" s="5">
        <v>0.78500000000000003</v>
      </c>
      <c r="H2333" s="4">
        <f>55.7/1440</f>
        <v>3.8680555555555558E-2</v>
      </c>
      <c r="I2333" s="5">
        <v>0.10299999999999999</v>
      </c>
      <c r="J2333" s="11" t="s">
        <v>3093</v>
      </c>
    </row>
    <row r="2334" spans="1:10" ht="13.15" customHeight="1" x14ac:dyDescent="0.25">
      <c r="A2334">
        <f t="shared" si="315"/>
        <v>2329</v>
      </c>
      <c r="B2334" t="s">
        <v>3098</v>
      </c>
      <c r="C2334" s="2">
        <v>0.43819444444444444</v>
      </c>
      <c r="D2334" s="4">
        <f t="shared" si="313"/>
        <v>0.12430555555555556</v>
      </c>
      <c r="E2334" s="6">
        <v>0.31388888888888888</v>
      </c>
      <c r="F2334" s="5">
        <f t="shared" si="314"/>
        <v>0.71632329635499203</v>
      </c>
      <c r="G2334" s="5">
        <v>0.86499999999999999</v>
      </c>
      <c r="H2334" s="4">
        <f>61.9/1440</f>
        <v>4.2986111111111107E-2</v>
      </c>
      <c r="I2334" s="5">
        <v>0.11799999999999999</v>
      </c>
      <c r="J2334" s="11" t="s">
        <v>3099</v>
      </c>
    </row>
    <row r="2335" spans="1:10" ht="13.15" customHeight="1" x14ac:dyDescent="0.25">
      <c r="A2335">
        <f t="shared" si="315"/>
        <v>2330</v>
      </c>
      <c r="B2335" t="s">
        <v>3100</v>
      </c>
      <c r="C2335" s="2">
        <v>0.42152777777777778</v>
      </c>
      <c r="D2335" s="4">
        <f t="shared" si="313"/>
        <v>0.11805555555555558</v>
      </c>
      <c r="E2335" s="6">
        <v>0.3034722222222222</v>
      </c>
      <c r="F2335" s="5">
        <f t="shared" si="314"/>
        <v>0.7199341021416803</v>
      </c>
      <c r="G2335" s="5">
        <v>0.78200000000000003</v>
      </c>
      <c r="H2335" s="4">
        <f>57.8/1440</f>
        <v>4.0138888888888884E-2</v>
      </c>
      <c r="I2335" s="5">
        <v>0.10299999999999999</v>
      </c>
      <c r="J2335" s="11" t="s">
        <v>3099</v>
      </c>
    </row>
    <row r="2336" spans="1:10" ht="13.15" customHeight="1" x14ac:dyDescent="0.25">
      <c r="A2336">
        <f t="shared" si="315"/>
        <v>2331</v>
      </c>
      <c r="B2336" t="s">
        <v>3101</v>
      </c>
      <c r="C2336" s="2">
        <v>0.45833333333333331</v>
      </c>
      <c r="D2336" s="4">
        <f t="shared" si="313"/>
        <v>0.12916666666666665</v>
      </c>
      <c r="E2336" s="6">
        <v>0.32916666666666666</v>
      </c>
      <c r="F2336" s="5">
        <f t="shared" si="314"/>
        <v>0.71818181818181825</v>
      </c>
      <c r="G2336" s="5">
        <v>0.81899999999999995</v>
      </c>
      <c r="H2336" s="4">
        <f>61.1/1440</f>
        <v>4.2430555555555555E-2</v>
      </c>
      <c r="I2336" s="5">
        <v>0.105</v>
      </c>
      <c r="J2336" s="11" t="s">
        <v>3099</v>
      </c>
    </row>
    <row r="2337" spans="1:10" ht="13.15" customHeight="1" x14ac:dyDescent="0.25">
      <c r="A2337">
        <f t="shared" si="315"/>
        <v>2332</v>
      </c>
      <c r="B2337" t="s">
        <v>3102</v>
      </c>
      <c r="C2337" s="2">
        <v>0.45763888888888887</v>
      </c>
      <c r="D2337" s="4">
        <f t="shared" si="313"/>
        <v>0.1111111111111111</v>
      </c>
      <c r="E2337" s="6">
        <v>0.34652777777777777</v>
      </c>
      <c r="F2337" s="5">
        <f t="shared" si="314"/>
        <v>0.75720789074355088</v>
      </c>
      <c r="G2337" s="5">
        <v>0.82199999999999995</v>
      </c>
      <c r="H2337" s="4">
        <f>69/1440</f>
        <v>4.791666666666667E-2</v>
      </c>
      <c r="I2337" s="5">
        <v>0.114</v>
      </c>
      <c r="J2337" s="11" t="s">
        <v>3099</v>
      </c>
    </row>
    <row r="2338" spans="1:10" ht="13.15" customHeight="1" x14ac:dyDescent="0.25">
      <c r="A2338">
        <f t="shared" si="315"/>
        <v>2333</v>
      </c>
      <c r="B2338" t="s">
        <v>3105</v>
      </c>
      <c r="C2338" s="2">
        <v>0.42083333333333334</v>
      </c>
      <c r="D2338" s="4">
        <f t="shared" ref="D2338:D2346" si="316">C2338-E2338</f>
        <v>0.11875000000000002</v>
      </c>
      <c r="E2338" s="6">
        <v>0.30208333333333331</v>
      </c>
      <c r="F2338" s="5">
        <f t="shared" ref="F2338:F2346" si="317">E2338/C2338</f>
        <v>0.71782178217821779</v>
      </c>
      <c r="G2338" s="5">
        <v>0.83899999999999997</v>
      </c>
      <c r="H2338" s="4">
        <f>58.7/1440</f>
        <v>4.0763888888888891E-2</v>
      </c>
      <c r="I2338" s="5">
        <v>0.113</v>
      </c>
      <c r="J2338" s="11" t="s">
        <v>3103</v>
      </c>
    </row>
    <row r="2339" spans="1:10" ht="13.15" customHeight="1" x14ac:dyDescent="0.25">
      <c r="A2339">
        <f t="shared" si="315"/>
        <v>2334</v>
      </c>
      <c r="B2339" t="s">
        <v>3106</v>
      </c>
      <c r="C2339" s="2">
        <v>0.43541666666666667</v>
      </c>
      <c r="D2339" s="4">
        <f t="shared" si="316"/>
        <v>0.125</v>
      </c>
      <c r="E2339" s="6">
        <v>0.31041666666666667</v>
      </c>
      <c r="F2339" s="5">
        <f t="shared" si="317"/>
        <v>0.7129186602870814</v>
      </c>
      <c r="G2339" s="5">
        <v>0.879</v>
      </c>
      <c r="H2339" s="4">
        <f>61.9/1440</f>
        <v>4.2986111111111107E-2</v>
      </c>
      <c r="I2339" s="5">
        <v>0.114</v>
      </c>
      <c r="J2339" s="11" t="s">
        <v>3103</v>
      </c>
    </row>
    <row r="2340" spans="1:10" ht="13.15" customHeight="1" x14ac:dyDescent="0.25">
      <c r="A2340">
        <f t="shared" si="315"/>
        <v>2335</v>
      </c>
      <c r="B2340" t="s">
        <v>3107</v>
      </c>
      <c r="C2340" s="2">
        <v>0.40763888888888888</v>
      </c>
      <c r="D2340" s="4">
        <f t="shared" si="316"/>
        <v>0.12638888888888888</v>
      </c>
      <c r="E2340" s="6">
        <v>0.28125</v>
      </c>
      <c r="F2340" s="5">
        <f t="shared" si="317"/>
        <v>0.68994889267461668</v>
      </c>
      <c r="G2340" s="5">
        <v>0.78200000000000003</v>
      </c>
      <c r="H2340" s="4">
        <f>55/1440</f>
        <v>3.8194444444444448E-2</v>
      </c>
      <c r="I2340" s="5">
        <v>0.106</v>
      </c>
      <c r="J2340" s="11" t="s">
        <v>3103</v>
      </c>
    </row>
    <row r="2341" spans="1:10" ht="13.15" customHeight="1" x14ac:dyDescent="0.25">
      <c r="A2341">
        <f t="shared" si="315"/>
        <v>2336</v>
      </c>
      <c r="B2341" t="s">
        <v>3108</v>
      </c>
      <c r="C2341" s="2">
        <v>0.41944444444444445</v>
      </c>
      <c r="D2341" s="4">
        <f t="shared" si="316"/>
        <v>0.15069444444444446</v>
      </c>
      <c r="E2341" s="6">
        <v>0.26874999999999999</v>
      </c>
      <c r="F2341" s="5">
        <f t="shared" si="317"/>
        <v>0.64072847682119205</v>
      </c>
      <c r="G2341" s="5">
        <v>0.84899999999999998</v>
      </c>
      <c r="H2341" s="4">
        <f>46.9/1440</f>
        <v>3.2569444444444443E-2</v>
      </c>
      <c r="I2341" s="5">
        <v>0.10299999999999999</v>
      </c>
      <c r="J2341" s="11" t="s">
        <v>3103</v>
      </c>
    </row>
    <row r="2342" spans="1:10" ht="13.15" customHeight="1" x14ac:dyDescent="0.25">
      <c r="A2342">
        <f t="shared" si="315"/>
        <v>2337</v>
      </c>
      <c r="B2342" t="s">
        <v>3109</v>
      </c>
      <c r="C2342" s="2">
        <v>0.42222222222222222</v>
      </c>
      <c r="D2342" s="4">
        <f t="shared" si="316"/>
        <v>0.1076388888888889</v>
      </c>
      <c r="E2342" s="6">
        <v>0.31458333333333333</v>
      </c>
      <c r="F2342" s="5">
        <f t="shared" si="317"/>
        <v>0.74506578947368418</v>
      </c>
      <c r="G2342" s="5">
        <v>0.92300000000000004</v>
      </c>
      <c r="H2342" s="4">
        <f>53.6/1440</f>
        <v>3.7222222222222226E-2</v>
      </c>
      <c r="I2342" s="5">
        <v>0.109</v>
      </c>
      <c r="J2342" s="11" t="s">
        <v>3103</v>
      </c>
    </row>
    <row r="2343" spans="1:10" ht="13.15" customHeight="1" x14ac:dyDescent="0.25">
      <c r="A2343">
        <f t="shared" si="315"/>
        <v>2338</v>
      </c>
      <c r="B2343" t="s">
        <v>3110</v>
      </c>
      <c r="C2343" s="2">
        <v>0.38541666666666669</v>
      </c>
      <c r="D2343" s="4">
        <f t="shared" ref="D2343" si="318">C2343-E2343</f>
        <v>0.10416666666666669</v>
      </c>
      <c r="E2343" s="6">
        <v>0.28125</v>
      </c>
      <c r="F2343" s="5">
        <f t="shared" ref="F2343" si="319">E2343/C2343</f>
        <v>0.72972972972972971</v>
      </c>
      <c r="G2343" s="5">
        <v>0.746</v>
      </c>
      <c r="H2343" s="4">
        <f>54.6/1440</f>
        <v>3.7916666666666668E-2</v>
      </c>
      <c r="I2343" s="5">
        <v>0.10100000000000001</v>
      </c>
      <c r="J2343" s="11" t="s">
        <v>3104</v>
      </c>
    </row>
    <row r="2344" spans="1:10" ht="13.15" customHeight="1" x14ac:dyDescent="0.25">
      <c r="A2344">
        <f t="shared" si="315"/>
        <v>2339</v>
      </c>
      <c r="B2344" t="s">
        <v>3111</v>
      </c>
      <c r="C2344" s="2">
        <v>0.41388888888888886</v>
      </c>
      <c r="D2344" s="4">
        <f t="shared" si="316"/>
        <v>0.13263888888888886</v>
      </c>
      <c r="E2344" s="6">
        <v>0.28125</v>
      </c>
      <c r="F2344" s="5">
        <f t="shared" si="317"/>
        <v>0.67953020134228193</v>
      </c>
      <c r="G2344" s="5">
        <v>0.873</v>
      </c>
      <c r="H2344" s="4">
        <f>71.5/1440</f>
        <v>4.9652777777777775E-2</v>
      </c>
      <c r="I2344" s="5">
        <v>0.154</v>
      </c>
      <c r="J2344" s="11" t="s">
        <v>3104</v>
      </c>
    </row>
    <row r="2345" spans="1:10" ht="13.15" customHeight="1" x14ac:dyDescent="0.25">
      <c r="A2345">
        <f t="shared" si="315"/>
        <v>2340</v>
      </c>
      <c r="B2345" t="s">
        <v>3112</v>
      </c>
      <c r="C2345" s="2">
        <v>0.50972222222222219</v>
      </c>
      <c r="D2345" s="4">
        <f t="shared" si="316"/>
        <v>0.13055555555555554</v>
      </c>
      <c r="E2345" s="6">
        <v>0.37916666666666665</v>
      </c>
      <c r="F2345" s="5">
        <f t="shared" si="317"/>
        <v>0.7438692098092643</v>
      </c>
      <c r="G2345" s="5">
        <v>0.82899999999999996</v>
      </c>
      <c r="H2345" s="4">
        <f t="shared" ref="H2345" si="320">69/1440</f>
        <v>4.791666666666667E-2</v>
      </c>
      <c r="I2345" s="5">
        <v>0.105</v>
      </c>
      <c r="J2345" s="11" t="s">
        <v>3104</v>
      </c>
    </row>
    <row r="2346" spans="1:10" ht="13.15" customHeight="1" x14ac:dyDescent="0.25">
      <c r="A2346">
        <f t="shared" si="315"/>
        <v>2341</v>
      </c>
      <c r="B2346" t="s">
        <v>3113</v>
      </c>
      <c r="C2346" s="2">
        <v>0.47708333333333336</v>
      </c>
      <c r="D2346" s="4">
        <f t="shared" si="316"/>
        <v>0.12916666666666671</v>
      </c>
      <c r="E2346" s="6">
        <v>0.34791666666666665</v>
      </c>
      <c r="F2346" s="5">
        <f t="shared" si="317"/>
        <v>0.7292576419213973</v>
      </c>
      <c r="G2346" s="5">
        <v>0.81399999999999995</v>
      </c>
      <c r="H2346" s="4">
        <f>62.6/1440</f>
        <v>4.3472222222222225E-2</v>
      </c>
      <c r="I2346" s="5">
        <v>0.10199999999999999</v>
      </c>
      <c r="J2346" s="11" t="s">
        <v>3104</v>
      </c>
    </row>
    <row r="2347" spans="1:10" ht="13.15" customHeight="1" x14ac:dyDescent="0.25">
      <c r="A2347">
        <f t="shared" si="315"/>
        <v>2342</v>
      </c>
      <c r="B2347" t="s">
        <v>3114</v>
      </c>
      <c r="C2347" s="2">
        <v>0.51249999999999996</v>
      </c>
      <c r="D2347" s="4">
        <f t="shared" ref="D2347:D2355" si="321">C2347-E2347</f>
        <v>0.13055555555555554</v>
      </c>
      <c r="E2347" s="6">
        <v>0.38194444444444442</v>
      </c>
      <c r="F2347" s="5">
        <f t="shared" ref="F2347:F2355" si="322">E2347/C2347</f>
        <v>0.7452574525745258</v>
      </c>
      <c r="G2347" s="5">
        <v>0.81899999999999995</v>
      </c>
      <c r="H2347" s="4">
        <f>58/1440</f>
        <v>4.027777777777778E-2</v>
      </c>
      <c r="I2347" s="5">
        <v>8.5999999999999993E-2</v>
      </c>
      <c r="J2347" s="11" t="s">
        <v>3124</v>
      </c>
    </row>
    <row r="2348" spans="1:10" ht="13.15" customHeight="1" x14ac:dyDescent="0.25">
      <c r="A2348">
        <f t="shared" si="315"/>
        <v>2343</v>
      </c>
      <c r="B2348" t="s">
        <v>3115</v>
      </c>
      <c r="C2348" s="2">
        <v>0.52916666666666667</v>
      </c>
      <c r="D2348" s="4">
        <f t="shared" si="321"/>
        <v>0.1340277777777778</v>
      </c>
      <c r="E2348" s="6">
        <v>0.39513888888888887</v>
      </c>
      <c r="F2348" s="5">
        <f t="shared" si="322"/>
        <v>0.74671916010498685</v>
      </c>
      <c r="G2348" s="5">
        <v>0.84599999999999997</v>
      </c>
      <c r="H2348" s="4">
        <f>56.5/1440</f>
        <v>3.923611111111111E-2</v>
      </c>
      <c r="I2348" s="5">
        <v>8.4000000000000005E-2</v>
      </c>
      <c r="J2348" s="11" t="s">
        <v>3124</v>
      </c>
    </row>
    <row r="2349" spans="1:10" ht="13.15" customHeight="1" x14ac:dyDescent="0.25">
      <c r="A2349">
        <f t="shared" si="315"/>
        <v>2344</v>
      </c>
      <c r="B2349" t="s">
        <v>3116</v>
      </c>
      <c r="C2349" s="2">
        <v>0.58472222222222225</v>
      </c>
      <c r="D2349" s="4">
        <f t="shared" si="321"/>
        <v>0.15416666666666667</v>
      </c>
      <c r="E2349" s="6">
        <v>0.43055555555555558</v>
      </c>
      <c r="F2349" s="5">
        <f t="shared" si="322"/>
        <v>0.73634204275534443</v>
      </c>
      <c r="G2349" s="5">
        <v>0.75800000000000001</v>
      </c>
      <c r="H2349" s="4">
        <f>42.5/1440</f>
        <v>2.9513888888888888E-2</v>
      </c>
      <c r="I2349" s="5">
        <v>5.1999999999999998E-2</v>
      </c>
      <c r="J2349" s="11" t="s">
        <v>3124</v>
      </c>
    </row>
    <row r="2350" spans="1:10" ht="13.15" customHeight="1" x14ac:dyDescent="0.25">
      <c r="A2350">
        <f t="shared" si="315"/>
        <v>2345</v>
      </c>
      <c r="B2350" t="s">
        <v>3117</v>
      </c>
      <c r="C2350" s="2">
        <v>0.51666666666666672</v>
      </c>
      <c r="D2350" s="4">
        <f t="shared" si="321"/>
        <v>0.15763888888888894</v>
      </c>
      <c r="E2350" s="6">
        <v>0.35902777777777778</v>
      </c>
      <c r="F2350" s="5">
        <f t="shared" si="322"/>
        <v>0.69489247311827951</v>
      </c>
      <c r="G2350" s="5">
        <v>0.77100000000000002</v>
      </c>
      <c r="H2350" s="4">
        <f>51.4/1440</f>
        <v>3.5694444444444445E-2</v>
      </c>
      <c r="I2350" s="5">
        <v>7.6999999999999999E-2</v>
      </c>
      <c r="J2350" s="11" t="s">
        <v>3124</v>
      </c>
    </row>
    <row r="2351" spans="1:10" ht="13.15" customHeight="1" x14ac:dyDescent="0.25">
      <c r="A2351">
        <f t="shared" si="315"/>
        <v>2346</v>
      </c>
      <c r="B2351" t="s">
        <v>3118</v>
      </c>
      <c r="C2351" s="2">
        <v>0.45208333333333334</v>
      </c>
      <c r="D2351" s="4">
        <f t="shared" si="321"/>
        <v>0.10833333333333334</v>
      </c>
      <c r="E2351" s="6">
        <v>0.34375</v>
      </c>
      <c r="F2351" s="5">
        <f t="shared" si="322"/>
        <v>0.76036866359447008</v>
      </c>
      <c r="G2351" s="5">
        <v>0.91700000000000004</v>
      </c>
      <c r="H2351" s="4">
        <f>69/1440</f>
        <v>4.791666666666667E-2</v>
      </c>
      <c r="I2351" s="5">
        <v>0.128</v>
      </c>
      <c r="J2351" s="11" t="s">
        <v>3124</v>
      </c>
    </row>
    <row r="2352" spans="1:10" ht="13.15" customHeight="1" x14ac:dyDescent="0.25">
      <c r="A2352">
        <f t="shared" si="315"/>
        <v>2347</v>
      </c>
      <c r="B2352" t="s">
        <v>3119</v>
      </c>
      <c r="C2352" s="2">
        <v>0.46458333333333335</v>
      </c>
      <c r="D2352" s="4">
        <f t="shared" si="321"/>
        <v>0.11736111111111114</v>
      </c>
      <c r="E2352" s="6">
        <v>0.34722222222222221</v>
      </c>
      <c r="F2352" s="5">
        <f t="shared" si="322"/>
        <v>0.74738415545590431</v>
      </c>
      <c r="G2352" s="5">
        <v>0.84699999999999998</v>
      </c>
      <c r="H2352" s="4">
        <f>69.1/1440</f>
        <v>4.7986111111111104E-2</v>
      </c>
      <c r="I2352" s="5">
        <v>0.11700000000000001</v>
      </c>
      <c r="J2352" s="11" t="s">
        <v>3123</v>
      </c>
    </row>
    <row r="2353" spans="1:10" ht="13.15" customHeight="1" x14ac:dyDescent="0.25">
      <c r="A2353">
        <f t="shared" si="315"/>
        <v>2348</v>
      </c>
      <c r="B2353" t="s">
        <v>3120</v>
      </c>
      <c r="C2353" s="2">
        <v>0.44583333333333336</v>
      </c>
      <c r="D2353" s="4">
        <f t="shared" si="321"/>
        <v>0.10069444444444448</v>
      </c>
      <c r="E2353" s="6">
        <v>0.34513888888888888</v>
      </c>
      <c r="F2353" s="5">
        <f t="shared" si="322"/>
        <v>0.77414330218068528</v>
      </c>
      <c r="G2353" s="5">
        <v>0.76800000000000002</v>
      </c>
      <c r="H2353" s="4">
        <f>75.5/1440</f>
        <v>5.2430555555555557E-2</v>
      </c>
      <c r="I2353" s="5">
        <v>0.11700000000000001</v>
      </c>
      <c r="J2353" s="11" t="s">
        <v>3123</v>
      </c>
    </row>
    <row r="2354" spans="1:10" ht="13.15" customHeight="1" x14ac:dyDescent="0.25">
      <c r="A2354">
        <f t="shared" si="315"/>
        <v>2349</v>
      </c>
      <c r="B2354" t="s">
        <v>3121</v>
      </c>
      <c r="C2354" s="2">
        <v>0.5708333333333333</v>
      </c>
      <c r="D2354" s="4">
        <f t="shared" si="321"/>
        <v>0.10277777777777775</v>
      </c>
      <c r="E2354" s="6">
        <v>0.46805555555555556</v>
      </c>
      <c r="F2354" s="5">
        <f t="shared" si="322"/>
        <v>0.81995133819951338</v>
      </c>
      <c r="G2354" s="5">
        <v>0.76700000000000002</v>
      </c>
      <c r="H2354" s="4">
        <f>71.6/1440</f>
        <v>4.9722222222222216E-2</v>
      </c>
      <c r="I2354" s="5">
        <v>8.1000000000000003E-2</v>
      </c>
      <c r="J2354" s="11" t="s">
        <v>3123</v>
      </c>
    </row>
    <row r="2355" spans="1:10" ht="13.15" customHeight="1" x14ac:dyDescent="0.25">
      <c r="A2355">
        <f t="shared" si="315"/>
        <v>2350</v>
      </c>
      <c r="B2355" t="s">
        <v>3122</v>
      </c>
      <c r="C2355" s="2">
        <v>0.46527777777777779</v>
      </c>
      <c r="D2355" s="4">
        <f t="shared" si="321"/>
        <v>0.1479166666666667</v>
      </c>
      <c r="E2355" s="6">
        <v>0.31736111111111109</v>
      </c>
      <c r="F2355" s="5">
        <f t="shared" si="322"/>
        <v>0.68208955223880596</v>
      </c>
      <c r="G2355" s="5">
        <v>0.70099999999999996</v>
      </c>
      <c r="H2355" s="4">
        <f>24.7/1440</f>
        <v>1.7152777777777777E-2</v>
      </c>
      <c r="I2355" s="5">
        <v>3.7999999999999999E-2</v>
      </c>
      <c r="J2355" s="11" t="s">
        <v>3123</v>
      </c>
    </row>
    <row r="2356" spans="1:10" ht="13.15" customHeight="1" x14ac:dyDescent="0.25">
      <c r="A2356">
        <f t="shared" si="315"/>
        <v>2351</v>
      </c>
      <c r="B2356" t="s">
        <v>3149</v>
      </c>
      <c r="C2356" s="2">
        <v>0.38263888888888886</v>
      </c>
      <c r="D2356" s="4">
        <f t="shared" ref="D2356:D2364" si="323">C2356-E2356</f>
        <v>0.12361111111111106</v>
      </c>
      <c r="E2356" s="6">
        <v>0.2590277777777778</v>
      </c>
      <c r="F2356" s="5">
        <f t="shared" ref="F2356:F2364" si="324">E2356/C2356</f>
        <v>0.67695099818511806</v>
      </c>
      <c r="G2356" s="5">
        <v>0.69799999999999995</v>
      </c>
      <c r="H2356" s="4">
        <f>42.5/1440</f>
        <v>2.9513888888888888E-2</v>
      </c>
      <c r="I2356" s="5">
        <v>7.9000000000000001E-2</v>
      </c>
      <c r="J2356" s="11" t="s">
        <v>3125</v>
      </c>
    </row>
    <row r="2357" spans="1:10" ht="13.15" customHeight="1" x14ac:dyDescent="0.25">
      <c r="A2357">
        <f t="shared" si="315"/>
        <v>2352</v>
      </c>
      <c r="B2357" t="s">
        <v>3150</v>
      </c>
      <c r="C2357" s="2">
        <v>0.38750000000000001</v>
      </c>
      <c r="D2357" s="4">
        <f t="shared" si="323"/>
        <v>0.11944444444444446</v>
      </c>
      <c r="E2357" s="6">
        <v>0.26805555555555555</v>
      </c>
      <c r="F2357" s="5">
        <f t="shared" si="324"/>
        <v>0.69175627240143367</v>
      </c>
      <c r="G2357" s="5">
        <v>0.76800000000000002</v>
      </c>
      <c r="H2357" s="4">
        <f>36.9/1440</f>
        <v>2.5624999999999998E-2</v>
      </c>
      <c r="I2357" s="5">
        <v>7.2999999999999995E-2</v>
      </c>
      <c r="J2357" s="11" t="s">
        <v>3125</v>
      </c>
    </row>
    <row r="2358" spans="1:10" ht="13.15" customHeight="1" x14ac:dyDescent="0.25">
      <c r="A2358">
        <f t="shared" si="315"/>
        <v>2353</v>
      </c>
      <c r="B2358" t="s">
        <v>3151</v>
      </c>
      <c r="C2358" s="2">
        <v>0.41458333333333336</v>
      </c>
      <c r="D2358" s="4">
        <f t="shared" si="323"/>
        <v>0.1388888888888889</v>
      </c>
      <c r="E2358" s="6">
        <v>0.27569444444444446</v>
      </c>
      <c r="F2358" s="5">
        <f t="shared" si="324"/>
        <v>0.6649916247906198</v>
      </c>
      <c r="G2358" s="5">
        <v>0.57599999999999996</v>
      </c>
      <c r="H2358" s="4">
        <f>37.8/1440</f>
        <v>2.6249999999999999E-2</v>
      </c>
      <c r="I2358" s="5">
        <v>5.5E-2</v>
      </c>
      <c r="J2358" s="11" t="s">
        <v>3125</v>
      </c>
    </row>
    <row r="2359" spans="1:10" ht="13.15" customHeight="1" x14ac:dyDescent="0.25">
      <c r="A2359">
        <f t="shared" si="315"/>
        <v>2354</v>
      </c>
      <c r="B2359" t="s">
        <v>3152</v>
      </c>
      <c r="C2359" s="2">
        <v>0.34513888888888888</v>
      </c>
      <c r="D2359" s="4">
        <f t="shared" si="323"/>
        <v>0.14305555555555555</v>
      </c>
      <c r="E2359" s="6">
        <v>0.20208333333333334</v>
      </c>
      <c r="F2359" s="5">
        <f t="shared" si="324"/>
        <v>0.58551307847082501</v>
      </c>
      <c r="G2359" s="5">
        <v>0.61599999999999999</v>
      </c>
      <c r="H2359" s="4">
        <f>30/1440</f>
        <v>2.0833333333333332E-2</v>
      </c>
      <c r="I2359" s="5">
        <v>6.4000000000000001E-2</v>
      </c>
      <c r="J2359" s="11" t="s">
        <v>3125</v>
      </c>
    </row>
    <row r="2360" spans="1:10" ht="13.15" customHeight="1" x14ac:dyDescent="0.25">
      <c r="A2360">
        <f t="shared" si="315"/>
        <v>2355</v>
      </c>
      <c r="B2360" t="s">
        <v>3153</v>
      </c>
      <c r="C2360" s="2">
        <v>0.40277777777777779</v>
      </c>
      <c r="D2360" s="4">
        <f t="shared" si="323"/>
        <v>0.12708333333333333</v>
      </c>
      <c r="E2360" s="6">
        <v>0.27569444444444446</v>
      </c>
      <c r="F2360" s="5">
        <f t="shared" si="324"/>
        <v>0.68448275862068964</v>
      </c>
      <c r="G2360" s="5">
        <v>0.72399999999999998</v>
      </c>
      <c r="H2360" s="4">
        <f>41.3/1440</f>
        <v>2.8680555555555553E-2</v>
      </c>
      <c r="I2360" s="5">
        <v>7.4999999999999997E-2</v>
      </c>
      <c r="J2360" s="11" t="s">
        <v>3125</v>
      </c>
    </row>
    <row r="2361" spans="1:10" ht="13.15" customHeight="1" x14ac:dyDescent="0.25">
      <c r="A2361">
        <f t="shared" si="315"/>
        <v>2356</v>
      </c>
      <c r="B2361" t="s">
        <v>3154</v>
      </c>
      <c r="C2361" s="2">
        <v>0.375</v>
      </c>
      <c r="D2361" s="4">
        <f t="shared" si="323"/>
        <v>0.13541666666666666</v>
      </c>
      <c r="E2361" s="6">
        <v>0.23958333333333334</v>
      </c>
      <c r="F2361" s="5">
        <f t="shared" si="324"/>
        <v>0.63888888888888895</v>
      </c>
      <c r="G2361" s="5">
        <v>0.748</v>
      </c>
      <c r="H2361" s="4">
        <f>51.6/1440</f>
        <v>3.5833333333333335E-2</v>
      </c>
      <c r="I2361" s="5">
        <v>0.112</v>
      </c>
      <c r="J2361" s="11" t="s">
        <v>3126</v>
      </c>
    </row>
    <row r="2362" spans="1:10" ht="13.15" customHeight="1" x14ac:dyDescent="0.25">
      <c r="A2362">
        <f t="shared" si="315"/>
        <v>2357</v>
      </c>
      <c r="B2362" t="s">
        <v>3155</v>
      </c>
      <c r="C2362" s="2">
        <v>0.45624999999999999</v>
      </c>
      <c r="D2362" s="4">
        <f t="shared" si="323"/>
        <v>0.11180555555555555</v>
      </c>
      <c r="E2362" s="6">
        <v>0.34444444444444444</v>
      </c>
      <c r="F2362" s="5">
        <f t="shared" si="324"/>
        <v>0.75494672754946723</v>
      </c>
      <c r="G2362" s="5">
        <v>0.8</v>
      </c>
      <c r="H2362" s="4">
        <f>49.3/1440</f>
        <v>3.4236111111111106E-2</v>
      </c>
      <c r="I2362" s="5">
        <v>7.9000000000000001E-2</v>
      </c>
      <c r="J2362" s="11" t="s">
        <v>3126</v>
      </c>
    </row>
    <row r="2363" spans="1:10" ht="13.15" customHeight="1" x14ac:dyDescent="0.25">
      <c r="A2363">
        <f t="shared" si="315"/>
        <v>2358</v>
      </c>
      <c r="B2363" t="s">
        <v>3156</v>
      </c>
      <c r="C2363" s="2">
        <v>0.35208333333333336</v>
      </c>
      <c r="D2363" s="4">
        <f t="shared" si="323"/>
        <v>7.5000000000000011E-2</v>
      </c>
      <c r="E2363" s="6">
        <v>0.27708333333333335</v>
      </c>
      <c r="F2363" s="5">
        <f t="shared" si="324"/>
        <v>0.78698224852071008</v>
      </c>
      <c r="G2363" s="5">
        <v>0.622</v>
      </c>
      <c r="H2363" s="4">
        <f>54.4/1440</f>
        <v>3.7777777777777778E-2</v>
      </c>
      <c r="I2363" s="5">
        <v>8.5000000000000006E-2</v>
      </c>
      <c r="J2363" s="11" t="s">
        <v>3126</v>
      </c>
    </row>
    <row r="2364" spans="1:10" ht="13.15" customHeight="1" x14ac:dyDescent="0.25">
      <c r="A2364">
        <f t="shared" si="315"/>
        <v>2359</v>
      </c>
      <c r="B2364" t="s">
        <v>3157</v>
      </c>
      <c r="C2364" s="2">
        <v>0.30138888888888887</v>
      </c>
      <c r="D2364" s="4">
        <f t="shared" si="323"/>
        <v>0.15069444444444444</v>
      </c>
      <c r="E2364" s="6">
        <v>0.15069444444444444</v>
      </c>
      <c r="F2364" s="5">
        <f t="shared" si="324"/>
        <v>0.5</v>
      </c>
      <c r="G2364" s="5">
        <v>0.65400000000000003</v>
      </c>
      <c r="H2364" s="4">
        <f>65.4/1440</f>
        <v>4.5416666666666668E-2</v>
      </c>
      <c r="I2364" s="5">
        <v>0.19600000000000001</v>
      </c>
      <c r="J2364" s="11" t="s">
        <v>3126</v>
      </c>
    </row>
    <row r="2365" spans="1:10" ht="13.15" customHeight="1" x14ac:dyDescent="0.25">
      <c r="A2365">
        <f t="shared" si="315"/>
        <v>2360</v>
      </c>
      <c r="B2365" t="s">
        <v>3127</v>
      </c>
      <c r="C2365" s="2">
        <v>0.49444444444444446</v>
      </c>
      <c r="D2365" s="4">
        <f t="shared" ref="D2365:D2373" si="325">C2365-E2365</f>
        <v>0.13055555555555559</v>
      </c>
      <c r="E2365" s="6">
        <v>0.36388888888888887</v>
      </c>
      <c r="F2365" s="5">
        <f t="shared" ref="F2365:F2373" si="326">E2365/C2365</f>
        <v>0.73595505617977519</v>
      </c>
      <c r="G2365" s="5">
        <v>0.745</v>
      </c>
      <c r="H2365" s="4">
        <f>70.6/1440</f>
        <v>4.9027777777777774E-2</v>
      </c>
      <c r="I2365" s="5">
        <v>0.1</v>
      </c>
      <c r="J2365" s="11" t="s">
        <v>3136</v>
      </c>
    </row>
    <row r="2366" spans="1:10" ht="13.15" customHeight="1" x14ac:dyDescent="0.25">
      <c r="A2366">
        <f t="shared" si="315"/>
        <v>2361</v>
      </c>
      <c r="B2366" t="s">
        <v>3128</v>
      </c>
      <c r="C2366" s="2">
        <v>0.51875000000000004</v>
      </c>
      <c r="D2366" s="4">
        <f t="shared" si="325"/>
        <v>0.13541666666666669</v>
      </c>
      <c r="E2366" s="6">
        <v>0.38333333333333336</v>
      </c>
      <c r="F2366" s="5">
        <f t="shared" si="326"/>
        <v>0.73895582329317266</v>
      </c>
      <c r="G2366" s="5">
        <v>0.88600000000000001</v>
      </c>
      <c r="H2366" s="4">
        <f>74.1/1440</f>
        <v>5.1458333333333328E-2</v>
      </c>
      <c r="I2366" s="5">
        <v>0.11899999999999999</v>
      </c>
      <c r="J2366" s="11" t="s">
        <v>3136</v>
      </c>
    </row>
    <row r="2367" spans="1:10" ht="13.15" customHeight="1" x14ac:dyDescent="0.25">
      <c r="A2367">
        <f t="shared" si="315"/>
        <v>2362</v>
      </c>
      <c r="B2367" t="s">
        <v>3129</v>
      </c>
      <c r="C2367" s="2">
        <v>0.3972222222222222</v>
      </c>
      <c r="D2367" s="4">
        <f t="shared" si="325"/>
        <v>0.11041666666666666</v>
      </c>
      <c r="E2367" s="6">
        <v>0.28680555555555554</v>
      </c>
      <c r="F2367" s="5">
        <f t="shared" si="326"/>
        <v>0.72202797202797198</v>
      </c>
      <c r="G2367" s="5">
        <v>0.755</v>
      </c>
      <c r="H2367" s="4">
        <f>58.4/1440</f>
        <v>4.0555555555555553E-2</v>
      </c>
      <c r="I2367" s="5">
        <v>0.107</v>
      </c>
      <c r="J2367" s="11" t="s">
        <v>3136</v>
      </c>
    </row>
    <row r="2368" spans="1:10" ht="13.15" customHeight="1" x14ac:dyDescent="0.25">
      <c r="A2368">
        <f t="shared" si="315"/>
        <v>2363</v>
      </c>
      <c r="B2368" t="s">
        <v>3130</v>
      </c>
      <c r="C2368" s="2">
        <v>0.45902777777777776</v>
      </c>
      <c r="D2368" s="4">
        <f t="shared" si="325"/>
        <v>0.14027777777777778</v>
      </c>
      <c r="E2368" s="6">
        <v>0.31874999999999998</v>
      </c>
      <c r="F2368" s="5">
        <f t="shared" si="326"/>
        <v>0.69440242057488655</v>
      </c>
      <c r="G2368" s="5">
        <v>0.628</v>
      </c>
      <c r="H2368" s="4">
        <f>61.1/1440</f>
        <v>4.2430555555555555E-2</v>
      </c>
      <c r="I2368" s="5">
        <v>8.4000000000000005E-2</v>
      </c>
      <c r="J2368" s="11" t="s">
        <v>3136</v>
      </c>
    </row>
    <row r="2369" spans="1:10" ht="13.15" customHeight="1" x14ac:dyDescent="0.25">
      <c r="A2369">
        <f t="shared" si="315"/>
        <v>2364</v>
      </c>
      <c r="B2369" t="s">
        <v>3131</v>
      </c>
      <c r="C2369" s="2">
        <v>0.42083333333333334</v>
      </c>
      <c r="D2369" s="4">
        <f t="shared" si="325"/>
        <v>0.10486111111111113</v>
      </c>
      <c r="E2369" s="6">
        <v>0.31597222222222221</v>
      </c>
      <c r="F2369" s="5">
        <f t="shared" si="326"/>
        <v>0.75082508250825075</v>
      </c>
      <c r="G2369" s="5">
        <v>0.70099999999999996</v>
      </c>
      <c r="H2369" s="4">
        <f>70.7/1440</f>
        <v>4.9097222222222223E-2</v>
      </c>
      <c r="I2369" s="5">
        <v>0.109</v>
      </c>
      <c r="J2369" s="11" t="s">
        <v>3136</v>
      </c>
    </row>
    <row r="2370" spans="1:10" ht="13.15" customHeight="1" x14ac:dyDescent="0.25">
      <c r="A2370">
        <f t="shared" si="315"/>
        <v>2365</v>
      </c>
      <c r="B2370" t="s">
        <v>3132</v>
      </c>
      <c r="C2370" s="2">
        <v>0.62708333333333333</v>
      </c>
      <c r="D2370" s="4">
        <f t="shared" si="325"/>
        <v>0.21597222222222223</v>
      </c>
      <c r="E2370" s="6">
        <v>0.41111111111111109</v>
      </c>
      <c r="F2370" s="5">
        <f t="shared" si="326"/>
        <v>0.65559246954595785</v>
      </c>
      <c r="G2370" s="5">
        <v>0.79800000000000004</v>
      </c>
      <c r="H2370" s="4">
        <f>81.6/1440</f>
        <v>5.6666666666666664E-2</v>
      </c>
      <c r="I2370" s="5">
        <v>0.11</v>
      </c>
      <c r="J2370" s="11" t="s">
        <v>3137</v>
      </c>
    </row>
    <row r="2371" spans="1:10" ht="13.15" customHeight="1" x14ac:dyDescent="0.25">
      <c r="A2371">
        <f t="shared" si="315"/>
        <v>2366</v>
      </c>
      <c r="B2371" t="s">
        <v>3133</v>
      </c>
      <c r="C2371" s="2">
        <v>0.47499999999999998</v>
      </c>
      <c r="D2371" s="4">
        <f t="shared" si="325"/>
        <v>0.12569444444444444</v>
      </c>
      <c r="E2371" s="6">
        <v>0.34930555555555554</v>
      </c>
      <c r="F2371" s="5">
        <f t="shared" si="326"/>
        <v>0.73538011695906436</v>
      </c>
      <c r="G2371" s="5">
        <v>0.748</v>
      </c>
      <c r="H2371" s="4">
        <f>87.9/1440</f>
        <v>6.1041666666666668E-2</v>
      </c>
      <c r="I2371" s="5">
        <v>0.13100000000000001</v>
      </c>
      <c r="J2371" s="11" t="s">
        <v>3137</v>
      </c>
    </row>
    <row r="2372" spans="1:10" ht="13.15" customHeight="1" x14ac:dyDescent="0.25">
      <c r="A2372">
        <f t="shared" si="315"/>
        <v>2367</v>
      </c>
      <c r="B2372" t="s">
        <v>3134</v>
      </c>
      <c r="C2372" s="2">
        <v>0.4548611111111111</v>
      </c>
      <c r="D2372" s="4">
        <f t="shared" si="325"/>
        <v>0.1076388888888889</v>
      </c>
      <c r="E2372" s="6">
        <v>0.34722222222222221</v>
      </c>
      <c r="F2372" s="5">
        <f t="shared" si="326"/>
        <v>0.76335877862595414</v>
      </c>
      <c r="G2372" s="5">
        <v>0.72699999999999998</v>
      </c>
      <c r="H2372" s="4">
        <f>62.1/1440</f>
        <v>4.3125000000000004E-2</v>
      </c>
      <c r="I2372" s="5">
        <v>0.09</v>
      </c>
      <c r="J2372" s="11" t="s">
        <v>3137</v>
      </c>
    </row>
    <row r="2373" spans="1:10" ht="13.15" customHeight="1" x14ac:dyDescent="0.25">
      <c r="A2373">
        <f t="shared" si="315"/>
        <v>2368</v>
      </c>
      <c r="B2373" t="s">
        <v>3135</v>
      </c>
      <c r="C2373" s="2">
        <v>0.61944444444444446</v>
      </c>
      <c r="D2373" s="4">
        <f t="shared" si="325"/>
        <v>9.5833333333333326E-2</v>
      </c>
      <c r="E2373" s="6">
        <v>0.52361111111111114</v>
      </c>
      <c r="F2373" s="5">
        <f t="shared" si="326"/>
        <v>0.8452914798206278</v>
      </c>
      <c r="G2373" s="5">
        <v>0.74299999999999999</v>
      </c>
      <c r="H2373" s="4">
        <f>89.5/1440</f>
        <v>6.2152777777777779E-2</v>
      </c>
      <c r="I2373" s="5">
        <v>8.7999999999999995E-2</v>
      </c>
      <c r="J2373" s="11" t="s">
        <v>3137</v>
      </c>
    </row>
    <row r="2374" spans="1:10" ht="13.15" customHeight="1" x14ac:dyDescent="0.25">
      <c r="A2374">
        <f t="shared" si="315"/>
        <v>2369</v>
      </c>
      <c r="B2374" t="s">
        <v>3138</v>
      </c>
      <c r="C2374" s="2">
        <v>0.45694444444444443</v>
      </c>
      <c r="D2374" s="4">
        <f t="shared" ref="D2374:D2382" si="327">C2374-E2374</f>
        <v>0.125</v>
      </c>
      <c r="E2374" s="6">
        <v>0.33194444444444443</v>
      </c>
      <c r="F2374" s="5">
        <f t="shared" ref="F2374:F2382" si="328">E2374/C2374</f>
        <v>0.7264437689969605</v>
      </c>
      <c r="G2374" s="5">
        <v>0.76300000000000001</v>
      </c>
      <c r="H2374" s="4">
        <f>59.7/1440</f>
        <v>4.1458333333333333E-2</v>
      </c>
      <c r="I2374" s="5">
        <v>9.5000000000000001E-2</v>
      </c>
      <c r="J2374" s="11" t="s">
        <v>3147</v>
      </c>
    </row>
    <row r="2375" spans="1:10" ht="13.15" customHeight="1" x14ac:dyDescent="0.25">
      <c r="A2375">
        <f t="shared" si="315"/>
        <v>2370</v>
      </c>
      <c r="B2375" t="s">
        <v>3139</v>
      </c>
      <c r="C2375" s="2">
        <v>0.48194444444444445</v>
      </c>
      <c r="D2375" s="4">
        <f t="shared" si="327"/>
        <v>0.1423611111111111</v>
      </c>
      <c r="E2375" s="6">
        <v>0.33958333333333335</v>
      </c>
      <c r="F2375" s="5">
        <f t="shared" si="328"/>
        <v>0.70461095100864557</v>
      </c>
      <c r="G2375" s="5">
        <v>0.77400000000000002</v>
      </c>
      <c r="H2375" s="4">
        <f>60.6/1440</f>
        <v>4.2083333333333334E-2</v>
      </c>
      <c r="I2375" s="5">
        <v>9.6000000000000002E-2</v>
      </c>
      <c r="J2375" s="11" t="s">
        <v>3147</v>
      </c>
    </row>
    <row r="2376" spans="1:10" ht="13.15" customHeight="1" x14ac:dyDescent="0.25">
      <c r="A2376">
        <f t="shared" si="315"/>
        <v>2371</v>
      </c>
      <c r="B2376" t="s">
        <v>3140</v>
      </c>
      <c r="C2376" s="2">
        <v>0.38263888888888886</v>
      </c>
      <c r="D2376" s="4">
        <f t="shared" si="327"/>
        <v>0.11666666666666664</v>
      </c>
      <c r="E2376" s="6">
        <v>0.26597222222222222</v>
      </c>
      <c r="F2376" s="5">
        <f t="shared" si="328"/>
        <v>0.69509981851179681</v>
      </c>
      <c r="G2376" s="5">
        <v>0.63</v>
      </c>
      <c r="H2376" s="4">
        <f>51.2/1440</f>
        <v>3.5555555555555556E-2</v>
      </c>
      <c r="I2376" s="5">
        <v>8.4000000000000005E-2</v>
      </c>
      <c r="J2376" s="11" t="s">
        <v>3147</v>
      </c>
    </row>
    <row r="2377" spans="1:10" ht="13.15" customHeight="1" x14ac:dyDescent="0.25">
      <c r="A2377">
        <f t="shared" si="315"/>
        <v>2372</v>
      </c>
      <c r="B2377" t="s">
        <v>3141</v>
      </c>
      <c r="C2377" s="2">
        <v>0.45763888888888887</v>
      </c>
      <c r="D2377" s="4">
        <f t="shared" si="327"/>
        <v>0.12777777777777777</v>
      </c>
      <c r="E2377" s="6">
        <v>0.3298611111111111</v>
      </c>
      <c r="F2377" s="5">
        <f t="shared" si="328"/>
        <v>0.72078907435508344</v>
      </c>
      <c r="G2377" s="5">
        <v>0.77500000000000002</v>
      </c>
      <c r="H2377" s="4">
        <f>55.5/1440</f>
        <v>3.8541666666666669E-2</v>
      </c>
      <c r="I2377" s="5">
        <v>0.09</v>
      </c>
      <c r="J2377" s="11" t="s">
        <v>3147</v>
      </c>
    </row>
    <row r="2378" spans="1:10" ht="13.15" customHeight="1" x14ac:dyDescent="0.25">
      <c r="A2378">
        <f t="shared" si="315"/>
        <v>2373</v>
      </c>
      <c r="B2378" t="s">
        <v>3142</v>
      </c>
      <c r="C2378" s="2">
        <v>0.47430555555555554</v>
      </c>
      <c r="D2378" s="4">
        <f t="shared" si="327"/>
        <v>0.11805555555555552</v>
      </c>
      <c r="E2378" s="6">
        <v>0.35625000000000001</v>
      </c>
      <c r="F2378" s="5">
        <f t="shared" si="328"/>
        <v>0.75109809663250371</v>
      </c>
      <c r="G2378" s="5">
        <v>0.70699999999999996</v>
      </c>
      <c r="H2378" s="4">
        <f>64.6/1440</f>
        <v>4.4861111111111109E-2</v>
      </c>
      <c r="I2378" s="5">
        <v>8.8999999999999996E-2</v>
      </c>
      <c r="J2378" s="11" t="s">
        <v>3147</v>
      </c>
    </row>
    <row r="2379" spans="1:10" ht="13.15" customHeight="1" x14ac:dyDescent="0.25">
      <c r="A2379">
        <f t="shared" si="315"/>
        <v>2374</v>
      </c>
      <c r="B2379" t="s">
        <v>3143</v>
      </c>
      <c r="C2379" s="2">
        <v>0.48194444444444445</v>
      </c>
      <c r="D2379" s="4">
        <f t="shared" si="327"/>
        <v>0.11736111111111114</v>
      </c>
      <c r="E2379" s="6">
        <v>0.36458333333333331</v>
      </c>
      <c r="F2379" s="5">
        <f t="shared" si="328"/>
        <v>0.75648414985590773</v>
      </c>
      <c r="G2379" s="5">
        <v>0.81499999999999995</v>
      </c>
      <c r="H2379" s="4">
        <f>54.6/1440</f>
        <v>3.7916666666666668E-2</v>
      </c>
      <c r="I2379" s="5">
        <v>8.5000000000000006E-2</v>
      </c>
      <c r="J2379" s="11" t="s">
        <v>3148</v>
      </c>
    </row>
    <row r="2380" spans="1:10" ht="13.15" customHeight="1" x14ac:dyDescent="0.25">
      <c r="A2380">
        <f t="shared" si="315"/>
        <v>2375</v>
      </c>
      <c r="B2380" t="s">
        <v>3144</v>
      </c>
      <c r="C2380" s="2">
        <v>0.57152777777777775</v>
      </c>
      <c r="D2380" s="4">
        <f t="shared" si="327"/>
        <v>0.12083333333333329</v>
      </c>
      <c r="E2380" s="6">
        <v>0.45069444444444445</v>
      </c>
      <c r="F2380" s="5">
        <f t="shared" si="328"/>
        <v>0.78857837181044965</v>
      </c>
      <c r="G2380" s="5">
        <v>0.877</v>
      </c>
      <c r="H2380" s="4">
        <f>64.1/1440</f>
        <v>4.4513888888888888E-2</v>
      </c>
      <c r="I2380" s="5">
        <v>8.5999999999999993E-2</v>
      </c>
      <c r="J2380" s="11" t="s">
        <v>3148</v>
      </c>
    </row>
    <row r="2381" spans="1:10" ht="13.15" customHeight="1" x14ac:dyDescent="0.25">
      <c r="A2381">
        <f t="shared" si="315"/>
        <v>2376</v>
      </c>
      <c r="B2381" t="s">
        <v>3145</v>
      </c>
      <c r="C2381" s="2">
        <v>0.47083333333333333</v>
      </c>
      <c r="D2381" s="4">
        <f t="shared" si="327"/>
        <v>9.8611111111111094E-2</v>
      </c>
      <c r="E2381" s="6">
        <v>0.37222222222222223</v>
      </c>
      <c r="F2381" s="5">
        <f t="shared" si="328"/>
        <v>0.79056047197640122</v>
      </c>
      <c r="G2381" s="5">
        <v>0.84699999999999998</v>
      </c>
      <c r="H2381" s="4">
        <f>62.1/1440</f>
        <v>4.3125000000000004E-2</v>
      </c>
      <c r="I2381" s="5">
        <v>9.8000000000000004E-2</v>
      </c>
      <c r="J2381" s="11" t="s">
        <v>3148</v>
      </c>
    </row>
    <row r="2382" spans="1:10" ht="13.15" customHeight="1" x14ac:dyDescent="0.25">
      <c r="A2382">
        <f t="shared" si="315"/>
        <v>2377</v>
      </c>
      <c r="B2382" t="s">
        <v>3146</v>
      </c>
      <c r="C2382" s="2">
        <v>0.41388888888888886</v>
      </c>
      <c r="D2382" s="4">
        <f t="shared" si="327"/>
        <v>0.125</v>
      </c>
      <c r="E2382" s="6">
        <v>0.28888888888888886</v>
      </c>
      <c r="F2382" s="5">
        <f t="shared" si="328"/>
        <v>0.69798657718120805</v>
      </c>
      <c r="G2382" s="5">
        <v>0.86899999999999999</v>
      </c>
      <c r="H2382" s="4">
        <f>65.3/1440</f>
        <v>4.5347222222222219E-2</v>
      </c>
      <c r="I2382" s="5">
        <v>0.13600000000000001</v>
      </c>
      <c r="J2382" s="11" t="s">
        <v>3148</v>
      </c>
    </row>
    <row r="2383" spans="1:10" ht="13.15" customHeight="1" x14ac:dyDescent="0.25">
      <c r="A2383">
        <f t="shared" si="315"/>
        <v>2378</v>
      </c>
      <c r="B2383" t="s">
        <v>3160</v>
      </c>
      <c r="C2383" s="2">
        <v>0.41805555555555557</v>
      </c>
      <c r="D2383" s="4">
        <f t="shared" ref="D2383:D2391" si="329">C2383-E2383</f>
        <v>0.1111111111111111</v>
      </c>
      <c r="E2383" s="6">
        <v>0.30694444444444446</v>
      </c>
      <c r="F2383" s="5">
        <f t="shared" ref="F2383:F2391" si="330">E2383/C2383</f>
        <v>0.73421926910299007</v>
      </c>
      <c r="G2383" s="5">
        <v>0.81299999999999994</v>
      </c>
      <c r="H2383" s="4">
        <f>55.5/1440</f>
        <v>3.8541666666666669E-2</v>
      </c>
      <c r="I2383" s="5">
        <v>0.10199999999999999</v>
      </c>
      <c r="J2383" s="11" t="s">
        <v>3159</v>
      </c>
    </row>
    <row r="2384" spans="1:10" ht="13.15" customHeight="1" x14ac:dyDescent="0.25">
      <c r="A2384">
        <f t="shared" si="315"/>
        <v>2379</v>
      </c>
      <c r="B2384" t="s">
        <v>3161</v>
      </c>
      <c r="C2384" s="2">
        <v>0.39444444444444443</v>
      </c>
      <c r="D2384" s="4">
        <f t="shared" si="329"/>
        <v>0.1111111111111111</v>
      </c>
      <c r="E2384" s="6">
        <v>0.28333333333333333</v>
      </c>
      <c r="F2384" s="5">
        <f t="shared" si="330"/>
        <v>0.71830985915492962</v>
      </c>
      <c r="G2384" s="5">
        <v>0.82499999999999996</v>
      </c>
      <c r="H2384" s="4">
        <f>56.1/1440</f>
        <v>3.8958333333333331E-2</v>
      </c>
      <c r="I2384" s="5">
        <v>0.113</v>
      </c>
      <c r="J2384" s="11" t="s">
        <v>3159</v>
      </c>
    </row>
    <row r="2385" spans="1:10" ht="13.15" customHeight="1" x14ac:dyDescent="0.25">
      <c r="A2385">
        <f t="shared" si="315"/>
        <v>2380</v>
      </c>
      <c r="B2385" t="s">
        <v>3162</v>
      </c>
      <c r="C2385" s="2">
        <v>0.39791666666666664</v>
      </c>
      <c r="D2385" s="4">
        <f t="shared" si="329"/>
        <v>0.10972222222222222</v>
      </c>
      <c r="E2385" s="6">
        <v>0.28819444444444442</v>
      </c>
      <c r="F2385" s="5">
        <f t="shared" si="330"/>
        <v>0.72425828970331585</v>
      </c>
      <c r="G2385" s="5">
        <v>0.77800000000000002</v>
      </c>
      <c r="H2385" s="4">
        <f>54/1440</f>
        <v>3.7499999999999999E-2</v>
      </c>
      <c r="I2385" s="5">
        <v>0.10100000000000001</v>
      </c>
      <c r="J2385" s="11" t="s">
        <v>3159</v>
      </c>
    </row>
    <row r="2386" spans="1:10" ht="13.15" customHeight="1" x14ac:dyDescent="0.25">
      <c r="A2386">
        <f t="shared" si="315"/>
        <v>2381</v>
      </c>
      <c r="B2386" t="s">
        <v>3163</v>
      </c>
      <c r="C2386" s="2">
        <v>0.46111111111111114</v>
      </c>
      <c r="D2386" s="4">
        <f t="shared" si="329"/>
        <v>0.11944444444444446</v>
      </c>
      <c r="E2386" s="6">
        <v>0.34166666666666667</v>
      </c>
      <c r="F2386" s="5">
        <f t="shared" si="330"/>
        <v>0.74096385542168675</v>
      </c>
      <c r="G2386" s="5">
        <v>0.84199999999999997</v>
      </c>
      <c r="H2386" s="4">
        <f>54.7/1440</f>
        <v>3.7986111111111116E-2</v>
      </c>
      <c r="I2386" s="5">
        <v>9.2999999999999999E-2</v>
      </c>
      <c r="J2386" s="11" t="s">
        <v>3159</v>
      </c>
    </row>
    <row r="2387" spans="1:10" ht="13.15" customHeight="1" x14ac:dyDescent="0.25">
      <c r="A2387">
        <f t="shared" si="315"/>
        <v>2382</v>
      </c>
      <c r="B2387" t="s">
        <v>3164</v>
      </c>
      <c r="C2387" s="2">
        <v>0.43611111111111112</v>
      </c>
      <c r="D2387" s="4">
        <f t="shared" si="329"/>
        <v>9.9999999999999978E-2</v>
      </c>
      <c r="E2387" s="6">
        <v>0.33611111111111114</v>
      </c>
      <c r="F2387" s="5">
        <f t="shared" si="330"/>
        <v>0.77070063694267521</v>
      </c>
      <c r="G2387" s="5">
        <v>0.86699999999999999</v>
      </c>
      <c r="H2387" s="4">
        <f>61.2/1440</f>
        <v>4.2500000000000003E-2</v>
      </c>
      <c r="I2387" s="5">
        <v>0.11</v>
      </c>
      <c r="J2387" s="11" t="s">
        <v>3159</v>
      </c>
    </row>
    <row r="2388" spans="1:10" ht="13.15" customHeight="1" x14ac:dyDescent="0.25">
      <c r="A2388">
        <f t="shared" si="315"/>
        <v>2383</v>
      </c>
      <c r="B2388" t="s">
        <v>3165</v>
      </c>
      <c r="C2388" s="2">
        <v>0.31458333333333333</v>
      </c>
      <c r="D2388" s="4">
        <f t="shared" si="329"/>
        <v>9.6527777777777768E-2</v>
      </c>
      <c r="E2388" s="6">
        <v>0.21805555555555556</v>
      </c>
      <c r="F2388" s="5">
        <f t="shared" si="330"/>
        <v>0.69315673289183222</v>
      </c>
      <c r="G2388" s="5">
        <v>0.73599999999999999</v>
      </c>
      <c r="H2388" s="4">
        <f>50.1/1440</f>
        <v>3.4791666666666665E-2</v>
      </c>
      <c r="I2388" s="5">
        <v>0.11700000000000001</v>
      </c>
      <c r="J2388" s="11" t="s">
        <v>3158</v>
      </c>
    </row>
    <row r="2389" spans="1:10" ht="13.15" customHeight="1" x14ac:dyDescent="0.25">
      <c r="A2389">
        <f t="shared" si="315"/>
        <v>2384</v>
      </c>
      <c r="B2389" t="s">
        <v>3166</v>
      </c>
      <c r="C2389" s="2">
        <v>0.41388888888888886</v>
      </c>
      <c r="D2389" s="4">
        <f t="shared" si="329"/>
        <v>0.13263888888888886</v>
      </c>
      <c r="E2389" s="6">
        <v>0.28125</v>
      </c>
      <c r="F2389" s="5">
        <f t="shared" si="330"/>
        <v>0.67953020134228193</v>
      </c>
      <c r="G2389" s="5">
        <v>0.873</v>
      </c>
      <c r="H2389" s="4">
        <f>71.5/1440</f>
        <v>4.9652777777777775E-2</v>
      </c>
      <c r="I2389" s="5">
        <v>0.154</v>
      </c>
      <c r="J2389" s="11" t="s">
        <v>3158</v>
      </c>
    </row>
    <row r="2390" spans="1:10" ht="13.15" customHeight="1" x14ac:dyDescent="0.25">
      <c r="A2390">
        <f t="shared" si="315"/>
        <v>2385</v>
      </c>
      <c r="B2390" t="s">
        <v>3167</v>
      </c>
      <c r="C2390" s="2">
        <v>0.44861111111111113</v>
      </c>
      <c r="D2390" s="4">
        <f t="shared" si="329"/>
        <v>0.12083333333333335</v>
      </c>
      <c r="E2390" s="6">
        <v>0.32777777777777778</v>
      </c>
      <c r="F2390" s="5">
        <f t="shared" si="330"/>
        <v>0.73065015479876161</v>
      </c>
      <c r="G2390" s="5">
        <v>0.77100000000000002</v>
      </c>
      <c r="H2390" s="4">
        <f>57.9/1440</f>
        <v>4.0208333333333332E-2</v>
      </c>
      <c r="I2390" s="5">
        <v>9.4E-2</v>
      </c>
      <c r="J2390" s="11" t="s">
        <v>3158</v>
      </c>
    </row>
    <row r="2391" spans="1:10" ht="13.15" customHeight="1" x14ac:dyDescent="0.25">
      <c r="A2391">
        <f t="shared" si="315"/>
        <v>2386</v>
      </c>
      <c r="B2391" t="s">
        <v>3168</v>
      </c>
      <c r="C2391" s="2">
        <v>0.45694444444444443</v>
      </c>
      <c r="D2391" s="4">
        <f t="shared" si="329"/>
        <v>0.10138888888888886</v>
      </c>
      <c r="E2391" s="6">
        <v>0.35555555555555557</v>
      </c>
      <c r="F2391" s="5">
        <f t="shared" si="330"/>
        <v>0.77811550151975695</v>
      </c>
      <c r="G2391" s="5">
        <v>0.82499999999999996</v>
      </c>
      <c r="H2391" s="4">
        <f>62.9/1440</f>
        <v>4.3680555555555556E-2</v>
      </c>
      <c r="I2391" s="5">
        <v>0.10100000000000001</v>
      </c>
      <c r="J2391" s="11" t="s">
        <v>3158</v>
      </c>
    </row>
    <row r="2392" spans="1:10" ht="13.15" customHeight="1" x14ac:dyDescent="0.25">
      <c r="A2392">
        <f t="shared" si="315"/>
        <v>2387</v>
      </c>
      <c r="B2392" t="s">
        <v>3169</v>
      </c>
      <c r="C2392" s="2">
        <v>0.4152777777777778</v>
      </c>
      <c r="D2392" s="4">
        <f t="shared" ref="D2392:D2400" si="331">C2392-E2392</f>
        <v>0.11805555555555558</v>
      </c>
      <c r="E2392" s="6">
        <v>0.29722222222222222</v>
      </c>
      <c r="F2392" s="5">
        <f t="shared" ref="F2392:F2400" si="332">E2392/C2392</f>
        <v>0.71571906354515047</v>
      </c>
      <c r="G2392" s="5">
        <v>0.73</v>
      </c>
      <c r="H2392" s="4">
        <f>48.6/1440</f>
        <v>3.3750000000000002E-2</v>
      </c>
      <c r="I2392" s="5">
        <v>8.3000000000000004E-2</v>
      </c>
      <c r="J2392" s="11" t="s">
        <v>3179</v>
      </c>
    </row>
    <row r="2393" spans="1:10" ht="13.15" customHeight="1" x14ac:dyDescent="0.25">
      <c r="A2393">
        <f t="shared" si="315"/>
        <v>2388</v>
      </c>
      <c r="B2393" t="s">
        <v>3170</v>
      </c>
      <c r="C2393" s="2">
        <v>0.42499999999999999</v>
      </c>
      <c r="D2393" s="4">
        <f t="shared" si="331"/>
        <v>0.12222222222222223</v>
      </c>
      <c r="E2393" s="6">
        <v>0.30277777777777776</v>
      </c>
      <c r="F2393" s="5">
        <f t="shared" si="332"/>
        <v>0.71241830065359479</v>
      </c>
      <c r="G2393" s="5">
        <v>0.75600000000000001</v>
      </c>
      <c r="H2393" s="4">
        <f>47.1/1440</f>
        <v>3.2708333333333332E-2</v>
      </c>
      <c r="I2393" s="5">
        <v>8.2000000000000003E-2</v>
      </c>
      <c r="J2393" s="11" t="s">
        <v>3179</v>
      </c>
    </row>
    <row r="2394" spans="1:10" ht="13.15" customHeight="1" x14ac:dyDescent="0.25">
      <c r="A2394">
        <f t="shared" ref="A2394:A2457" si="333">A2393+1</f>
        <v>2389</v>
      </c>
      <c r="B2394" t="s">
        <v>3171</v>
      </c>
      <c r="C2394" s="2">
        <v>0.40069444444444446</v>
      </c>
      <c r="D2394" s="4">
        <f t="shared" si="331"/>
        <v>0.12222222222222223</v>
      </c>
      <c r="E2394" s="6">
        <v>0.27847222222222223</v>
      </c>
      <c r="F2394" s="5">
        <f t="shared" si="332"/>
        <v>0.69497400346620453</v>
      </c>
      <c r="G2394" s="5">
        <v>0.66</v>
      </c>
      <c r="H2394" s="4">
        <f>45.5/1440</f>
        <v>3.1597222222222221E-2</v>
      </c>
      <c r="I2394" s="5">
        <v>7.4999999999999997E-2</v>
      </c>
      <c r="J2394" s="11" t="s">
        <v>3179</v>
      </c>
    </row>
    <row r="2395" spans="1:10" ht="13.15" customHeight="1" x14ac:dyDescent="0.25">
      <c r="A2395">
        <f t="shared" si="333"/>
        <v>2390</v>
      </c>
      <c r="B2395" t="s">
        <v>3172</v>
      </c>
      <c r="C2395" s="2">
        <v>0.42152777777777778</v>
      </c>
      <c r="D2395" s="4">
        <f t="shared" si="331"/>
        <v>0.12361111111111112</v>
      </c>
      <c r="E2395" s="6">
        <v>0.29791666666666666</v>
      </c>
      <c r="F2395" s="5">
        <f t="shared" si="332"/>
        <v>0.70675453047775949</v>
      </c>
      <c r="G2395" s="5">
        <v>0.71399999999999997</v>
      </c>
      <c r="H2395" s="4">
        <f>45.9/1440</f>
        <v>3.1875000000000001E-2</v>
      </c>
      <c r="I2395" s="5">
        <v>7.5999999999999998E-2</v>
      </c>
      <c r="J2395" s="11" t="s">
        <v>3179</v>
      </c>
    </row>
    <row r="2396" spans="1:10" ht="13.15" customHeight="1" x14ac:dyDescent="0.25">
      <c r="A2396">
        <f t="shared" si="333"/>
        <v>2391</v>
      </c>
      <c r="B2396" t="s">
        <v>3173</v>
      </c>
      <c r="C2396" s="2">
        <v>0.38611111111111113</v>
      </c>
      <c r="D2396" s="4">
        <f t="shared" si="331"/>
        <v>0.10902777777777778</v>
      </c>
      <c r="E2396" s="6">
        <v>0.27708333333333335</v>
      </c>
      <c r="F2396" s="5">
        <f t="shared" si="332"/>
        <v>0.71762589928057552</v>
      </c>
      <c r="G2396" s="5">
        <v>0.76100000000000001</v>
      </c>
      <c r="H2396" s="4">
        <f>48.9/1440</f>
        <v>3.3958333333333333E-2</v>
      </c>
      <c r="I2396" s="5">
        <v>9.2999999999999999E-2</v>
      </c>
      <c r="J2396" s="11" t="s">
        <v>3179</v>
      </c>
    </row>
    <row r="2397" spans="1:10" ht="13.15" customHeight="1" x14ac:dyDescent="0.25">
      <c r="A2397">
        <f t="shared" si="333"/>
        <v>2392</v>
      </c>
      <c r="B2397" t="s">
        <v>3174</v>
      </c>
      <c r="C2397" s="2">
        <v>0.43888888888888888</v>
      </c>
      <c r="D2397" s="4">
        <f t="shared" si="331"/>
        <v>0.12083333333333335</v>
      </c>
      <c r="E2397" s="6">
        <v>0.31805555555555554</v>
      </c>
      <c r="F2397" s="5">
        <f t="shared" si="332"/>
        <v>0.72468354430379744</v>
      </c>
      <c r="G2397" s="5">
        <v>0.71799999999999997</v>
      </c>
      <c r="H2397" s="4">
        <f>56.2/1440</f>
        <v>3.9027777777777779E-2</v>
      </c>
      <c r="I2397" s="5">
        <v>8.7999999999999995E-2</v>
      </c>
      <c r="J2397" s="11" t="s">
        <v>3178</v>
      </c>
    </row>
    <row r="2398" spans="1:10" ht="13.15" customHeight="1" x14ac:dyDescent="0.25">
      <c r="A2398">
        <f t="shared" si="333"/>
        <v>2393</v>
      </c>
      <c r="B2398" t="s">
        <v>3175</v>
      </c>
      <c r="C2398" s="2">
        <v>0.41041666666666665</v>
      </c>
      <c r="D2398" s="4">
        <f t="shared" si="331"/>
        <v>0.11944444444444441</v>
      </c>
      <c r="E2398" s="6">
        <v>0.29097222222222224</v>
      </c>
      <c r="F2398" s="5">
        <f t="shared" si="332"/>
        <v>0.70896785109983085</v>
      </c>
      <c r="G2398" s="5">
        <v>0.79100000000000004</v>
      </c>
      <c r="H2398" s="4">
        <f>44.8/1440</f>
        <v>3.111111111111111E-2</v>
      </c>
      <c r="I2398" s="5">
        <v>8.5000000000000006E-2</v>
      </c>
      <c r="J2398" s="11" t="s">
        <v>3178</v>
      </c>
    </row>
    <row r="2399" spans="1:10" ht="13.15" customHeight="1" x14ac:dyDescent="0.25">
      <c r="A2399">
        <f t="shared" si="333"/>
        <v>2394</v>
      </c>
      <c r="B2399" t="s">
        <v>3176</v>
      </c>
      <c r="C2399" s="2">
        <v>0.42499999999999999</v>
      </c>
      <c r="D2399" s="4">
        <f t="shared" si="331"/>
        <v>0.125</v>
      </c>
      <c r="E2399" s="6">
        <v>0.3</v>
      </c>
      <c r="F2399" s="5">
        <f t="shared" si="332"/>
        <v>0.70588235294117652</v>
      </c>
      <c r="G2399" s="5">
        <v>0.753</v>
      </c>
      <c r="H2399" s="4">
        <f>44.9/1440</f>
        <v>3.1180555555555555E-2</v>
      </c>
      <c r="I2399" s="5">
        <v>7.8E-2</v>
      </c>
      <c r="J2399" s="11" t="s">
        <v>3178</v>
      </c>
    </row>
    <row r="2400" spans="1:10" ht="13.15" customHeight="1" x14ac:dyDescent="0.25">
      <c r="A2400">
        <f t="shared" si="333"/>
        <v>2395</v>
      </c>
      <c r="B2400" t="s">
        <v>3177</v>
      </c>
      <c r="C2400" s="2">
        <v>0.48958333333333331</v>
      </c>
      <c r="D2400" s="4">
        <f t="shared" si="331"/>
        <v>0.11666666666666664</v>
      </c>
      <c r="E2400" s="6">
        <v>0.37291666666666667</v>
      </c>
      <c r="F2400" s="5">
        <f t="shared" si="332"/>
        <v>0.76170212765957446</v>
      </c>
      <c r="G2400" s="5">
        <v>0.83899999999999997</v>
      </c>
      <c r="H2400" s="4">
        <f>68.1/1440</f>
        <v>4.7291666666666662E-2</v>
      </c>
      <c r="I2400" s="5">
        <v>0.106</v>
      </c>
      <c r="J2400" s="11" t="s">
        <v>3178</v>
      </c>
    </row>
    <row r="2401" spans="1:10" ht="13.15" customHeight="1" x14ac:dyDescent="0.25">
      <c r="A2401">
        <f t="shared" si="333"/>
        <v>2396</v>
      </c>
      <c r="B2401" t="s">
        <v>3180</v>
      </c>
      <c r="C2401" s="2">
        <v>0.41805555555555557</v>
      </c>
      <c r="D2401" s="4">
        <f t="shared" ref="D2401:D2409" si="334">C2401-E2401</f>
        <v>0.1076388888888889</v>
      </c>
      <c r="E2401" s="6">
        <v>0.31041666666666667</v>
      </c>
      <c r="F2401" s="5">
        <f t="shared" ref="F2401:F2409" si="335">E2401/C2401</f>
        <v>0.74252491694352163</v>
      </c>
      <c r="G2401" s="5">
        <v>0.81699999999999995</v>
      </c>
      <c r="H2401" s="4">
        <f>64.1/1440</f>
        <v>4.4513888888888888E-2</v>
      </c>
      <c r="I2401" s="5">
        <v>0.11700000000000001</v>
      </c>
      <c r="J2401" s="11" t="s">
        <v>3190</v>
      </c>
    </row>
    <row r="2402" spans="1:10" ht="13.15" customHeight="1" x14ac:dyDescent="0.25">
      <c r="A2402">
        <f t="shared" si="333"/>
        <v>2397</v>
      </c>
      <c r="B2402" t="s">
        <v>3181</v>
      </c>
      <c r="C2402" s="2">
        <v>0.38958333333333334</v>
      </c>
      <c r="D2402" s="4">
        <f t="shared" si="334"/>
        <v>9.375E-2</v>
      </c>
      <c r="E2402" s="6">
        <v>0.29583333333333334</v>
      </c>
      <c r="F2402" s="5">
        <f t="shared" si="335"/>
        <v>0.75935828877005351</v>
      </c>
      <c r="G2402" s="5">
        <v>0.83099999999999996</v>
      </c>
      <c r="H2402" s="4">
        <f>63.5/1440</f>
        <v>4.4097222222222225E-2</v>
      </c>
      <c r="I2402" s="5">
        <v>0.124</v>
      </c>
      <c r="J2402" s="11" t="s">
        <v>3190</v>
      </c>
    </row>
    <row r="2403" spans="1:10" ht="13.15" customHeight="1" x14ac:dyDescent="0.25">
      <c r="A2403">
        <f t="shared" si="333"/>
        <v>2398</v>
      </c>
      <c r="B2403" t="s">
        <v>3182</v>
      </c>
      <c r="C2403" s="2">
        <v>0.41805555555555557</v>
      </c>
      <c r="D2403" s="4">
        <f t="shared" si="334"/>
        <v>0.11875000000000002</v>
      </c>
      <c r="E2403" s="6">
        <v>0.29930555555555555</v>
      </c>
      <c r="F2403" s="5">
        <f t="shared" si="335"/>
        <v>0.71594684385382057</v>
      </c>
      <c r="G2403" s="5">
        <v>0.79900000000000004</v>
      </c>
      <c r="H2403" s="4">
        <f>63.3/1440</f>
        <v>4.3958333333333328E-2</v>
      </c>
      <c r="I2403" s="5">
        <v>0.11700000000000001</v>
      </c>
      <c r="J2403" s="11" t="s">
        <v>3190</v>
      </c>
    </row>
    <row r="2404" spans="1:10" ht="13.15" customHeight="1" x14ac:dyDescent="0.25">
      <c r="A2404">
        <f t="shared" si="333"/>
        <v>2399</v>
      </c>
      <c r="B2404" t="s">
        <v>3183</v>
      </c>
      <c r="C2404" s="2">
        <v>0.36041666666666666</v>
      </c>
      <c r="D2404" s="4">
        <f t="shared" si="334"/>
        <v>0.10555555555555557</v>
      </c>
      <c r="E2404" s="6">
        <v>0.25486111111111109</v>
      </c>
      <c r="F2404" s="5">
        <f t="shared" si="335"/>
        <v>0.7071290944123314</v>
      </c>
      <c r="G2404" s="5">
        <v>0.70799999999999996</v>
      </c>
      <c r="H2404" s="4">
        <f>60.4/1440</f>
        <v>4.1944444444444444E-2</v>
      </c>
      <c r="I2404" s="5">
        <v>0.11600000000000001</v>
      </c>
      <c r="J2404" s="11" t="s">
        <v>3190</v>
      </c>
    </row>
    <row r="2405" spans="1:10" ht="13.15" customHeight="1" x14ac:dyDescent="0.25">
      <c r="A2405">
        <f t="shared" si="333"/>
        <v>2400</v>
      </c>
      <c r="B2405" t="s">
        <v>3184</v>
      </c>
      <c r="C2405" s="2">
        <v>0.47013888888888888</v>
      </c>
      <c r="D2405" s="4">
        <f t="shared" si="334"/>
        <v>0.12638888888888888</v>
      </c>
      <c r="E2405" s="6">
        <v>0.34375</v>
      </c>
      <c r="F2405" s="5">
        <f t="shared" si="335"/>
        <v>0.73116691285081237</v>
      </c>
      <c r="G2405" s="5">
        <v>0.85399999999999998</v>
      </c>
      <c r="H2405" s="4">
        <f>63.1/1440</f>
        <v>4.3819444444444446E-2</v>
      </c>
      <c r="I2405" s="5">
        <v>0.109</v>
      </c>
      <c r="J2405" s="11" t="s">
        <v>3190</v>
      </c>
    </row>
    <row r="2406" spans="1:10" ht="13.15" customHeight="1" x14ac:dyDescent="0.25">
      <c r="A2406">
        <f t="shared" si="333"/>
        <v>2401</v>
      </c>
      <c r="B2406" t="s">
        <v>3185</v>
      </c>
      <c r="C2406" s="2">
        <v>0.39027777777777778</v>
      </c>
      <c r="D2406" s="4">
        <f t="shared" si="334"/>
        <v>0.10555555555555557</v>
      </c>
      <c r="E2406" s="6">
        <v>0.28472222222222221</v>
      </c>
      <c r="F2406" s="5">
        <f t="shared" si="335"/>
        <v>0.72953736654804269</v>
      </c>
      <c r="G2406" s="5">
        <v>0.84599999999999997</v>
      </c>
      <c r="H2406" s="4">
        <f>63.5/1440</f>
        <v>4.4097222222222225E-2</v>
      </c>
      <c r="I2406" s="5">
        <v>0.13100000000000001</v>
      </c>
      <c r="J2406" s="11" t="s">
        <v>3189</v>
      </c>
    </row>
    <row r="2407" spans="1:10" ht="13.15" customHeight="1" x14ac:dyDescent="0.25">
      <c r="A2407">
        <f t="shared" si="333"/>
        <v>2402</v>
      </c>
      <c r="B2407" t="s">
        <v>3186</v>
      </c>
      <c r="C2407" s="2">
        <v>0.44583333333333336</v>
      </c>
      <c r="D2407" s="4">
        <f t="shared" si="334"/>
        <v>0.11111111111111116</v>
      </c>
      <c r="E2407" s="6">
        <v>0.3347222222222222</v>
      </c>
      <c r="F2407" s="5">
        <f t="shared" si="335"/>
        <v>0.75077881619937681</v>
      </c>
      <c r="G2407" s="5">
        <v>0.84399999999999997</v>
      </c>
      <c r="H2407" s="4">
        <f>60.5/1440</f>
        <v>4.2013888888888892E-2</v>
      </c>
      <c r="I2407" s="5">
        <v>0.106</v>
      </c>
      <c r="J2407" s="11" t="s">
        <v>3189</v>
      </c>
    </row>
    <row r="2408" spans="1:10" ht="13.15" customHeight="1" x14ac:dyDescent="0.25">
      <c r="A2408">
        <f t="shared" si="333"/>
        <v>2403</v>
      </c>
      <c r="B2408" t="s">
        <v>3187</v>
      </c>
      <c r="C2408" s="2">
        <v>0.49722222222222223</v>
      </c>
      <c r="D2408" s="4">
        <f t="shared" si="334"/>
        <v>0.12361111111111112</v>
      </c>
      <c r="E2408" s="6">
        <v>0.37361111111111112</v>
      </c>
      <c r="F2408" s="5">
        <f t="shared" si="335"/>
        <v>0.75139664804469275</v>
      </c>
      <c r="G2408" s="5">
        <v>0.82</v>
      </c>
      <c r="H2408" s="4">
        <f>66.1/1440</f>
        <v>4.5902777777777772E-2</v>
      </c>
      <c r="I2408" s="5">
        <v>0.10100000000000001</v>
      </c>
      <c r="J2408" s="11" t="s">
        <v>3189</v>
      </c>
    </row>
    <row r="2409" spans="1:10" ht="13.15" customHeight="1" x14ac:dyDescent="0.25">
      <c r="A2409">
        <f t="shared" si="333"/>
        <v>2404</v>
      </c>
      <c r="B2409" t="s">
        <v>3188</v>
      </c>
      <c r="C2409" s="2">
        <v>0.45902777777777776</v>
      </c>
      <c r="D2409" s="4">
        <f t="shared" si="334"/>
        <v>0.10486111111111107</v>
      </c>
      <c r="E2409" s="6">
        <v>0.35416666666666669</v>
      </c>
      <c r="F2409" s="5">
        <f t="shared" si="335"/>
        <v>0.77155824508320736</v>
      </c>
      <c r="G2409" s="5">
        <v>0.85399999999999998</v>
      </c>
      <c r="H2409" s="4">
        <f>90.5/1440</f>
        <v>6.2847222222222221E-2</v>
      </c>
      <c r="I2409" s="5">
        <v>0.151</v>
      </c>
      <c r="J2409" s="11" t="s">
        <v>3189</v>
      </c>
    </row>
    <row r="2410" spans="1:10" ht="13.15" customHeight="1" x14ac:dyDescent="0.25">
      <c r="A2410">
        <f t="shared" si="333"/>
        <v>2405</v>
      </c>
      <c r="B2410" t="s">
        <v>3191</v>
      </c>
      <c r="C2410" s="2">
        <v>0.41041666666666665</v>
      </c>
      <c r="D2410" s="4">
        <f t="shared" ref="D2410:D2418" si="336">C2410-E2410</f>
        <v>0.10694444444444445</v>
      </c>
      <c r="E2410" s="6">
        <v>0.3034722222222222</v>
      </c>
      <c r="F2410" s="5">
        <f t="shared" ref="F2410:F2418" si="337">E2410/C2410</f>
        <v>0.73942470389170889</v>
      </c>
      <c r="G2410" s="5">
        <v>0.82199999999999995</v>
      </c>
      <c r="H2410" s="4">
        <f>62.3/1440</f>
        <v>4.3263888888888886E-2</v>
      </c>
      <c r="I2410" s="5">
        <v>0.11700000000000001</v>
      </c>
      <c r="J2410" s="11" t="s">
        <v>3200</v>
      </c>
    </row>
    <row r="2411" spans="1:10" ht="13.15" customHeight="1" x14ac:dyDescent="0.25">
      <c r="A2411">
        <f t="shared" si="333"/>
        <v>2406</v>
      </c>
      <c r="B2411" t="s">
        <v>3192</v>
      </c>
      <c r="C2411" s="2">
        <v>0.40902777777777777</v>
      </c>
      <c r="D2411" s="4">
        <f t="shared" si="336"/>
        <v>0.1111111111111111</v>
      </c>
      <c r="E2411" s="6">
        <v>0.29791666666666666</v>
      </c>
      <c r="F2411" s="5">
        <f t="shared" si="337"/>
        <v>0.72835314091680814</v>
      </c>
      <c r="G2411" s="5">
        <v>0.81899999999999995</v>
      </c>
      <c r="H2411" s="4">
        <f>67.4/1440</f>
        <v>4.6805555555555559E-2</v>
      </c>
      <c r="I2411" s="5">
        <v>0.129</v>
      </c>
      <c r="J2411" s="11" t="s">
        <v>3200</v>
      </c>
    </row>
    <row r="2412" spans="1:10" ht="13.15" customHeight="1" x14ac:dyDescent="0.25">
      <c r="A2412">
        <f t="shared" si="333"/>
        <v>2407</v>
      </c>
      <c r="B2412" t="s">
        <v>3193</v>
      </c>
      <c r="C2412" s="2">
        <v>0.38124999999999998</v>
      </c>
      <c r="D2412" s="4">
        <f t="shared" si="336"/>
        <v>0.10624999999999996</v>
      </c>
      <c r="E2412" s="6">
        <v>0.27500000000000002</v>
      </c>
      <c r="F2412" s="5">
        <f t="shared" si="337"/>
        <v>0.7213114754098362</v>
      </c>
      <c r="G2412" s="5">
        <v>0.82699999999999996</v>
      </c>
      <c r="H2412" s="4">
        <f>50.7/1440</f>
        <v>3.5208333333333335E-2</v>
      </c>
      <c r="I2412" s="5">
        <v>0.106</v>
      </c>
      <c r="J2412" s="11" t="s">
        <v>3200</v>
      </c>
    </row>
    <row r="2413" spans="1:10" ht="13.15" customHeight="1" x14ac:dyDescent="0.25">
      <c r="A2413">
        <f t="shared" si="333"/>
        <v>2408</v>
      </c>
      <c r="B2413" t="s">
        <v>3194</v>
      </c>
      <c r="C2413" s="2">
        <v>0.40138888888888891</v>
      </c>
      <c r="D2413" s="4">
        <f t="shared" si="336"/>
        <v>0.1076388888888889</v>
      </c>
      <c r="E2413" s="6">
        <v>0.29375000000000001</v>
      </c>
      <c r="F2413" s="5">
        <f t="shared" si="337"/>
        <v>0.73183391003460208</v>
      </c>
      <c r="G2413" s="5">
        <v>0.76600000000000001</v>
      </c>
      <c r="H2413" s="4">
        <f>50.3/1440</f>
        <v>3.4930555555555555E-2</v>
      </c>
      <c r="I2413" s="5">
        <v>9.0999999999999998E-2</v>
      </c>
      <c r="J2413" s="11" t="s">
        <v>3200</v>
      </c>
    </row>
    <row r="2414" spans="1:10" ht="13.15" customHeight="1" x14ac:dyDescent="0.25">
      <c r="A2414">
        <f t="shared" si="333"/>
        <v>2409</v>
      </c>
      <c r="B2414" t="s">
        <v>3195</v>
      </c>
      <c r="C2414" s="2">
        <v>0.40138888888888891</v>
      </c>
      <c r="D2414" s="4">
        <f t="shared" si="336"/>
        <v>9.5138888888888884E-2</v>
      </c>
      <c r="E2414" s="6">
        <v>0.30625000000000002</v>
      </c>
      <c r="F2414" s="5">
        <f t="shared" si="337"/>
        <v>0.76297577854671284</v>
      </c>
      <c r="G2414" s="5">
        <v>0.85299999999999998</v>
      </c>
      <c r="H2414" s="4">
        <f>63.9/1440</f>
        <v>4.4374999999999998E-2</v>
      </c>
      <c r="I2414" s="5">
        <v>0.123</v>
      </c>
      <c r="J2414" s="11" t="s">
        <v>3200</v>
      </c>
    </row>
    <row r="2415" spans="1:10" ht="13.15" customHeight="1" x14ac:dyDescent="0.25">
      <c r="A2415">
        <f t="shared" si="333"/>
        <v>2410</v>
      </c>
      <c r="B2415" t="s">
        <v>3196</v>
      </c>
      <c r="C2415" s="2">
        <v>0.4548611111111111</v>
      </c>
      <c r="D2415" s="4">
        <f t="shared" si="336"/>
        <v>0.11180555555555555</v>
      </c>
      <c r="E2415" s="6">
        <v>0.34305555555555556</v>
      </c>
      <c r="F2415" s="5">
        <f t="shared" si="337"/>
        <v>0.75419847328244272</v>
      </c>
      <c r="G2415" s="5">
        <v>0.82399999999999995</v>
      </c>
      <c r="H2415" s="4">
        <f>74.4/1440</f>
        <v>5.1666666666666673E-2</v>
      </c>
      <c r="I2415" s="5">
        <v>0.124</v>
      </c>
      <c r="J2415" s="11" t="s">
        <v>3201</v>
      </c>
    </row>
    <row r="2416" spans="1:10" ht="13.15" customHeight="1" x14ac:dyDescent="0.25">
      <c r="A2416">
        <f t="shared" si="333"/>
        <v>2411</v>
      </c>
      <c r="B2416" t="s">
        <v>3197</v>
      </c>
      <c r="C2416" s="2">
        <v>0.42916666666666664</v>
      </c>
      <c r="D2416" s="4">
        <f t="shared" si="336"/>
        <v>0.11805555555555552</v>
      </c>
      <c r="E2416" s="6">
        <v>0.31111111111111112</v>
      </c>
      <c r="F2416" s="5">
        <f t="shared" si="337"/>
        <v>0.72491909385113273</v>
      </c>
      <c r="G2416" s="5">
        <v>0.86199999999999999</v>
      </c>
      <c r="H2416" s="4">
        <f>64.4/1440</f>
        <v>4.4722222222222226E-2</v>
      </c>
      <c r="I2416" s="5">
        <v>0.124</v>
      </c>
      <c r="J2416" s="11" t="s">
        <v>3201</v>
      </c>
    </row>
    <row r="2417" spans="1:10" ht="13.15" customHeight="1" x14ac:dyDescent="0.25">
      <c r="A2417">
        <f t="shared" si="333"/>
        <v>2412</v>
      </c>
      <c r="B2417" t="s">
        <v>3198</v>
      </c>
      <c r="C2417" s="2">
        <v>0.49583333333333335</v>
      </c>
      <c r="D2417" s="4">
        <f t="shared" si="336"/>
        <v>0.1166666666666667</v>
      </c>
      <c r="E2417" s="6">
        <v>0.37916666666666665</v>
      </c>
      <c r="F2417" s="5">
        <f t="shared" si="337"/>
        <v>0.76470588235294112</v>
      </c>
      <c r="G2417" s="5">
        <v>0.879</v>
      </c>
      <c r="H2417" s="4">
        <f>66.4/1440</f>
        <v>4.6111111111111117E-2</v>
      </c>
      <c r="I2417" s="5">
        <v>0.107</v>
      </c>
      <c r="J2417" s="11" t="s">
        <v>3201</v>
      </c>
    </row>
    <row r="2418" spans="1:10" ht="13.15" customHeight="1" x14ac:dyDescent="0.25">
      <c r="A2418">
        <f t="shared" si="333"/>
        <v>2413</v>
      </c>
      <c r="B2418" t="s">
        <v>3199</v>
      </c>
      <c r="C2418" s="2">
        <v>0.4597222222222222</v>
      </c>
      <c r="D2418" s="4">
        <f t="shared" si="336"/>
        <v>0.1381944444444444</v>
      </c>
      <c r="E2418" s="6">
        <v>0.3215277777777778</v>
      </c>
      <c r="F2418" s="5">
        <f t="shared" si="337"/>
        <v>0.69939577039274936</v>
      </c>
      <c r="G2418" s="5">
        <v>0.81599999999999995</v>
      </c>
      <c r="H2418" s="4">
        <f>68.1/1440</f>
        <v>4.7291666666666662E-2</v>
      </c>
      <c r="I2418" s="5">
        <v>0.12</v>
      </c>
      <c r="J2418" s="11" t="s">
        <v>3201</v>
      </c>
    </row>
    <row r="2419" spans="1:10" ht="13.15" customHeight="1" x14ac:dyDescent="0.25">
      <c r="A2419">
        <f t="shared" si="333"/>
        <v>2414</v>
      </c>
      <c r="B2419" t="s">
        <v>3202</v>
      </c>
      <c r="C2419" s="2">
        <v>0.38750000000000001</v>
      </c>
      <c r="D2419" s="4">
        <f t="shared" ref="D2419:D2427" si="338">C2419-E2419</f>
        <v>0.11249999999999999</v>
      </c>
      <c r="E2419" s="6">
        <v>0.27500000000000002</v>
      </c>
      <c r="F2419" s="5">
        <f t="shared" ref="F2419:F2427" si="339">E2419/C2419</f>
        <v>0.70967741935483875</v>
      </c>
      <c r="G2419" s="5">
        <v>0.80600000000000005</v>
      </c>
      <c r="H2419" s="4">
        <f>56.2/1440</f>
        <v>3.9027777777777779E-2</v>
      </c>
      <c r="I2419" s="5">
        <v>0.114</v>
      </c>
      <c r="J2419" s="11" t="s">
        <v>3212</v>
      </c>
    </row>
    <row r="2420" spans="1:10" ht="13.15" customHeight="1" x14ac:dyDescent="0.25">
      <c r="A2420">
        <f t="shared" si="333"/>
        <v>2415</v>
      </c>
      <c r="B2420" t="s">
        <v>3203</v>
      </c>
      <c r="C2420" s="2">
        <v>0.38194444444444442</v>
      </c>
      <c r="D2420" s="4">
        <f t="shared" si="338"/>
        <v>0.11180555555555555</v>
      </c>
      <c r="E2420" s="6">
        <v>0.27013888888888887</v>
      </c>
      <c r="F2420" s="5">
        <f t="shared" si="339"/>
        <v>0.70727272727272728</v>
      </c>
      <c r="G2420" s="5">
        <v>0.85699999999999998</v>
      </c>
      <c r="H2420" s="4">
        <f>58.8/1440</f>
        <v>4.0833333333333333E-2</v>
      </c>
      <c r="I2420" s="5">
        <v>0.129</v>
      </c>
      <c r="J2420" s="11" t="s">
        <v>3212</v>
      </c>
    </row>
    <row r="2421" spans="1:10" ht="13.15" customHeight="1" x14ac:dyDescent="0.25">
      <c r="A2421">
        <f t="shared" si="333"/>
        <v>2416</v>
      </c>
      <c r="B2421" t="s">
        <v>3204</v>
      </c>
      <c r="C2421" s="2">
        <v>0.38055555555555554</v>
      </c>
      <c r="D2421" s="4">
        <f t="shared" si="338"/>
        <v>0.10902777777777778</v>
      </c>
      <c r="E2421" s="6">
        <v>0.27152777777777776</v>
      </c>
      <c r="F2421" s="5">
        <f t="shared" si="339"/>
        <v>0.71350364963503643</v>
      </c>
      <c r="G2421" s="5">
        <v>0.76300000000000001</v>
      </c>
      <c r="H2421" s="4">
        <f>51.9/1440</f>
        <v>3.6041666666666666E-2</v>
      </c>
      <c r="I2421" s="5">
        <v>0.10100000000000001</v>
      </c>
      <c r="J2421" s="11" t="s">
        <v>3212</v>
      </c>
    </row>
    <row r="2422" spans="1:10" ht="13.15" customHeight="1" x14ac:dyDescent="0.25">
      <c r="A2422">
        <f t="shared" si="333"/>
        <v>2417</v>
      </c>
      <c r="B2422" t="s">
        <v>3205</v>
      </c>
      <c r="C2422" s="2">
        <v>0.39166666666666666</v>
      </c>
      <c r="D2422" s="4">
        <f t="shared" si="338"/>
        <v>0.12291666666666667</v>
      </c>
      <c r="E2422" s="6">
        <v>0.26874999999999999</v>
      </c>
      <c r="F2422" s="5">
        <f t="shared" si="339"/>
        <v>0.68617021276595747</v>
      </c>
      <c r="G2422" s="5">
        <v>0.64</v>
      </c>
      <c r="H2422" s="4">
        <f>49.2/1440</f>
        <v>3.4166666666666672E-2</v>
      </c>
      <c r="I2422" s="5">
        <v>8.1000000000000003E-2</v>
      </c>
      <c r="J2422" s="11" t="s">
        <v>3212</v>
      </c>
    </row>
    <row r="2423" spans="1:10" ht="13.15" customHeight="1" x14ac:dyDescent="0.25">
      <c r="A2423">
        <f t="shared" si="333"/>
        <v>2418</v>
      </c>
      <c r="B2423" t="s">
        <v>3206</v>
      </c>
      <c r="C2423" s="2">
        <v>0.37291666666666667</v>
      </c>
      <c r="D2423" s="4">
        <f t="shared" si="338"/>
        <v>9.8611111111111094E-2</v>
      </c>
      <c r="E2423" s="6">
        <v>0.27430555555555558</v>
      </c>
      <c r="F2423" s="5">
        <f t="shared" si="339"/>
        <v>0.73556797020484177</v>
      </c>
      <c r="G2423" s="5">
        <v>0.86199999999999999</v>
      </c>
      <c r="H2423" s="4">
        <f>55.1/1440</f>
        <v>3.8263888888888889E-2</v>
      </c>
      <c r="I2423" s="5">
        <v>0.12</v>
      </c>
      <c r="J2423" s="11" t="s">
        <v>3212</v>
      </c>
    </row>
    <row r="2424" spans="1:10" ht="13.15" customHeight="1" x14ac:dyDescent="0.25">
      <c r="A2424">
        <f t="shared" si="333"/>
        <v>2419</v>
      </c>
      <c r="B2424" t="s">
        <v>3207</v>
      </c>
      <c r="C2424" s="2">
        <v>0.3840277777777778</v>
      </c>
      <c r="D2424" s="4">
        <f t="shared" si="338"/>
        <v>0.12222222222222223</v>
      </c>
      <c r="E2424" s="6">
        <v>0.26180555555555557</v>
      </c>
      <c r="F2424" s="5">
        <f t="shared" si="339"/>
        <v>0.68173598553345394</v>
      </c>
      <c r="G2424" s="5">
        <v>0.84799999999999998</v>
      </c>
      <c r="H2424" s="4">
        <f>57.6/1440</f>
        <v>0.04</v>
      </c>
      <c r="I2424" s="5">
        <v>0.129</v>
      </c>
      <c r="J2424" s="11" t="s">
        <v>3211</v>
      </c>
    </row>
    <row r="2425" spans="1:10" ht="13.15" customHeight="1" x14ac:dyDescent="0.25">
      <c r="A2425">
        <f t="shared" si="333"/>
        <v>2420</v>
      </c>
      <c r="B2425" t="s">
        <v>3208</v>
      </c>
      <c r="C2425" s="2">
        <v>0.44444444444444442</v>
      </c>
      <c r="D2425" s="4">
        <f t="shared" si="338"/>
        <v>0.11458333333333331</v>
      </c>
      <c r="E2425" s="6">
        <v>0.3298611111111111</v>
      </c>
      <c r="F2425" s="5">
        <f t="shared" si="339"/>
        <v>0.7421875</v>
      </c>
      <c r="G2425" s="5">
        <v>0.872</v>
      </c>
      <c r="H2425" s="4">
        <f>52.4/1440</f>
        <v>3.6388888888888887E-2</v>
      </c>
      <c r="I2425" s="5">
        <v>9.6000000000000002E-2</v>
      </c>
      <c r="J2425" s="11" t="s">
        <v>3211</v>
      </c>
    </row>
    <row r="2426" spans="1:10" ht="13.15" customHeight="1" x14ac:dyDescent="0.25">
      <c r="A2426">
        <f t="shared" si="333"/>
        <v>2421</v>
      </c>
      <c r="B2426" t="s">
        <v>3209</v>
      </c>
      <c r="C2426" s="2">
        <v>0.41319444444444442</v>
      </c>
      <c r="D2426" s="4">
        <f t="shared" si="338"/>
        <v>0.12083333333333329</v>
      </c>
      <c r="E2426" s="6">
        <v>0.29236111111111113</v>
      </c>
      <c r="F2426" s="5">
        <f t="shared" si="339"/>
        <v>0.70756302521008407</v>
      </c>
      <c r="G2426" s="5">
        <v>0.77800000000000002</v>
      </c>
      <c r="H2426" s="4">
        <f>58.4/1440</f>
        <v>4.0555555555555553E-2</v>
      </c>
      <c r="I2426" s="5">
        <v>0.108</v>
      </c>
      <c r="J2426" s="11" t="s">
        <v>3211</v>
      </c>
    </row>
    <row r="2427" spans="1:10" ht="13.15" customHeight="1" x14ac:dyDescent="0.25">
      <c r="A2427">
        <f t="shared" si="333"/>
        <v>2422</v>
      </c>
      <c r="B2427" t="s">
        <v>3210</v>
      </c>
      <c r="C2427" s="2">
        <v>0.39166666666666666</v>
      </c>
      <c r="D2427" s="4">
        <f t="shared" si="338"/>
        <v>0.11458333333333331</v>
      </c>
      <c r="E2427" s="6">
        <v>0.27708333333333335</v>
      </c>
      <c r="F2427" s="5">
        <f t="shared" si="339"/>
        <v>0.70744680851063835</v>
      </c>
      <c r="G2427" s="5">
        <v>0.82199999999999995</v>
      </c>
      <c r="H2427" s="4">
        <f>79.4/1440</f>
        <v>5.513888888888889E-2</v>
      </c>
      <c r="I2427" s="5">
        <v>0.16400000000000001</v>
      </c>
      <c r="J2427" s="11" t="s">
        <v>3211</v>
      </c>
    </row>
    <row r="2428" spans="1:10" ht="13.15" customHeight="1" x14ac:dyDescent="0.25">
      <c r="A2428">
        <f t="shared" si="333"/>
        <v>2423</v>
      </c>
      <c r="B2428" t="s">
        <v>3213</v>
      </c>
      <c r="C2428" s="2">
        <v>0.4152777777777778</v>
      </c>
      <c r="D2428" s="4">
        <f t="shared" ref="D2428:D2436" si="340">C2428-E2428</f>
        <v>0.12361111111111112</v>
      </c>
      <c r="E2428" s="6">
        <v>0.29166666666666669</v>
      </c>
      <c r="F2428" s="5">
        <f t="shared" ref="F2428:F2436" si="341">E2428/C2428</f>
        <v>0.7023411371237458</v>
      </c>
      <c r="G2428" s="5">
        <v>0.75900000000000001</v>
      </c>
      <c r="H2428" s="4">
        <f>55.9/1440</f>
        <v>3.8819444444444441E-2</v>
      </c>
      <c r="I2428" s="5">
        <v>0.10100000000000001</v>
      </c>
      <c r="J2428" s="11" t="s">
        <v>3223</v>
      </c>
    </row>
    <row r="2429" spans="1:10" ht="13.15" customHeight="1" x14ac:dyDescent="0.25">
      <c r="A2429">
        <f t="shared" si="333"/>
        <v>2424</v>
      </c>
      <c r="B2429" t="s">
        <v>3214</v>
      </c>
      <c r="C2429" s="2">
        <v>0.42291666666666666</v>
      </c>
      <c r="D2429" s="4">
        <f t="shared" si="340"/>
        <v>0.12777777777777777</v>
      </c>
      <c r="E2429" s="6">
        <v>0.2951388888888889</v>
      </c>
      <c r="F2429" s="5">
        <f t="shared" si="341"/>
        <v>0.69786535303776687</v>
      </c>
      <c r="G2429" s="5">
        <v>0.78600000000000003</v>
      </c>
      <c r="H2429" s="4">
        <f>57.6/1440</f>
        <v>0.04</v>
      </c>
      <c r="I2429" s="5">
        <v>0.106</v>
      </c>
      <c r="J2429" s="11" t="s">
        <v>3223</v>
      </c>
    </row>
    <row r="2430" spans="1:10" ht="13.15" customHeight="1" x14ac:dyDescent="0.25">
      <c r="A2430">
        <f t="shared" si="333"/>
        <v>2425</v>
      </c>
      <c r="B2430" t="s">
        <v>3215</v>
      </c>
      <c r="C2430" s="2">
        <v>0.4</v>
      </c>
      <c r="D2430" s="4">
        <f t="shared" si="340"/>
        <v>0.12291666666666667</v>
      </c>
      <c r="E2430" s="6">
        <v>0.27708333333333335</v>
      </c>
      <c r="F2430" s="5">
        <f t="shared" si="341"/>
        <v>0.69270833333333337</v>
      </c>
      <c r="G2430" s="5">
        <v>0.70899999999999996</v>
      </c>
      <c r="H2430" s="4">
        <f>51.7/1440</f>
        <v>3.5902777777777777E-2</v>
      </c>
      <c r="I2430" s="5">
        <v>9.1999999999999998E-2</v>
      </c>
      <c r="J2430" s="11" t="s">
        <v>3223</v>
      </c>
    </row>
    <row r="2431" spans="1:10" ht="13.15" customHeight="1" x14ac:dyDescent="0.25">
      <c r="A2431">
        <f t="shared" si="333"/>
        <v>2426</v>
      </c>
      <c r="B2431" t="s">
        <v>3216</v>
      </c>
      <c r="C2431" s="2">
        <v>0.3972222222222222</v>
      </c>
      <c r="D2431" s="4">
        <f t="shared" si="340"/>
        <v>0.12083333333333329</v>
      </c>
      <c r="E2431" s="6">
        <v>0.27638888888888891</v>
      </c>
      <c r="F2431" s="5">
        <f t="shared" si="341"/>
        <v>0.69580419580419584</v>
      </c>
      <c r="G2431" s="5">
        <v>0.7</v>
      </c>
      <c r="H2431" s="4">
        <f>49.8/1440</f>
        <v>3.4583333333333334E-2</v>
      </c>
      <c r="I2431" s="5">
        <v>8.7999999999999995E-2</v>
      </c>
      <c r="J2431" s="11" t="s">
        <v>3223</v>
      </c>
    </row>
    <row r="2432" spans="1:10" ht="13.15" customHeight="1" x14ac:dyDescent="0.25">
      <c r="A2432">
        <f t="shared" si="333"/>
        <v>2427</v>
      </c>
      <c r="B2432" t="s">
        <v>3217</v>
      </c>
      <c r="C2432" s="2">
        <v>0.41666666666666669</v>
      </c>
      <c r="D2432" s="4">
        <f t="shared" si="340"/>
        <v>0.12569444444444444</v>
      </c>
      <c r="E2432" s="6">
        <v>0.29097222222222224</v>
      </c>
      <c r="F2432" s="5">
        <f t="shared" si="341"/>
        <v>0.69833333333333336</v>
      </c>
      <c r="G2432" s="5">
        <v>0.80400000000000005</v>
      </c>
      <c r="H2432" s="4">
        <f>54.6/1440</f>
        <v>3.7916666666666668E-2</v>
      </c>
      <c r="I2432" s="5">
        <v>0.105</v>
      </c>
      <c r="J2432" s="11" t="s">
        <v>3223</v>
      </c>
    </row>
    <row r="2433" spans="1:10" ht="13.15" customHeight="1" x14ac:dyDescent="0.25">
      <c r="A2433">
        <f t="shared" si="333"/>
        <v>2428</v>
      </c>
      <c r="B2433" t="s">
        <v>3218</v>
      </c>
      <c r="C2433" s="2">
        <v>0.39930555555555558</v>
      </c>
      <c r="D2433" s="4">
        <f t="shared" si="340"/>
        <v>0.11527777777777781</v>
      </c>
      <c r="E2433" s="6">
        <v>0.28402777777777777</v>
      </c>
      <c r="F2433" s="5">
        <f t="shared" si="341"/>
        <v>0.71130434782608687</v>
      </c>
      <c r="G2433" s="5">
        <v>0.76100000000000001</v>
      </c>
      <c r="H2433" s="4">
        <f>59.9/1440</f>
        <v>4.1597222222222223E-2</v>
      </c>
      <c r="I2433" s="5">
        <v>0.111</v>
      </c>
      <c r="J2433" s="11" t="s">
        <v>3222</v>
      </c>
    </row>
    <row r="2434" spans="1:10" ht="13.15" customHeight="1" x14ac:dyDescent="0.25">
      <c r="A2434">
        <f t="shared" si="333"/>
        <v>2429</v>
      </c>
      <c r="B2434" t="s">
        <v>3219</v>
      </c>
      <c r="C2434" s="2">
        <v>0.45694444444444443</v>
      </c>
      <c r="D2434" s="4">
        <f t="shared" si="340"/>
        <v>0.12291666666666667</v>
      </c>
      <c r="E2434" s="6">
        <v>0.33402777777777776</v>
      </c>
      <c r="F2434" s="5">
        <f t="shared" si="341"/>
        <v>0.73100303951367773</v>
      </c>
      <c r="G2434" s="5">
        <v>0.8</v>
      </c>
      <c r="H2434" s="4">
        <f>59.9/1440</f>
        <v>4.1597222222222223E-2</v>
      </c>
      <c r="I2434" s="5">
        <v>0.1</v>
      </c>
      <c r="J2434" s="11" t="s">
        <v>3222</v>
      </c>
    </row>
    <row r="2435" spans="1:10" ht="13.15" customHeight="1" x14ac:dyDescent="0.25">
      <c r="A2435">
        <f t="shared" si="333"/>
        <v>2430</v>
      </c>
      <c r="B2435" t="s">
        <v>3220</v>
      </c>
      <c r="C2435" s="2">
        <v>0.44583333333333336</v>
      </c>
      <c r="D2435" s="4">
        <f t="shared" si="340"/>
        <v>0.12777777777777782</v>
      </c>
      <c r="E2435" s="6">
        <v>0.31805555555555554</v>
      </c>
      <c r="F2435" s="5">
        <f t="shared" si="341"/>
        <v>0.71339563862928346</v>
      </c>
      <c r="G2435" s="5">
        <v>0.755</v>
      </c>
      <c r="H2435" s="4">
        <f>56.1/1440</f>
        <v>3.8958333333333331E-2</v>
      </c>
      <c r="I2435" s="5">
        <v>9.1999999999999998E-2</v>
      </c>
      <c r="J2435" s="11" t="s">
        <v>3222</v>
      </c>
    </row>
    <row r="2436" spans="1:10" ht="13.15" customHeight="1" x14ac:dyDescent="0.25">
      <c r="A2436">
        <f t="shared" si="333"/>
        <v>2431</v>
      </c>
      <c r="B2436" t="s">
        <v>3221</v>
      </c>
      <c r="C2436" s="2">
        <v>0.44166666666666665</v>
      </c>
      <c r="D2436" s="4">
        <f t="shared" si="340"/>
        <v>0.12569444444444444</v>
      </c>
      <c r="E2436" s="6">
        <v>0.31597222222222221</v>
      </c>
      <c r="F2436" s="5">
        <f t="shared" si="341"/>
        <v>0.71540880503144655</v>
      </c>
      <c r="G2436" s="5">
        <v>0.80600000000000005</v>
      </c>
      <c r="H2436" s="4">
        <f>68/1440</f>
        <v>4.7222222222222221E-2</v>
      </c>
      <c r="I2436" s="5">
        <v>0.12</v>
      </c>
      <c r="J2436" s="11" t="s">
        <v>3222</v>
      </c>
    </row>
    <row r="2437" spans="1:10" ht="13.15" customHeight="1" x14ac:dyDescent="0.25">
      <c r="A2437">
        <f t="shared" si="333"/>
        <v>2432</v>
      </c>
      <c r="B2437" t="s">
        <v>3224</v>
      </c>
      <c r="C2437" s="2">
        <v>0.43194444444444446</v>
      </c>
      <c r="D2437" s="4">
        <f t="shared" ref="D2437:D2445" si="342">C2437-E2437</f>
        <v>0.10833333333333334</v>
      </c>
      <c r="E2437" s="6">
        <v>0.32361111111111113</v>
      </c>
      <c r="F2437" s="5">
        <f t="shared" ref="F2437:F2445" si="343">E2437/C2437</f>
        <v>0.74919614147909963</v>
      </c>
      <c r="G2437" s="5">
        <v>0.82499999999999996</v>
      </c>
      <c r="H2437" s="4">
        <f>59.3/1440</f>
        <v>4.1180555555555554E-2</v>
      </c>
      <c r="I2437" s="5">
        <v>0.105</v>
      </c>
      <c r="J2437" s="11" t="s">
        <v>3225</v>
      </c>
    </row>
    <row r="2438" spans="1:10" ht="13.15" customHeight="1" x14ac:dyDescent="0.25">
      <c r="A2438">
        <f t="shared" si="333"/>
        <v>2433</v>
      </c>
      <c r="B2438" t="s">
        <v>3226</v>
      </c>
      <c r="C2438" s="2">
        <v>0.44097222222222221</v>
      </c>
      <c r="D2438" s="4">
        <f t="shared" si="342"/>
        <v>0.11249999999999999</v>
      </c>
      <c r="E2438" s="6">
        <v>0.32847222222222222</v>
      </c>
      <c r="F2438" s="5">
        <f t="shared" si="343"/>
        <v>0.74488188976377956</v>
      </c>
      <c r="G2438" s="5">
        <v>0.84899999999999998</v>
      </c>
      <c r="H2438" s="4">
        <f>61.1/1440</f>
        <v>4.2430555555555555E-2</v>
      </c>
      <c r="I2438" s="5">
        <v>0.11</v>
      </c>
      <c r="J2438" s="11" t="s">
        <v>3225</v>
      </c>
    </row>
    <row r="2439" spans="1:10" ht="13.15" customHeight="1" x14ac:dyDescent="0.25">
      <c r="A2439">
        <f t="shared" si="333"/>
        <v>2434</v>
      </c>
      <c r="B2439" t="s">
        <v>3227</v>
      </c>
      <c r="C2439" s="2">
        <v>0.40555555555555556</v>
      </c>
      <c r="D2439" s="4">
        <f t="shared" si="342"/>
        <v>0.10833333333333334</v>
      </c>
      <c r="E2439" s="6">
        <v>0.29722222222222222</v>
      </c>
      <c r="F2439" s="5">
        <f t="shared" si="343"/>
        <v>0.73287671232876717</v>
      </c>
      <c r="G2439" s="5">
        <v>0.78600000000000003</v>
      </c>
      <c r="H2439" s="4">
        <f>53.6/1440</f>
        <v>3.7222222222222226E-2</v>
      </c>
      <c r="I2439" s="5">
        <v>9.8000000000000004E-2</v>
      </c>
      <c r="J2439" s="11" t="s">
        <v>3225</v>
      </c>
    </row>
    <row r="2440" spans="1:10" ht="13.15" customHeight="1" x14ac:dyDescent="0.25">
      <c r="A2440">
        <f t="shared" si="333"/>
        <v>2435</v>
      </c>
      <c r="B2440" t="s">
        <v>3228</v>
      </c>
      <c r="C2440" s="2">
        <v>0.40416666666666667</v>
      </c>
      <c r="D2440" s="4">
        <f t="shared" si="342"/>
        <v>0.10208333333333336</v>
      </c>
      <c r="E2440" s="6">
        <v>0.30208333333333331</v>
      </c>
      <c r="F2440" s="5">
        <f t="shared" si="343"/>
        <v>0.74742268041237103</v>
      </c>
      <c r="G2440" s="5">
        <v>0.78600000000000003</v>
      </c>
      <c r="H2440" s="4">
        <f>53.5/1440</f>
        <v>3.7152777777777778E-2</v>
      </c>
      <c r="I2440" s="5">
        <v>9.7000000000000003E-2</v>
      </c>
      <c r="J2440" s="11" t="s">
        <v>3225</v>
      </c>
    </row>
    <row r="2441" spans="1:10" ht="13.15" customHeight="1" x14ac:dyDescent="0.25">
      <c r="A2441">
        <f t="shared" si="333"/>
        <v>2436</v>
      </c>
      <c r="B2441" t="s">
        <v>3229</v>
      </c>
      <c r="C2441" s="2">
        <v>0.41319444444444442</v>
      </c>
      <c r="D2441" s="4">
        <f t="shared" si="342"/>
        <v>0.10138888888888886</v>
      </c>
      <c r="E2441" s="6">
        <v>0.31180555555555556</v>
      </c>
      <c r="F2441" s="5">
        <f t="shared" si="343"/>
        <v>0.75462184873949589</v>
      </c>
      <c r="G2441" s="5">
        <v>0.84199999999999997</v>
      </c>
      <c r="H2441" s="4">
        <f>59.7/1440</f>
        <v>4.1458333333333333E-2</v>
      </c>
      <c r="I2441" s="5">
        <v>0.112</v>
      </c>
      <c r="J2441" s="11" t="s">
        <v>3225</v>
      </c>
    </row>
    <row r="2442" spans="1:10" ht="13.15" customHeight="1" x14ac:dyDescent="0.25">
      <c r="A2442">
        <f t="shared" si="333"/>
        <v>2437</v>
      </c>
      <c r="B2442" t="s">
        <v>3230</v>
      </c>
      <c r="C2442" s="2">
        <v>0.45069444444444445</v>
      </c>
      <c r="D2442" s="4">
        <f t="shared" si="342"/>
        <v>0.11875000000000002</v>
      </c>
      <c r="E2442" s="6">
        <v>0.33194444444444443</v>
      </c>
      <c r="F2442" s="5">
        <f t="shared" si="343"/>
        <v>0.73651771956856693</v>
      </c>
      <c r="G2442" s="5">
        <v>0.81799999999999995</v>
      </c>
      <c r="H2442" s="4">
        <f>57.5/1440</f>
        <v>3.9930555555555552E-2</v>
      </c>
      <c r="I2442" s="5">
        <v>9.8000000000000004E-2</v>
      </c>
      <c r="J2442" s="11" t="s">
        <v>3231</v>
      </c>
    </row>
    <row r="2443" spans="1:10" ht="13.15" customHeight="1" x14ac:dyDescent="0.25">
      <c r="A2443">
        <f t="shared" si="333"/>
        <v>2438</v>
      </c>
      <c r="B2443" t="s">
        <v>3232</v>
      </c>
      <c r="C2443" s="2">
        <v>0.49236111111111114</v>
      </c>
      <c r="D2443" s="4">
        <f t="shared" si="342"/>
        <v>0.11527777777777781</v>
      </c>
      <c r="E2443" s="6">
        <v>0.37708333333333333</v>
      </c>
      <c r="F2443" s="5">
        <f t="shared" si="343"/>
        <v>0.76586741889985888</v>
      </c>
      <c r="G2443" s="5">
        <v>0.85099999999999998</v>
      </c>
      <c r="H2443" s="4">
        <f>63.3/1440</f>
        <v>4.3958333333333328E-2</v>
      </c>
      <c r="I2443" s="5">
        <v>9.9000000000000005E-2</v>
      </c>
      <c r="J2443" s="11" t="s">
        <v>3231</v>
      </c>
    </row>
    <row r="2444" spans="1:10" ht="13.15" customHeight="1" x14ac:dyDescent="0.25">
      <c r="A2444">
        <f t="shared" si="333"/>
        <v>2439</v>
      </c>
      <c r="B2444" t="s">
        <v>3233</v>
      </c>
      <c r="C2444" s="2">
        <v>0.48194444444444445</v>
      </c>
      <c r="D2444" s="4">
        <f t="shared" si="342"/>
        <v>0.11249999999999999</v>
      </c>
      <c r="E2444" s="6">
        <v>0.36944444444444446</v>
      </c>
      <c r="F2444" s="5">
        <f t="shared" si="343"/>
        <v>0.7665706051873199</v>
      </c>
      <c r="G2444" s="5">
        <v>0.80900000000000005</v>
      </c>
      <c r="H2444" s="4">
        <f>65.5/1440</f>
        <v>4.5486111111111109E-2</v>
      </c>
      <c r="I2444" s="5">
        <v>0.1</v>
      </c>
      <c r="J2444" s="11" t="s">
        <v>3231</v>
      </c>
    </row>
    <row r="2445" spans="1:10" ht="13.15" customHeight="1" x14ac:dyDescent="0.25">
      <c r="A2445">
        <f t="shared" si="333"/>
        <v>2440</v>
      </c>
      <c r="B2445" t="s">
        <v>3234</v>
      </c>
      <c r="C2445" s="2">
        <v>0.46458333333333335</v>
      </c>
      <c r="D2445" s="4">
        <f t="shared" si="342"/>
        <v>0.11597222222222225</v>
      </c>
      <c r="E2445" s="6">
        <v>0.34861111111111109</v>
      </c>
      <c r="F2445" s="5">
        <f t="shared" si="343"/>
        <v>0.75037369207772786</v>
      </c>
      <c r="G2445" s="5">
        <v>0.83799999999999997</v>
      </c>
      <c r="H2445" s="4">
        <f>68.7/1440</f>
        <v>4.7708333333333339E-2</v>
      </c>
      <c r="I2445" s="5">
        <v>0.115</v>
      </c>
      <c r="J2445" s="11" t="s">
        <v>3231</v>
      </c>
    </row>
    <row r="2446" spans="1:10" ht="13.15" customHeight="1" x14ac:dyDescent="0.25">
      <c r="A2446">
        <f t="shared" si="333"/>
        <v>2441</v>
      </c>
      <c r="B2446" t="s">
        <v>3235</v>
      </c>
      <c r="C2446" s="2">
        <v>0.4201388888888889</v>
      </c>
      <c r="D2446" s="4">
        <f t="shared" ref="D2446:D2454" si="344">C2446-E2446</f>
        <v>0.10833333333333334</v>
      </c>
      <c r="E2446" s="6">
        <v>0.31180555555555556</v>
      </c>
      <c r="F2446" s="5">
        <f t="shared" ref="F2446:F2454" si="345">E2446/C2446</f>
        <v>0.74214876033057853</v>
      </c>
      <c r="G2446" s="5">
        <v>0.79400000000000004</v>
      </c>
      <c r="H2446" s="4">
        <f>58.1/1440</f>
        <v>4.0347222222222222E-2</v>
      </c>
      <c r="I2446" s="5">
        <v>0.10299999999999999</v>
      </c>
      <c r="J2446" s="11" t="s">
        <v>3245</v>
      </c>
    </row>
    <row r="2447" spans="1:10" ht="13.15" customHeight="1" x14ac:dyDescent="0.25">
      <c r="A2447">
        <f t="shared" si="333"/>
        <v>2442</v>
      </c>
      <c r="B2447" t="s">
        <v>3236</v>
      </c>
      <c r="C2447" s="2">
        <v>0.44305555555555554</v>
      </c>
      <c r="D2447" s="4">
        <f t="shared" si="344"/>
        <v>0.1111111111111111</v>
      </c>
      <c r="E2447" s="6">
        <v>0.33194444444444443</v>
      </c>
      <c r="F2447" s="5">
        <f t="shared" si="345"/>
        <v>0.7492163009404389</v>
      </c>
      <c r="G2447" s="5">
        <v>0.82</v>
      </c>
      <c r="H2447" s="4">
        <f>65.7/1440</f>
        <v>4.5624999999999999E-2</v>
      </c>
      <c r="I2447" s="5">
        <v>0.113</v>
      </c>
      <c r="J2447" s="11" t="s">
        <v>3245</v>
      </c>
    </row>
    <row r="2448" spans="1:10" ht="13.15" customHeight="1" x14ac:dyDescent="0.25">
      <c r="A2448">
        <f t="shared" si="333"/>
        <v>2443</v>
      </c>
      <c r="B2448" t="s">
        <v>3237</v>
      </c>
      <c r="C2448" s="2">
        <v>0.40347222222222223</v>
      </c>
      <c r="D2448" s="4">
        <f t="shared" si="344"/>
        <v>0.11527777777777781</v>
      </c>
      <c r="E2448" s="6">
        <v>0.28819444444444442</v>
      </c>
      <c r="F2448" s="5">
        <f t="shared" si="345"/>
        <v>0.71428571428571419</v>
      </c>
      <c r="G2448" s="5">
        <v>0.76100000000000001</v>
      </c>
      <c r="H2448" s="4">
        <f>54.2/1440</f>
        <v>3.7638888888888888E-2</v>
      </c>
      <c r="I2448" s="5">
        <v>9.9000000000000005E-2</v>
      </c>
      <c r="J2448" s="11" t="s">
        <v>3245</v>
      </c>
    </row>
    <row r="2449" spans="1:10" ht="13.15" customHeight="1" x14ac:dyDescent="0.25">
      <c r="A2449">
        <f t="shared" si="333"/>
        <v>2444</v>
      </c>
      <c r="B2449" t="s">
        <v>3238</v>
      </c>
      <c r="C2449" s="2">
        <v>0.41180555555555554</v>
      </c>
      <c r="D2449" s="4">
        <f t="shared" si="344"/>
        <v>0.10833333333333334</v>
      </c>
      <c r="E2449" s="6">
        <v>0.3034722222222222</v>
      </c>
      <c r="F2449" s="5">
        <f t="shared" si="345"/>
        <v>0.73693086003372676</v>
      </c>
      <c r="G2449" s="5">
        <v>0.75600000000000001</v>
      </c>
      <c r="H2449" s="4">
        <f>51.9/1440</f>
        <v>3.6041666666666666E-2</v>
      </c>
      <c r="I2449" s="5">
        <v>0.09</v>
      </c>
      <c r="J2449" s="11" t="s">
        <v>3245</v>
      </c>
    </row>
    <row r="2450" spans="1:10" ht="13.15" customHeight="1" x14ac:dyDescent="0.25">
      <c r="A2450">
        <f t="shared" si="333"/>
        <v>2445</v>
      </c>
      <c r="B2450" t="s">
        <v>3239</v>
      </c>
      <c r="C2450" s="2">
        <v>0.3840277777777778</v>
      </c>
      <c r="D2450" s="4">
        <f t="shared" si="344"/>
        <v>9.4444444444444442E-2</v>
      </c>
      <c r="E2450" s="6">
        <v>0.28958333333333336</v>
      </c>
      <c r="F2450" s="5">
        <f t="shared" si="345"/>
        <v>0.75406871609403259</v>
      </c>
      <c r="G2450" s="5">
        <v>0.84099999999999997</v>
      </c>
      <c r="H2450" s="4">
        <f>55.9/1440</f>
        <v>3.8819444444444441E-2</v>
      </c>
      <c r="I2450" s="5">
        <v>0.113</v>
      </c>
      <c r="J2450" s="11" t="s">
        <v>3245</v>
      </c>
    </row>
    <row r="2451" spans="1:10" ht="13.15" customHeight="1" x14ac:dyDescent="0.25">
      <c r="A2451">
        <f t="shared" si="333"/>
        <v>2446</v>
      </c>
      <c r="B2451" t="s">
        <v>3240</v>
      </c>
      <c r="C2451" s="2">
        <v>0.42222222222222222</v>
      </c>
      <c r="D2451" s="4">
        <f t="shared" si="344"/>
        <v>0.10625000000000001</v>
      </c>
      <c r="E2451" s="6">
        <v>0.31597222222222221</v>
      </c>
      <c r="F2451" s="5">
        <f t="shared" si="345"/>
        <v>0.74835526315789469</v>
      </c>
      <c r="G2451" s="5">
        <v>0.78600000000000003</v>
      </c>
      <c r="H2451" s="4">
        <f>60.3/1440</f>
        <v>4.1874999999999996E-2</v>
      </c>
      <c r="I2451" s="5">
        <v>0.104</v>
      </c>
      <c r="J2451" s="11" t="s">
        <v>3244</v>
      </c>
    </row>
    <row r="2452" spans="1:10" ht="13.15" customHeight="1" x14ac:dyDescent="0.25">
      <c r="A2452">
        <f t="shared" si="333"/>
        <v>2447</v>
      </c>
      <c r="B2452" t="s">
        <v>3241</v>
      </c>
      <c r="C2452" s="2">
        <v>0.44861111111111113</v>
      </c>
      <c r="D2452" s="4">
        <f t="shared" si="344"/>
        <v>0.11388888888888893</v>
      </c>
      <c r="E2452" s="6">
        <v>0.3347222222222222</v>
      </c>
      <c r="F2452" s="5">
        <f t="shared" si="345"/>
        <v>0.74613003095975228</v>
      </c>
      <c r="G2452" s="5">
        <v>0.82299999999999995</v>
      </c>
      <c r="H2452" s="4">
        <f>54.6/1440</f>
        <v>3.7916666666666668E-2</v>
      </c>
      <c r="I2452" s="5">
        <v>9.2999999999999999E-2</v>
      </c>
      <c r="J2452" s="11" t="s">
        <v>3244</v>
      </c>
    </row>
    <row r="2453" spans="1:10" ht="13.15" customHeight="1" x14ac:dyDescent="0.25">
      <c r="A2453">
        <f t="shared" si="333"/>
        <v>2448</v>
      </c>
      <c r="B2453" t="s">
        <v>3242</v>
      </c>
      <c r="C2453" s="2">
        <v>0.45902777777777776</v>
      </c>
      <c r="D2453" s="4">
        <f t="shared" si="344"/>
        <v>0.1069444444444444</v>
      </c>
      <c r="E2453" s="6">
        <v>0.35208333333333336</v>
      </c>
      <c r="F2453" s="5">
        <f t="shared" si="345"/>
        <v>0.76701966717095316</v>
      </c>
      <c r="G2453" s="5">
        <v>0.80300000000000005</v>
      </c>
      <c r="H2453" s="4">
        <f>58.3/1440</f>
        <v>4.0486111111111112E-2</v>
      </c>
      <c r="I2453" s="5">
        <v>9.1999999999999998E-2</v>
      </c>
      <c r="J2453" s="11" t="s">
        <v>3244</v>
      </c>
    </row>
    <row r="2454" spans="1:10" ht="13.15" customHeight="1" x14ac:dyDescent="0.25">
      <c r="A2454">
        <f t="shared" si="333"/>
        <v>2449</v>
      </c>
      <c r="B2454" t="s">
        <v>3243</v>
      </c>
      <c r="C2454" s="2">
        <v>0.41041666666666665</v>
      </c>
      <c r="D2454" s="4">
        <f t="shared" si="344"/>
        <v>9.6527777777777768E-2</v>
      </c>
      <c r="E2454" s="6">
        <v>0.31388888888888888</v>
      </c>
      <c r="F2454" s="5">
        <f t="shared" si="345"/>
        <v>0.76480541455160744</v>
      </c>
      <c r="G2454" s="5">
        <v>0.78500000000000003</v>
      </c>
      <c r="H2454" s="4">
        <f>64.7/1440</f>
        <v>4.4930555555555557E-2</v>
      </c>
      <c r="I2454" s="5">
        <v>0.112</v>
      </c>
      <c r="J2454" s="11" t="s">
        <v>3244</v>
      </c>
    </row>
    <row r="2455" spans="1:10" ht="13.15" customHeight="1" x14ac:dyDescent="0.25">
      <c r="A2455">
        <f t="shared" si="333"/>
        <v>2450</v>
      </c>
      <c r="B2455" t="s">
        <v>3246</v>
      </c>
      <c r="C2455" s="2">
        <v>0.41041666666666665</v>
      </c>
      <c r="D2455" s="4">
        <f t="shared" ref="D2455:D2463" si="346">C2455-E2455</f>
        <v>0.1159722222222222</v>
      </c>
      <c r="E2455" s="6">
        <v>0.29444444444444445</v>
      </c>
      <c r="F2455" s="5">
        <f t="shared" ref="F2455:F2463" si="347">E2455/C2455</f>
        <v>0.71742808798646363</v>
      </c>
      <c r="G2455" s="5">
        <v>0.78300000000000003</v>
      </c>
      <c r="H2455" s="4">
        <f>54.5/1440</f>
        <v>3.784722222222222E-2</v>
      </c>
      <c r="I2455" s="5">
        <v>0.1</v>
      </c>
      <c r="J2455" s="11" t="s">
        <v>3256</v>
      </c>
    </row>
    <row r="2456" spans="1:10" ht="13.15" customHeight="1" x14ac:dyDescent="0.25">
      <c r="A2456">
        <f t="shared" si="333"/>
        <v>2451</v>
      </c>
      <c r="B2456" t="s">
        <v>3247</v>
      </c>
      <c r="C2456" s="2">
        <v>0.41041666666666665</v>
      </c>
      <c r="D2456" s="4">
        <f t="shared" si="346"/>
        <v>0.11666666666666664</v>
      </c>
      <c r="E2456" s="6">
        <v>0.29375000000000001</v>
      </c>
      <c r="F2456" s="5">
        <f t="shared" si="347"/>
        <v>0.71573604060913709</v>
      </c>
      <c r="G2456" s="5">
        <v>0.81399999999999995</v>
      </c>
      <c r="H2456" s="4">
        <f>56.5/1440</f>
        <v>3.923611111111111E-2</v>
      </c>
      <c r="I2456" s="5">
        <v>0.109</v>
      </c>
      <c r="J2456" s="11" t="s">
        <v>3256</v>
      </c>
    </row>
    <row r="2457" spans="1:10" ht="13.15" customHeight="1" x14ac:dyDescent="0.25">
      <c r="A2457">
        <f t="shared" si="333"/>
        <v>2452</v>
      </c>
      <c r="B2457" t="s">
        <v>3248</v>
      </c>
      <c r="C2457" s="2">
        <v>0.37083333333333335</v>
      </c>
      <c r="D2457" s="4">
        <f t="shared" si="346"/>
        <v>0.1166666666666667</v>
      </c>
      <c r="E2457" s="6">
        <v>0.25416666666666665</v>
      </c>
      <c r="F2457" s="5">
        <f t="shared" si="347"/>
        <v>0.68539325842696619</v>
      </c>
      <c r="G2457" s="5">
        <v>0.72099999999999997</v>
      </c>
      <c r="H2457" s="4">
        <f>48.7/1440</f>
        <v>3.3819444444444444E-2</v>
      </c>
      <c r="I2457" s="5">
        <v>9.6000000000000002E-2</v>
      </c>
      <c r="J2457" s="11" t="s">
        <v>3256</v>
      </c>
    </row>
    <row r="2458" spans="1:10" ht="13.15" customHeight="1" x14ac:dyDescent="0.25">
      <c r="A2458">
        <f t="shared" ref="A2458:A2521" si="348">A2457+1</f>
        <v>2453</v>
      </c>
      <c r="B2458" t="s">
        <v>3249</v>
      </c>
      <c r="C2458" s="2">
        <v>0.39930555555555558</v>
      </c>
      <c r="D2458" s="4">
        <f t="shared" si="346"/>
        <v>0.11319444444444449</v>
      </c>
      <c r="E2458" s="6">
        <v>0.28611111111111109</v>
      </c>
      <c r="F2458" s="5">
        <f t="shared" si="347"/>
        <v>0.71652173913043471</v>
      </c>
      <c r="G2458" s="5">
        <v>0.75</v>
      </c>
      <c r="H2458" s="4">
        <f>50.7/1440</f>
        <v>3.5208333333333335E-2</v>
      </c>
      <c r="I2458" s="5">
        <v>9.1999999999999998E-2</v>
      </c>
      <c r="J2458" s="11" t="s">
        <v>3256</v>
      </c>
    </row>
    <row r="2459" spans="1:10" ht="13.15" customHeight="1" x14ac:dyDescent="0.25">
      <c r="A2459">
        <f t="shared" si="348"/>
        <v>2454</v>
      </c>
      <c r="B2459" t="s">
        <v>3250</v>
      </c>
      <c r="C2459" s="2">
        <v>0.42152777777777778</v>
      </c>
      <c r="D2459" s="4">
        <f t="shared" si="346"/>
        <v>0.12222222222222223</v>
      </c>
      <c r="E2459" s="6">
        <v>0.29930555555555555</v>
      </c>
      <c r="F2459" s="5">
        <f t="shared" si="347"/>
        <v>0.71004942339373966</v>
      </c>
      <c r="G2459" s="5">
        <v>0.82499999999999996</v>
      </c>
      <c r="H2459" s="4">
        <f>56.2/1440</f>
        <v>3.9027777777777779E-2</v>
      </c>
      <c r="I2459" s="5">
        <v>0.107</v>
      </c>
      <c r="J2459" s="11" t="s">
        <v>3256</v>
      </c>
    </row>
    <row r="2460" spans="1:10" ht="13.15" customHeight="1" x14ac:dyDescent="0.25">
      <c r="A2460">
        <f t="shared" si="348"/>
        <v>2455</v>
      </c>
      <c r="B2460" t="s">
        <v>3251</v>
      </c>
      <c r="C2460" s="2">
        <v>0.41736111111111113</v>
      </c>
      <c r="D2460" s="4">
        <f t="shared" si="346"/>
        <v>0.10902777777777778</v>
      </c>
      <c r="E2460" s="6">
        <v>0.30833333333333335</v>
      </c>
      <c r="F2460" s="5">
        <f t="shared" si="347"/>
        <v>0.73876871880199668</v>
      </c>
      <c r="G2460" s="5">
        <v>0.77600000000000002</v>
      </c>
      <c r="H2460" s="4">
        <f>57.5/1440</f>
        <v>3.9930555555555552E-2</v>
      </c>
      <c r="I2460" s="5">
        <v>0.1</v>
      </c>
      <c r="J2460" s="11" t="s">
        <v>3255</v>
      </c>
    </row>
    <row r="2461" spans="1:10" ht="13.15" customHeight="1" x14ac:dyDescent="0.25">
      <c r="A2461">
        <f t="shared" si="348"/>
        <v>2456</v>
      </c>
      <c r="B2461" t="s">
        <v>3252</v>
      </c>
      <c r="C2461" s="2">
        <v>0.4861111111111111</v>
      </c>
      <c r="D2461" s="4">
        <f t="shared" si="346"/>
        <v>0.11944444444444446</v>
      </c>
      <c r="E2461" s="6">
        <v>0.36666666666666664</v>
      </c>
      <c r="F2461" s="5">
        <f t="shared" si="347"/>
        <v>0.75428571428571423</v>
      </c>
      <c r="G2461" s="5">
        <v>0.82299999999999995</v>
      </c>
      <c r="H2461" s="4">
        <f>57.7/1440</f>
        <v>4.0069444444444449E-2</v>
      </c>
      <c r="I2461" s="5">
        <v>0.09</v>
      </c>
      <c r="J2461" s="11" t="s">
        <v>3255</v>
      </c>
    </row>
    <row r="2462" spans="1:10" ht="13.15" customHeight="1" x14ac:dyDescent="0.25">
      <c r="A2462">
        <f t="shared" si="348"/>
        <v>2457</v>
      </c>
      <c r="B2462" t="s">
        <v>3253</v>
      </c>
      <c r="C2462" s="2">
        <v>0.47361111111111109</v>
      </c>
      <c r="D2462" s="4">
        <f t="shared" si="346"/>
        <v>0.11944444444444441</v>
      </c>
      <c r="E2462" s="6">
        <v>0.35416666666666669</v>
      </c>
      <c r="F2462" s="5">
        <f t="shared" si="347"/>
        <v>0.74780058651026404</v>
      </c>
      <c r="G2462" s="5">
        <v>0.81399999999999995</v>
      </c>
      <c r="H2462" s="4">
        <f>55.5/1440</f>
        <v>3.8541666666666669E-2</v>
      </c>
      <c r="I2462" s="5">
        <v>8.7999999999999995E-2</v>
      </c>
      <c r="J2462" s="11" t="s">
        <v>3255</v>
      </c>
    </row>
    <row r="2463" spans="1:10" ht="13.15" customHeight="1" x14ac:dyDescent="0.25">
      <c r="A2463">
        <f t="shared" si="348"/>
        <v>2458</v>
      </c>
      <c r="B2463" t="s">
        <v>3254</v>
      </c>
      <c r="C2463" s="2">
        <v>0.4236111111111111</v>
      </c>
      <c r="D2463" s="4">
        <f t="shared" si="346"/>
        <v>0.11736111111111108</v>
      </c>
      <c r="E2463" s="6">
        <v>0.30625000000000002</v>
      </c>
      <c r="F2463" s="5">
        <f t="shared" si="347"/>
        <v>0.72295081967213126</v>
      </c>
      <c r="G2463" s="5">
        <v>0.82</v>
      </c>
      <c r="H2463" s="4">
        <f>61.6/1440</f>
        <v>4.2777777777777776E-2</v>
      </c>
      <c r="I2463" s="5">
        <v>0.114</v>
      </c>
      <c r="J2463" s="11" t="s">
        <v>3255</v>
      </c>
    </row>
    <row r="2464" spans="1:10" ht="13.15" customHeight="1" x14ac:dyDescent="0.25">
      <c r="A2464">
        <f t="shared" si="348"/>
        <v>2459</v>
      </c>
      <c r="B2464" t="s">
        <v>3257</v>
      </c>
      <c r="C2464" s="2">
        <v>0.41319444444444442</v>
      </c>
      <c r="D2464" s="4">
        <f t="shared" ref="D2464:D2472" si="349">C2464-E2464</f>
        <v>0.10555555555555551</v>
      </c>
      <c r="E2464" s="6">
        <v>0.30763888888888891</v>
      </c>
      <c r="F2464" s="5">
        <f t="shared" ref="F2464:F2472" si="350">E2464/C2464</f>
        <v>0.74453781512605055</v>
      </c>
      <c r="G2464" s="5">
        <v>0.77900000000000003</v>
      </c>
      <c r="H2464" s="4">
        <f>58.7/1440</f>
        <v>4.0763888888888891E-2</v>
      </c>
      <c r="I2464" s="5">
        <v>0.10299999999999999</v>
      </c>
      <c r="J2464" s="11" t="s">
        <v>3267</v>
      </c>
    </row>
    <row r="2465" spans="1:10" ht="13.15" customHeight="1" x14ac:dyDescent="0.25">
      <c r="A2465">
        <f t="shared" si="348"/>
        <v>2460</v>
      </c>
      <c r="B2465" t="s">
        <v>3258</v>
      </c>
      <c r="C2465" s="2">
        <v>0.42083333333333334</v>
      </c>
      <c r="D2465" s="4">
        <f t="shared" si="349"/>
        <v>0.10902777777777778</v>
      </c>
      <c r="E2465" s="6">
        <v>0.31180555555555556</v>
      </c>
      <c r="F2465" s="5">
        <f t="shared" si="350"/>
        <v>0.74092409240924095</v>
      </c>
      <c r="G2465" s="5">
        <v>0.80600000000000005</v>
      </c>
      <c r="H2465" s="4">
        <f>62.7/1440</f>
        <v>4.3541666666666666E-2</v>
      </c>
      <c r="I2465" s="5">
        <v>0.112</v>
      </c>
      <c r="J2465" s="11" t="s">
        <v>3267</v>
      </c>
    </row>
    <row r="2466" spans="1:10" ht="13.15" customHeight="1" x14ac:dyDescent="0.25">
      <c r="A2466">
        <f t="shared" si="348"/>
        <v>2461</v>
      </c>
      <c r="B2466" t="s">
        <v>3259</v>
      </c>
      <c r="C2466" s="2">
        <v>0.38472222222222224</v>
      </c>
      <c r="D2466" s="4">
        <f t="shared" si="349"/>
        <v>0.10555555555555557</v>
      </c>
      <c r="E2466" s="6">
        <v>0.27916666666666667</v>
      </c>
      <c r="F2466" s="5">
        <f t="shared" si="350"/>
        <v>0.72563176895306858</v>
      </c>
      <c r="G2466" s="5">
        <v>0.73499999999999999</v>
      </c>
      <c r="H2466" s="4">
        <f>53.2/1440</f>
        <v>3.6944444444444446E-2</v>
      </c>
      <c r="I2466" s="5">
        <v>9.7000000000000003E-2</v>
      </c>
      <c r="J2466" s="11" t="s">
        <v>3267</v>
      </c>
    </row>
    <row r="2467" spans="1:10" ht="13.15" customHeight="1" x14ac:dyDescent="0.25">
      <c r="A2467">
        <f t="shared" si="348"/>
        <v>2462</v>
      </c>
      <c r="B2467" t="s">
        <v>3260</v>
      </c>
      <c r="C2467" s="2">
        <v>0.3923611111111111</v>
      </c>
      <c r="D2467" s="4">
        <f t="shared" si="349"/>
        <v>0.10347222222222224</v>
      </c>
      <c r="E2467" s="6">
        <v>0.28888888888888886</v>
      </c>
      <c r="F2467" s="5">
        <f t="shared" si="350"/>
        <v>0.73628318584070795</v>
      </c>
      <c r="G2467" s="5">
        <v>0.71799999999999997</v>
      </c>
      <c r="H2467" s="4">
        <f>53.9/1440</f>
        <v>3.7430555555555557E-2</v>
      </c>
      <c r="I2467" s="5">
        <v>9.2999999999999999E-2</v>
      </c>
      <c r="J2467" s="11" t="s">
        <v>3267</v>
      </c>
    </row>
    <row r="2468" spans="1:10" ht="13.15" customHeight="1" x14ac:dyDescent="0.25">
      <c r="A2468">
        <f t="shared" si="348"/>
        <v>2463</v>
      </c>
      <c r="B2468" t="s">
        <v>3261</v>
      </c>
      <c r="C2468" s="2">
        <v>0.40069444444444446</v>
      </c>
      <c r="D2468" s="4">
        <f t="shared" si="349"/>
        <v>9.7916666666666707E-2</v>
      </c>
      <c r="E2468" s="6">
        <v>0.30277777777777776</v>
      </c>
      <c r="F2468" s="5">
        <f t="shared" si="350"/>
        <v>0.75563258232235697</v>
      </c>
      <c r="G2468" s="5">
        <v>0.82099999999999995</v>
      </c>
      <c r="H2468" s="4">
        <f>56.5/1440</f>
        <v>3.923611111111111E-2</v>
      </c>
      <c r="I2468" s="5">
        <v>0.106</v>
      </c>
      <c r="J2468" s="11" t="s">
        <v>3267</v>
      </c>
    </row>
    <row r="2469" spans="1:10" ht="13.15" customHeight="1" x14ac:dyDescent="0.25">
      <c r="A2469">
        <f t="shared" si="348"/>
        <v>2464</v>
      </c>
      <c r="B2469" t="s">
        <v>3262</v>
      </c>
      <c r="C2469" s="2">
        <v>0.41805555555555557</v>
      </c>
      <c r="D2469" s="4">
        <f t="shared" si="349"/>
        <v>0.10555555555555557</v>
      </c>
      <c r="E2469" s="6">
        <v>0.3125</v>
      </c>
      <c r="F2469" s="5">
        <f t="shared" si="350"/>
        <v>0.74750830564784054</v>
      </c>
      <c r="G2469" s="5">
        <v>0.78900000000000003</v>
      </c>
      <c r="H2469" s="4">
        <f>60.3/1440</f>
        <v>4.1874999999999996E-2</v>
      </c>
      <c r="I2469" s="5">
        <v>0.106</v>
      </c>
      <c r="J2469" s="11" t="s">
        <v>3266</v>
      </c>
    </row>
    <row r="2470" spans="1:10" ht="13.15" customHeight="1" x14ac:dyDescent="0.25">
      <c r="A2470">
        <f t="shared" si="348"/>
        <v>2465</v>
      </c>
      <c r="B2470" t="s">
        <v>3263</v>
      </c>
      <c r="C2470" s="2">
        <v>0.46388888888888891</v>
      </c>
      <c r="D2470" s="4">
        <f t="shared" si="349"/>
        <v>0.11319444444444449</v>
      </c>
      <c r="E2470" s="6">
        <v>0.35069444444444442</v>
      </c>
      <c r="F2470" s="5">
        <f t="shared" si="350"/>
        <v>0.75598802395209574</v>
      </c>
      <c r="G2470" s="5">
        <v>0.81599999999999995</v>
      </c>
      <c r="H2470" s="4">
        <f>59.2/1440</f>
        <v>4.1111111111111112E-2</v>
      </c>
      <c r="I2470" s="5">
        <v>9.6000000000000002E-2</v>
      </c>
      <c r="J2470" s="11" t="s">
        <v>3266</v>
      </c>
    </row>
    <row r="2471" spans="1:10" ht="13.15" customHeight="1" x14ac:dyDescent="0.25">
      <c r="A2471">
        <f t="shared" si="348"/>
        <v>2466</v>
      </c>
      <c r="B2471" t="s">
        <v>3264</v>
      </c>
      <c r="C2471" s="2">
        <v>0.46180555555555558</v>
      </c>
      <c r="D2471" s="4">
        <f t="shared" si="349"/>
        <v>0.11041666666666672</v>
      </c>
      <c r="E2471" s="6">
        <v>0.35138888888888886</v>
      </c>
      <c r="F2471" s="5">
        <f t="shared" si="350"/>
        <v>0.76090225563909764</v>
      </c>
      <c r="G2471" s="5">
        <v>0.77600000000000002</v>
      </c>
      <c r="H2471" s="4">
        <f>60.7/1440</f>
        <v>4.2152777777777782E-2</v>
      </c>
      <c r="I2471" s="5">
        <v>9.2999999999999999E-2</v>
      </c>
      <c r="J2471" s="11" t="s">
        <v>3266</v>
      </c>
    </row>
    <row r="2472" spans="1:10" ht="13.15" customHeight="1" x14ac:dyDescent="0.25">
      <c r="A2472">
        <f t="shared" si="348"/>
        <v>2467</v>
      </c>
      <c r="B2472" t="s">
        <v>3265</v>
      </c>
      <c r="C2472" s="2">
        <v>0.44791666666666669</v>
      </c>
      <c r="D2472" s="4">
        <f t="shared" si="349"/>
        <v>0.1076388888888889</v>
      </c>
      <c r="E2472" s="6">
        <v>0.34027777777777779</v>
      </c>
      <c r="F2472" s="5">
        <f t="shared" si="350"/>
        <v>0.75968992248062017</v>
      </c>
      <c r="G2472" s="5">
        <v>0.78700000000000003</v>
      </c>
      <c r="H2472" s="4">
        <f>69.6/1440</f>
        <v>4.8333333333333332E-2</v>
      </c>
      <c r="I2472" s="5">
        <v>0.112</v>
      </c>
      <c r="J2472" s="11" t="s">
        <v>3266</v>
      </c>
    </row>
    <row r="2473" spans="1:10" ht="13.15" customHeight="1" x14ac:dyDescent="0.25">
      <c r="A2473">
        <f t="shared" si="348"/>
        <v>2468</v>
      </c>
      <c r="B2473" t="s">
        <v>3270</v>
      </c>
      <c r="C2473" s="2">
        <v>0.36944444444444446</v>
      </c>
      <c r="D2473" s="4">
        <f t="shared" ref="D2473:D2481" si="351">C2473-E2473</f>
        <v>9.8611111111111149E-2</v>
      </c>
      <c r="E2473" s="6">
        <v>0.27083333333333331</v>
      </c>
      <c r="F2473" s="5">
        <f t="shared" ref="F2473:F2481" si="352">E2473/C2473</f>
        <v>0.73308270676691722</v>
      </c>
      <c r="G2473" s="5">
        <v>0.72799999999999998</v>
      </c>
      <c r="H2473" s="4">
        <f>56.3/1440</f>
        <v>3.9097222222222221E-2</v>
      </c>
      <c r="I2473" s="5">
        <v>0.105</v>
      </c>
      <c r="J2473" s="11" t="s">
        <v>3269</v>
      </c>
    </row>
    <row r="2474" spans="1:10" ht="13.15" customHeight="1" x14ac:dyDescent="0.25">
      <c r="A2474">
        <f t="shared" si="348"/>
        <v>2469</v>
      </c>
      <c r="B2474" t="s">
        <v>3271</v>
      </c>
      <c r="C2474" s="2">
        <v>0.41111111111111109</v>
      </c>
      <c r="D2474" s="4">
        <f t="shared" si="351"/>
        <v>0.10486111111111107</v>
      </c>
      <c r="E2474" s="6">
        <v>0.30625000000000002</v>
      </c>
      <c r="F2474" s="5">
        <f t="shared" si="352"/>
        <v>0.74493243243243257</v>
      </c>
      <c r="G2474" s="5">
        <v>0.77200000000000002</v>
      </c>
      <c r="H2474" s="4">
        <f>48.3/1440</f>
        <v>3.3541666666666664E-2</v>
      </c>
      <c r="I2474" s="5">
        <v>8.5000000000000006E-2</v>
      </c>
      <c r="J2474" s="11" t="s">
        <v>3269</v>
      </c>
    </row>
    <row r="2475" spans="1:10" ht="13.15" customHeight="1" x14ac:dyDescent="0.25">
      <c r="A2475">
        <f t="shared" si="348"/>
        <v>2470</v>
      </c>
      <c r="B2475" t="s">
        <v>3272</v>
      </c>
      <c r="C2475" s="2">
        <v>0.32708333333333334</v>
      </c>
      <c r="D2475" s="4">
        <f t="shared" si="351"/>
        <v>0.10902777777777778</v>
      </c>
      <c r="E2475" s="6">
        <v>0.21805555555555556</v>
      </c>
      <c r="F2475" s="5">
        <f t="shared" si="352"/>
        <v>0.66666666666666663</v>
      </c>
      <c r="G2475" s="5">
        <v>0.64200000000000002</v>
      </c>
      <c r="H2475" s="4">
        <f>47/1440</f>
        <v>3.2638888888888891E-2</v>
      </c>
      <c r="I2475" s="5">
        <v>9.6000000000000002E-2</v>
      </c>
      <c r="J2475" s="11" t="s">
        <v>3269</v>
      </c>
    </row>
    <row r="2476" spans="1:10" ht="13.15" customHeight="1" x14ac:dyDescent="0.25">
      <c r="A2476">
        <f t="shared" si="348"/>
        <v>2471</v>
      </c>
      <c r="B2476" t="s">
        <v>3273</v>
      </c>
      <c r="C2476" s="2">
        <v>0.39791666666666664</v>
      </c>
      <c r="D2476" s="4">
        <f t="shared" si="351"/>
        <v>0.10277777777777775</v>
      </c>
      <c r="E2476" s="6">
        <v>0.2951388888888889</v>
      </c>
      <c r="F2476" s="5">
        <f t="shared" si="352"/>
        <v>0.7417102966841187</v>
      </c>
      <c r="G2476" s="5">
        <v>0.61899999999999999</v>
      </c>
      <c r="H2476" s="4">
        <f>45.3/1440</f>
        <v>3.1458333333333331E-2</v>
      </c>
      <c r="I2476" s="5">
        <v>6.6000000000000003E-2</v>
      </c>
      <c r="J2476" s="11" t="s">
        <v>3269</v>
      </c>
    </row>
    <row r="2477" spans="1:10" ht="13.15" customHeight="1" x14ac:dyDescent="0.25">
      <c r="A2477">
        <f t="shared" si="348"/>
        <v>2472</v>
      </c>
      <c r="B2477" t="s">
        <v>3274</v>
      </c>
      <c r="C2477" s="2">
        <v>0.37083333333333335</v>
      </c>
      <c r="D2477" s="4">
        <f t="shared" si="351"/>
        <v>0.10972222222222222</v>
      </c>
      <c r="E2477" s="6">
        <v>0.26111111111111113</v>
      </c>
      <c r="F2477" s="5">
        <f t="shared" si="352"/>
        <v>0.70411985018726597</v>
      </c>
      <c r="G2477" s="5">
        <v>0.70799999999999996</v>
      </c>
      <c r="H2477" s="4">
        <f>77.3/1440</f>
        <v>5.3680555555555551E-2</v>
      </c>
      <c r="I2477" s="5">
        <v>0.14599999999999999</v>
      </c>
      <c r="J2477" s="11" t="s">
        <v>3269</v>
      </c>
    </row>
    <row r="2478" spans="1:10" ht="13.15" customHeight="1" x14ac:dyDescent="0.25">
      <c r="A2478">
        <f t="shared" si="348"/>
        <v>2473</v>
      </c>
      <c r="B2478" t="s">
        <v>3275</v>
      </c>
      <c r="C2478" s="2">
        <v>0.33680555555555558</v>
      </c>
      <c r="D2478" s="4">
        <f t="shared" si="351"/>
        <v>9.3055555555555586E-2</v>
      </c>
      <c r="E2478" s="6">
        <v>0.24374999999999999</v>
      </c>
      <c r="F2478" s="5">
        <f t="shared" si="352"/>
        <v>0.72371134020618555</v>
      </c>
      <c r="G2478" s="5">
        <v>0.83099999999999996</v>
      </c>
      <c r="H2478" s="4">
        <f>57.1/1440</f>
        <v>3.965277777777778E-2</v>
      </c>
      <c r="I2478" s="5">
        <v>0.13500000000000001</v>
      </c>
      <c r="J2478" s="11" t="s">
        <v>3268</v>
      </c>
    </row>
    <row r="2479" spans="1:10" ht="13.15" customHeight="1" x14ac:dyDescent="0.25">
      <c r="A2479">
        <f t="shared" si="348"/>
        <v>2474</v>
      </c>
      <c r="B2479" t="s">
        <v>3276</v>
      </c>
      <c r="C2479" s="2">
        <v>0.37638888888888888</v>
      </c>
      <c r="D2479" s="4">
        <f t="shared" si="351"/>
        <v>8.8888888888888906E-2</v>
      </c>
      <c r="E2479" s="6">
        <v>0.28749999999999998</v>
      </c>
      <c r="F2479" s="5">
        <f t="shared" si="352"/>
        <v>0.76383763837638374</v>
      </c>
      <c r="G2479" s="5">
        <v>0.85</v>
      </c>
      <c r="H2479" s="4">
        <f>70.3/1440</f>
        <v>4.8819444444444443E-2</v>
      </c>
      <c r="I2479" s="5">
        <v>0.14399999999999999</v>
      </c>
      <c r="J2479" s="11" t="s">
        <v>3268</v>
      </c>
    </row>
    <row r="2480" spans="1:10" ht="13.15" customHeight="1" x14ac:dyDescent="0.25">
      <c r="A2480">
        <f t="shared" si="348"/>
        <v>2475</v>
      </c>
      <c r="B2480" t="s">
        <v>3277</v>
      </c>
      <c r="C2480" s="2">
        <v>0.34375</v>
      </c>
      <c r="D2480" s="4">
        <f t="shared" si="351"/>
        <v>0.10694444444444445</v>
      </c>
      <c r="E2480" s="6">
        <v>0.23680555555555555</v>
      </c>
      <c r="F2480" s="5">
        <f t="shared" si="352"/>
        <v>0.68888888888888888</v>
      </c>
      <c r="G2480" s="5">
        <v>0.72899999999999998</v>
      </c>
      <c r="H2480" s="4">
        <f>62.9/1440</f>
        <v>4.3680555555555556E-2</v>
      </c>
      <c r="I2480" s="5">
        <v>0.13400000000000001</v>
      </c>
      <c r="J2480" s="11" t="s">
        <v>3268</v>
      </c>
    </row>
    <row r="2481" spans="1:10" ht="13.15" customHeight="1" x14ac:dyDescent="0.25">
      <c r="A2481">
        <f t="shared" si="348"/>
        <v>2476</v>
      </c>
      <c r="B2481" t="s">
        <v>3278</v>
      </c>
      <c r="C2481" s="2">
        <v>0.42152777777777778</v>
      </c>
      <c r="D2481" s="4">
        <f t="shared" si="351"/>
        <v>0.10902777777777778</v>
      </c>
      <c r="E2481" s="6">
        <v>0.3125</v>
      </c>
      <c r="F2481" s="5">
        <f t="shared" si="352"/>
        <v>0.74135090609555188</v>
      </c>
      <c r="G2481" s="5">
        <v>0.79600000000000004</v>
      </c>
      <c r="H2481" s="4">
        <f>77.1/1440</f>
        <v>5.3541666666666661E-2</v>
      </c>
      <c r="I2481" s="5">
        <v>0.13600000000000001</v>
      </c>
      <c r="J2481" s="11" t="s">
        <v>3268</v>
      </c>
    </row>
    <row r="2482" spans="1:10" ht="13.15" customHeight="1" x14ac:dyDescent="0.25">
      <c r="A2482">
        <f t="shared" si="348"/>
        <v>2477</v>
      </c>
      <c r="B2482" t="s">
        <v>3279</v>
      </c>
      <c r="C2482" s="2">
        <v>0.46250000000000002</v>
      </c>
      <c r="D2482" s="4">
        <f t="shared" ref="D2482:D2490" si="353">C2482-E2482</f>
        <v>0.10208333333333336</v>
      </c>
      <c r="E2482" s="6">
        <v>0.36041666666666666</v>
      </c>
      <c r="F2482" s="5">
        <f t="shared" ref="F2482:F2490" si="354">E2482/C2482</f>
        <v>0.7792792792792792</v>
      </c>
      <c r="G2482" s="5">
        <v>0.81899999999999995</v>
      </c>
      <c r="H2482" s="4">
        <f>57.5/1440</f>
        <v>3.9930555555555552E-2</v>
      </c>
      <c r="I2482" s="5">
        <v>9.0999999999999998E-2</v>
      </c>
      <c r="J2482" s="11" t="s">
        <v>3289</v>
      </c>
    </row>
    <row r="2483" spans="1:10" ht="13.15" customHeight="1" x14ac:dyDescent="0.25">
      <c r="A2483">
        <f t="shared" si="348"/>
        <v>2478</v>
      </c>
      <c r="B2483" t="s">
        <v>3280</v>
      </c>
      <c r="C2483" s="2">
        <v>0.53402777777777777</v>
      </c>
      <c r="D2483" s="4">
        <f t="shared" si="353"/>
        <v>0.10972222222222222</v>
      </c>
      <c r="E2483" s="6">
        <v>0.42430555555555555</v>
      </c>
      <c r="F2483" s="5">
        <f t="shared" si="354"/>
        <v>0.79453836150845258</v>
      </c>
      <c r="G2483" s="5">
        <v>0.88300000000000001</v>
      </c>
      <c r="H2483" s="4">
        <f>65.7/1440</f>
        <v>4.5624999999999999E-2</v>
      </c>
      <c r="I2483" s="5">
        <v>9.5000000000000001E-2</v>
      </c>
      <c r="J2483" s="11" t="s">
        <v>3289</v>
      </c>
    </row>
    <row r="2484" spans="1:10" ht="13.15" customHeight="1" x14ac:dyDescent="0.25">
      <c r="A2484">
        <f t="shared" si="348"/>
        <v>2479</v>
      </c>
      <c r="B2484" t="s">
        <v>3281</v>
      </c>
      <c r="C2484" s="2">
        <v>0.39652777777777776</v>
      </c>
      <c r="D2484" s="4">
        <f t="shared" si="353"/>
        <v>9.7916666666666652E-2</v>
      </c>
      <c r="E2484" s="6">
        <v>0.2986111111111111</v>
      </c>
      <c r="F2484" s="5">
        <f t="shared" si="354"/>
        <v>0.75306479859894926</v>
      </c>
      <c r="G2484" s="5">
        <v>0.84099999999999997</v>
      </c>
      <c r="H2484" s="4">
        <f>50.3/1440</f>
        <v>3.4930555555555555E-2</v>
      </c>
      <c r="I2484" s="5">
        <v>9.8000000000000004E-2</v>
      </c>
      <c r="J2484" s="11" t="s">
        <v>3289</v>
      </c>
    </row>
    <row r="2485" spans="1:10" ht="13.15" customHeight="1" x14ac:dyDescent="0.25">
      <c r="A2485">
        <f t="shared" si="348"/>
        <v>2480</v>
      </c>
      <c r="B2485" t="s">
        <v>3282</v>
      </c>
      <c r="C2485" s="2">
        <v>0.41319444444444442</v>
      </c>
      <c r="D2485" s="4">
        <f t="shared" si="353"/>
        <v>0.12222222222222218</v>
      </c>
      <c r="E2485" s="6">
        <v>0.29097222222222224</v>
      </c>
      <c r="F2485" s="5">
        <f t="shared" si="354"/>
        <v>0.70420168067226896</v>
      </c>
      <c r="G2485" s="5">
        <v>0.71799999999999997</v>
      </c>
      <c r="H2485" s="4">
        <f>48.9/1440</f>
        <v>3.3958333333333333E-2</v>
      </c>
      <c r="I2485" s="5">
        <v>8.4000000000000005E-2</v>
      </c>
      <c r="J2485" s="11" t="s">
        <v>3289</v>
      </c>
    </row>
    <row r="2486" spans="1:10" ht="13.15" customHeight="1" x14ac:dyDescent="0.25">
      <c r="A2486">
        <f t="shared" si="348"/>
        <v>2481</v>
      </c>
      <c r="B2486" t="s">
        <v>3283</v>
      </c>
      <c r="C2486" s="2">
        <v>0.45277777777777778</v>
      </c>
      <c r="D2486" s="4">
        <f t="shared" si="353"/>
        <v>9.9305555555555536E-2</v>
      </c>
      <c r="E2486" s="6">
        <v>0.35347222222222224</v>
      </c>
      <c r="F2486" s="5">
        <f t="shared" si="354"/>
        <v>0.78067484662576692</v>
      </c>
      <c r="G2486" s="5">
        <v>0.879</v>
      </c>
      <c r="H2486" s="4">
        <f>63.1/1440</f>
        <v>4.3819444444444446E-2</v>
      </c>
      <c r="I2486" s="5">
        <v>0.109</v>
      </c>
      <c r="J2486" s="11" t="s">
        <v>3289</v>
      </c>
    </row>
    <row r="2487" spans="1:10" ht="13.15" customHeight="1" x14ac:dyDescent="0.25">
      <c r="A2487">
        <f t="shared" si="348"/>
        <v>2482</v>
      </c>
      <c r="B2487" t="s">
        <v>3284</v>
      </c>
      <c r="C2487" s="2">
        <v>0.48541666666666666</v>
      </c>
      <c r="D2487" s="4">
        <f t="shared" si="353"/>
        <v>8.3333333333333315E-2</v>
      </c>
      <c r="E2487" s="6">
        <v>0.40208333333333335</v>
      </c>
      <c r="F2487" s="5">
        <f t="shared" si="354"/>
        <v>0.82832618025751081</v>
      </c>
      <c r="G2487" s="5">
        <v>0.80600000000000005</v>
      </c>
      <c r="H2487" s="4">
        <f>45.7/1440</f>
        <v>3.1736111111111111E-2</v>
      </c>
      <c r="I2487" s="5">
        <v>6.4000000000000001E-2</v>
      </c>
      <c r="J2487" s="11" t="s">
        <v>3288</v>
      </c>
    </row>
    <row r="2488" spans="1:10" ht="13.15" customHeight="1" x14ac:dyDescent="0.25">
      <c r="A2488">
        <f t="shared" si="348"/>
        <v>2483</v>
      </c>
      <c r="B2488" t="s">
        <v>3285</v>
      </c>
      <c r="C2488" s="2">
        <v>0.48749999999999999</v>
      </c>
      <c r="D2488" s="4">
        <f t="shared" si="353"/>
        <v>0.10347222222222219</v>
      </c>
      <c r="E2488" s="6">
        <v>0.3840277777777778</v>
      </c>
      <c r="F2488" s="5">
        <f t="shared" si="354"/>
        <v>0.78774928774928776</v>
      </c>
      <c r="G2488" s="5">
        <v>0.78300000000000003</v>
      </c>
      <c r="H2488" s="4">
        <f>67.2/1440</f>
        <v>4.6666666666666669E-2</v>
      </c>
      <c r="I2488" s="5">
        <v>9.5000000000000001E-2</v>
      </c>
      <c r="J2488" s="11" t="s">
        <v>3288</v>
      </c>
    </row>
    <row r="2489" spans="1:10" ht="13.15" customHeight="1" x14ac:dyDescent="0.25">
      <c r="A2489">
        <f t="shared" si="348"/>
        <v>2484</v>
      </c>
      <c r="B2489" t="s">
        <v>3286</v>
      </c>
      <c r="C2489" s="2">
        <v>0.48402777777777778</v>
      </c>
      <c r="D2489" s="4">
        <f t="shared" si="353"/>
        <v>6.5277777777777768E-2</v>
      </c>
      <c r="E2489" s="6">
        <v>0.41875000000000001</v>
      </c>
      <c r="F2489" s="5">
        <f t="shared" si="354"/>
        <v>0.86513629842180773</v>
      </c>
      <c r="G2489" s="5">
        <v>0.875</v>
      </c>
      <c r="H2489" s="4">
        <f>67.3/1440</f>
        <v>4.673611111111111E-2</v>
      </c>
      <c r="I2489" s="5">
        <v>9.8000000000000004E-2</v>
      </c>
      <c r="J2489" s="11" t="s">
        <v>3288</v>
      </c>
    </row>
    <row r="2490" spans="1:10" ht="13.15" customHeight="1" x14ac:dyDescent="0.25">
      <c r="A2490">
        <f t="shared" si="348"/>
        <v>2485</v>
      </c>
      <c r="B2490" t="s">
        <v>3287</v>
      </c>
      <c r="C2490" s="2">
        <v>0.42569444444444443</v>
      </c>
      <c r="D2490" s="4">
        <f t="shared" si="353"/>
        <v>8.8888888888888851E-2</v>
      </c>
      <c r="E2490" s="6">
        <v>0.33680555555555558</v>
      </c>
      <c r="F2490" s="5">
        <f t="shared" si="354"/>
        <v>0.79119086460032639</v>
      </c>
      <c r="G2490" s="5">
        <v>0.81499999999999995</v>
      </c>
      <c r="H2490" s="4">
        <f>64.7/1440</f>
        <v>4.4930555555555557E-2</v>
      </c>
      <c r="I2490" s="5">
        <v>0.109</v>
      </c>
      <c r="J2490" s="11" t="s">
        <v>3288</v>
      </c>
    </row>
    <row r="2491" spans="1:10" ht="13.15" customHeight="1" x14ac:dyDescent="0.25">
      <c r="A2491">
        <f t="shared" si="348"/>
        <v>2486</v>
      </c>
      <c r="B2491" t="s">
        <v>3290</v>
      </c>
      <c r="C2491" s="2">
        <v>0.47638888888888886</v>
      </c>
      <c r="D2491" s="4">
        <f t="shared" ref="D2491:D2497" si="355">C2491-E2491</f>
        <v>0.1243055555555555</v>
      </c>
      <c r="E2491" s="6">
        <v>0.35208333333333336</v>
      </c>
      <c r="F2491" s="5">
        <f t="shared" ref="F2491:F2497" si="356">E2491/C2491</f>
        <v>0.73906705539358608</v>
      </c>
      <c r="G2491" s="5">
        <v>0.83799999999999997</v>
      </c>
      <c r="H2491" s="4">
        <f>64/1440</f>
        <v>4.4444444444444446E-2</v>
      </c>
      <c r="I2491" s="5">
        <v>0.106</v>
      </c>
      <c r="J2491" s="11" t="s">
        <v>3291</v>
      </c>
    </row>
    <row r="2492" spans="1:10" ht="13.15" customHeight="1" x14ac:dyDescent="0.25">
      <c r="A2492">
        <f t="shared" si="348"/>
        <v>2487</v>
      </c>
      <c r="B2492" t="s">
        <v>3292</v>
      </c>
      <c r="C2492" s="2">
        <v>0.47847222222222224</v>
      </c>
      <c r="D2492" s="4">
        <f t="shared" si="355"/>
        <v>0.11527777777777781</v>
      </c>
      <c r="E2492" s="6">
        <v>0.36319444444444443</v>
      </c>
      <c r="F2492" s="5">
        <f t="shared" si="356"/>
        <v>0.75907111756168355</v>
      </c>
      <c r="G2492" s="5">
        <v>0.878</v>
      </c>
      <c r="H2492" s="4">
        <f>69.8/1440</f>
        <v>4.8472222222222222E-2</v>
      </c>
      <c r="I2492" s="5">
        <v>0.11700000000000001</v>
      </c>
      <c r="J2492" s="11" t="s">
        <v>3291</v>
      </c>
    </row>
    <row r="2493" spans="1:10" ht="13.15" customHeight="1" x14ac:dyDescent="0.25">
      <c r="A2493">
        <f t="shared" si="348"/>
        <v>2488</v>
      </c>
      <c r="B2493" t="s">
        <v>3293</v>
      </c>
      <c r="C2493" s="2">
        <v>0.36666666666666664</v>
      </c>
      <c r="D2493" s="4">
        <f t="shared" si="355"/>
        <v>9.5138888888888884E-2</v>
      </c>
      <c r="E2493" s="6">
        <v>0.27152777777777776</v>
      </c>
      <c r="F2493" s="5">
        <f t="shared" si="356"/>
        <v>0.74053030303030298</v>
      </c>
      <c r="G2493" s="5">
        <v>0.81399999999999995</v>
      </c>
      <c r="H2493" s="4">
        <f>67.9/1440</f>
        <v>4.715277777777778E-2</v>
      </c>
      <c r="I2493" s="5">
        <v>0.14099999999999999</v>
      </c>
      <c r="J2493" s="11" t="s">
        <v>3291</v>
      </c>
    </row>
    <row r="2494" spans="1:10" ht="13.15" customHeight="1" x14ac:dyDescent="0.25">
      <c r="A2494">
        <f t="shared" si="348"/>
        <v>2489</v>
      </c>
      <c r="B2494" t="s">
        <v>3294</v>
      </c>
      <c r="C2494" s="2">
        <v>0.45416666666666666</v>
      </c>
      <c r="D2494" s="4">
        <f t="shared" si="355"/>
        <v>0.12291666666666667</v>
      </c>
      <c r="E2494" s="6">
        <v>0.33124999999999999</v>
      </c>
      <c r="F2494" s="5">
        <f t="shared" si="356"/>
        <v>0.72935779816513757</v>
      </c>
      <c r="G2494" s="5">
        <v>0.82099999999999995</v>
      </c>
      <c r="H2494" s="4">
        <f>55.6/1440</f>
        <v>3.861111111111111E-2</v>
      </c>
      <c r="I2494" s="5">
        <v>9.6000000000000002E-2</v>
      </c>
      <c r="J2494" s="11" t="s">
        <v>3291</v>
      </c>
    </row>
    <row r="2495" spans="1:10" ht="13.15" customHeight="1" x14ac:dyDescent="0.25">
      <c r="A2495">
        <f t="shared" si="348"/>
        <v>2490</v>
      </c>
      <c r="B2495" t="s">
        <v>3295</v>
      </c>
      <c r="C2495" s="2">
        <v>0.55625000000000002</v>
      </c>
      <c r="D2495" s="4">
        <f t="shared" si="355"/>
        <v>0.1388888888888889</v>
      </c>
      <c r="E2495" s="6">
        <v>0.41736111111111113</v>
      </c>
      <c r="F2495" s="5">
        <f t="shared" si="356"/>
        <v>0.75031210986267161</v>
      </c>
      <c r="G2495" s="5">
        <v>0.77800000000000002</v>
      </c>
      <c r="H2495" s="4">
        <f>62.6/1440</f>
        <v>4.3472222222222225E-2</v>
      </c>
      <c r="I2495" s="5">
        <v>8.1000000000000003E-2</v>
      </c>
      <c r="J2495" s="11" t="s">
        <v>3296</v>
      </c>
    </row>
    <row r="2496" spans="1:10" ht="13.15" customHeight="1" x14ac:dyDescent="0.25">
      <c r="A2496">
        <f t="shared" si="348"/>
        <v>2491</v>
      </c>
      <c r="B2496" t="s">
        <v>3297</v>
      </c>
      <c r="C2496" s="2">
        <v>0.59097222222222223</v>
      </c>
      <c r="D2496" s="4">
        <f t="shared" si="355"/>
        <v>0.13611111111111113</v>
      </c>
      <c r="E2496" s="6">
        <v>0.4548611111111111</v>
      </c>
      <c r="F2496" s="5">
        <f t="shared" si="356"/>
        <v>0.76968272620446532</v>
      </c>
      <c r="G2496" s="5">
        <v>0.86299999999999999</v>
      </c>
      <c r="H2496" s="4">
        <f>73.4/1440</f>
        <v>5.0972222222222224E-2</v>
      </c>
      <c r="I2496" s="5">
        <v>9.7000000000000003E-2</v>
      </c>
      <c r="J2496" s="11" t="s">
        <v>3296</v>
      </c>
    </row>
    <row r="2497" spans="1:10" ht="13.15" customHeight="1" x14ac:dyDescent="0.25">
      <c r="A2497">
        <f t="shared" si="348"/>
        <v>2492</v>
      </c>
      <c r="B2497" t="s">
        <v>3298</v>
      </c>
      <c r="C2497" s="2">
        <v>0.53333333333333333</v>
      </c>
      <c r="D2497" s="4">
        <f t="shared" si="355"/>
        <v>0.12916666666666665</v>
      </c>
      <c r="E2497" s="6">
        <v>0.40416666666666667</v>
      </c>
      <c r="F2497" s="5">
        <f t="shared" si="356"/>
        <v>0.7578125</v>
      </c>
      <c r="G2497" s="5">
        <v>0.85499999999999998</v>
      </c>
      <c r="H2497" s="4">
        <f>63.9/1440</f>
        <v>4.4374999999999998E-2</v>
      </c>
      <c r="I2497" s="5">
        <v>9.4E-2</v>
      </c>
      <c r="J2497" s="11" t="s">
        <v>3296</v>
      </c>
    </row>
    <row r="2498" spans="1:10" ht="13.15" customHeight="1" x14ac:dyDescent="0.25">
      <c r="A2498">
        <f t="shared" si="348"/>
        <v>2493</v>
      </c>
      <c r="B2498" t="s">
        <v>3299</v>
      </c>
      <c r="C2498" s="2">
        <v>0.43125000000000002</v>
      </c>
      <c r="D2498" s="4">
        <f t="shared" ref="D2498:D2506" si="357">C2498-E2498</f>
        <v>0.11250000000000004</v>
      </c>
      <c r="E2498" s="6">
        <v>0.31874999999999998</v>
      </c>
      <c r="F2498" s="5">
        <f t="shared" ref="F2498:F2506" si="358">E2498/C2498</f>
        <v>0.73913043478260865</v>
      </c>
      <c r="G2498" s="5">
        <v>0.81899999999999995</v>
      </c>
      <c r="H2498" s="4">
        <f>58.8/1440</f>
        <v>4.0833333333333333E-2</v>
      </c>
      <c r="I2498" s="5">
        <v>0.105</v>
      </c>
      <c r="J2498" s="11" t="s">
        <v>3309</v>
      </c>
    </row>
    <row r="2499" spans="1:10" ht="13.15" customHeight="1" x14ac:dyDescent="0.25">
      <c r="A2499">
        <f t="shared" si="348"/>
        <v>2494</v>
      </c>
      <c r="B2499" t="s">
        <v>3300</v>
      </c>
      <c r="C2499" s="2">
        <v>0.41944444444444445</v>
      </c>
      <c r="D2499" s="4">
        <f t="shared" si="357"/>
        <v>0.125</v>
      </c>
      <c r="E2499" s="6">
        <v>0.29444444444444445</v>
      </c>
      <c r="F2499" s="5">
        <f t="shared" si="358"/>
        <v>0.70198675496688745</v>
      </c>
      <c r="G2499" s="5">
        <v>0.84799999999999998</v>
      </c>
      <c r="H2499" s="4">
        <f>67.6/1440</f>
        <v>4.6944444444444441E-2</v>
      </c>
      <c r="I2499" s="5">
        <v>0.13500000000000001</v>
      </c>
      <c r="J2499" s="11" t="s">
        <v>3309</v>
      </c>
    </row>
    <row r="2500" spans="1:10" ht="13.15" customHeight="1" x14ac:dyDescent="0.25">
      <c r="A2500">
        <f t="shared" si="348"/>
        <v>2495</v>
      </c>
      <c r="B2500" t="s">
        <v>3301</v>
      </c>
      <c r="C2500" s="2">
        <v>0.41944444444444445</v>
      </c>
      <c r="D2500" s="4">
        <f t="shared" si="357"/>
        <v>0.11458333333333331</v>
      </c>
      <c r="E2500" s="6">
        <v>0.30486111111111114</v>
      </c>
      <c r="F2500" s="5">
        <f t="shared" si="358"/>
        <v>0.72682119205298024</v>
      </c>
      <c r="G2500" s="5">
        <v>0.81200000000000006</v>
      </c>
      <c r="H2500" s="4">
        <f>58.1/1440</f>
        <v>4.0347222222222222E-2</v>
      </c>
      <c r="I2500" s="5">
        <v>0.107</v>
      </c>
      <c r="J2500" s="11" t="s">
        <v>3309</v>
      </c>
    </row>
    <row r="2501" spans="1:10" ht="13.15" customHeight="1" x14ac:dyDescent="0.25">
      <c r="A2501">
        <f t="shared" si="348"/>
        <v>2496</v>
      </c>
      <c r="B2501" t="s">
        <v>3302</v>
      </c>
      <c r="C2501" s="2">
        <v>0.41805555555555557</v>
      </c>
      <c r="D2501" s="4">
        <f t="shared" si="357"/>
        <v>0.10833333333333334</v>
      </c>
      <c r="E2501" s="6">
        <v>0.30972222222222223</v>
      </c>
      <c r="F2501" s="5">
        <f t="shared" si="358"/>
        <v>0.74086378737541525</v>
      </c>
      <c r="G2501" s="5">
        <v>0.80200000000000005</v>
      </c>
      <c r="H2501" s="4">
        <f>47.5/1440</f>
        <v>3.2986111111111112E-2</v>
      </c>
      <c r="I2501" s="5">
        <v>8.5000000000000006E-2</v>
      </c>
      <c r="J2501" s="11" t="s">
        <v>3309</v>
      </c>
    </row>
    <row r="2502" spans="1:10" ht="13.15" customHeight="1" x14ac:dyDescent="0.25">
      <c r="A2502">
        <f t="shared" si="348"/>
        <v>2497</v>
      </c>
      <c r="B2502" t="s">
        <v>3303</v>
      </c>
      <c r="C2502" s="2">
        <v>0.42291666666666666</v>
      </c>
      <c r="D2502" s="4">
        <f t="shared" si="357"/>
        <v>0.1027777777777778</v>
      </c>
      <c r="E2502" s="6">
        <v>0.32013888888888886</v>
      </c>
      <c r="F2502" s="5">
        <f t="shared" si="358"/>
        <v>0.75697865353037763</v>
      </c>
      <c r="G2502" s="5">
        <v>0.83399999999999996</v>
      </c>
      <c r="H2502" s="4">
        <f>50/1440</f>
        <v>3.4722222222222224E-2</v>
      </c>
      <c r="I2502" s="5">
        <v>0.09</v>
      </c>
      <c r="J2502" s="11" t="s">
        <v>3309</v>
      </c>
    </row>
    <row r="2503" spans="1:10" ht="13.15" customHeight="1" x14ac:dyDescent="0.25">
      <c r="A2503">
        <f t="shared" si="348"/>
        <v>2498</v>
      </c>
      <c r="B2503" t="s">
        <v>3304</v>
      </c>
      <c r="C2503" s="2">
        <v>0.44166666666666665</v>
      </c>
      <c r="D2503" s="4">
        <f t="shared" si="357"/>
        <v>0.11805555555555552</v>
      </c>
      <c r="E2503" s="6">
        <v>0.32361111111111113</v>
      </c>
      <c r="F2503" s="5">
        <f t="shared" si="358"/>
        <v>0.73270440251572333</v>
      </c>
      <c r="G2503" s="5">
        <v>0.81</v>
      </c>
      <c r="H2503" s="4">
        <f>63.5/1440</f>
        <v>4.4097222222222225E-2</v>
      </c>
      <c r="I2503" s="5">
        <v>0.11</v>
      </c>
      <c r="J2503" s="11" t="s">
        <v>3308</v>
      </c>
    </row>
    <row r="2504" spans="1:10" ht="13.15" customHeight="1" x14ac:dyDescent="0.25">
      <c r="A2504">
        <f t="shared" si="348"/>
        <v>2499</v>
      </c>
      <c r="B2504" t="s">
        <v>3305</v>
      </c>
      <c r="C2504" s="2">
        <v>0.47638888888888886</v>
      </c>
      <c r="D2504" s="4">
        <f t="shared" si="357"/>
        <v>0.12916666666666665</v>
      </c>
      <c r="E2504" s="6">
        <v>0.34722222222222221</v>
      </c>
      <c r="F2504" s="5">
        <f t="shared" si="358"/>
        <v>0.72886297376093301</v>
      </c>
      <c r="G2504" s="5">
        <v>0.83099999999999996</v>
      </c>
      <c r="H2504" s="4">
        <f>60.4/1440</f>
        <v>4.1944444444444444E-2</v>
      </c>
      <c r="I2504" s="5">
        <v>0.1</v>
      </c>
      <c r="J2504" s="11" t="s">
        <v>3308</v>
      </c>
    </row>
    <row r="2505" spans="1:10" ht="13.15" customHeight="1" x14ac:dyDescent="0.25">
      <c r="A2505">
        <f t="shared" si="348"/>
        <v>2500</v>
      </c>
      <c r="B2505" t="s">
        <v>3306</v>
      </c>
      <c r="C2505" s="2">
        <v>0.52569444444444446</v>
      </c>
      <c r="D2505" s="4">
        <f t="shared" si="357"/>
        <v>0.1340277777777778</v>
      </c>
      <c r="E2505" s="6">
        <v>0.39166666666666666</v>
      </c>
      <c r="F2505" s="5">
        <f t="shared" si="358"/>
        <v>0.74504623513870538</v>
      </c>
      <c r="G2505" s="5">
        <v>0.73199999999999998</v>
      </c>
      <c r="H2505" s="4">
        <f>65.7/1440</f>
        <v>4.5624999999999999E-2</v>
      </c>
      <c r="I2505" s="5">
        <v>8.5000000000000006E-2</v>
      </c>
      <c r="J2505" s="11" t="s">
        <v>3308</v>
      </c>
    </row>
    <row r="2506" spans="1:10" ht="13.15" customHeight="1" x14ac:dyDescent="0.25">
      <c r="A2506">
        <f t="shared" si="348"/>
        <v>2501</v>
      </c>
      <c r="B2506" t="s">
        <v>3307</v>
      </c>
      <c r="C2506" s="2">
        <v>0.4777777777777778</v>
      </c>
      <c r="D2506" s="4">
        <f t="shared" si="357"/>
        <v>0.10555555555555557</v>
      </c>
      <c r="E2506" s="6">
        <v>0.37222222222222223</v>
      </c>
      <c r="F2506" s="5">
        <f t="shared" si="358"/>
        <v>0.77906976744186041</v>
      </c>
      <c r="G2506" s="5">
        <v>0.82299999999999995</v>
      </c>
      <c r="H2506" s="4">
        <f>72.7/1440</f>
        <v>5.0486111111111114E-2</v>
      </c>
      <c r="I2506" s="5">
        <v>0.112</v>
      </c>
      <c r="J2506" s="11" t="s">
        <v>3308</v>
      </c>
    </row>
    <row r="2507" spans="1:10" ht="13.15" customHeight="1" x14ac:dyDescent="0.25">
      <c r="A2507">
        <f t="shared" si="348"/>
        <v>2502</v>
      </c>
      <c r="B2507" t="s">
        <v>3310</v>
      </c>
      <c r="C2507" s="2">
        <v>0.41458333333333336</v>
      </c>
      <c r="D2507" s="4">
        <f t="shared" ref="D2507:D2515" si="359">C2507-E2507</f>
        <v>0.12708333333333338</v>
      </c>
      <c r="E2507" s="6">
        <v>0.28749999999999998</v>
      </c>
      <c r="F2507" s="5">
        <f t="shared" ref="F2507:F2515" si="360">E2507/C2507</f>
        <v>0.69346733668341698</v>
      </c>
      <c r="G2507" s="5">
        <v>0.77300000000000002</v>
      </c>
      <c r="H2507" s="4">
        <f>53.1/1440</f>
        <v>3.6874999999999998E-2</v>
      </c>
      <c r="I2507" s="5">
        <v>9.9000000000000005E-2</v>
      </c>
      <c r="J2507" s="11" t="s">
        <v>3320</v>
      </c>
    </row>
    <row r="2508" spans="1:10" ht="13.15" customHeight="1" x14ac:dyDescent="0.25">
      <c r="A2508">
        <f t="shared" si="348"/>
        <v>2503</v>
      </c>
      <c r="B2508" t="s">
        <v>3311</v>
      </c>
      <c r="C2508" s="2">
        <v>0.42777777777777776</v>
      </c>
      <c r="D2508" s="4">
        <f t="shared" si="359"/>
        <v>0.13055555555555554</v>
      </c>
      <c r="E2508" s="6">
        <v>0.29722222222222222</v>
      </c>
      <c r="F2508" s="5">
        <f t="shared" si="360"/>
        <v>0.69480519480519487</v>
      </c>
      <c r="G2508" s="5">
        <v>0.751</v>
      </c>
      <c r="H2508" s="4">
        <f>56.7/1440</f>
        <v>3.9375E-2</v>
      </c>
      <c r="I2508" s="5">
        <v>0.1</v>
      </c>
      <c r="J2508" s="11" t="s">
        <v>3320</v>
      </c>
    </row>
    <row r="2509" spans="1:10" ht="13.15" customHeight="1" x14ac:dyDescent="0.25">
      <c r="A2509">
        <f t="shared" si="348"/>
        <v>2504</v>
      </c>
      <c r="B2509" t="s">
        <v>3312</v>
      </c>
      <c r="C2509" s="2">
        <v>0.36527777777777776</v>
      </c>
      <c r="D2509" s="4">
        <f t="shared" si="359"/>
        <v>0.12013888888888888</v>
      </c>
      <c r="E2509" s="6">
        <v>0.24513888888888888</v>
      </c>
      <c r="F2509" s="5">
        <f t="shared" si="360"/>
        <v>0.67110266159695819</v>
      </c>
      <c r="G2509" s="5">
        <v>0.76800000000000002</v>
      </c>
      <c r="H2509" s="4">
        <f>43.6/1440</f>
        <v>3.0277777777777778E-2</v>
      </c>
      <c r="I2509" s="5">
        <v>9.5000000000000001E-2</v>
      </c>
      <c r="J2509" s="11" t="s">
        <v>3320</v>
      </c>
    </row>
    <row r="2510" spans="1:10" ht="13.15" customHeight="1" x14ac:dyDescent="0.25">
      <c r="A2510">
        <f t="shared" si="348"/>
        <v>2505</v>
      </c>
      <c r="B2510" t="s">
        <v>3313</v>
      </c>
      <c r="C2510" s="2">
        <v>0.32500000000000001</v>
      </c>
      <c r="D2510" s="4">
        <f t="shared" si="359"/>
        <v>0.1</v>
      </c>
      <c r="E2510" s="6">
        <v>0.22500000000000001</v>
      </c>
      <c r="F2510" s="5">
        <f t="shared" si="360"/>
        <v>0.69230769230769229</v>
      </c>
      <c r="G2510" s="5">
        <v>0.76700000000000002</v>
      </c>
      <c r="H2510" s="4">
        <f>44.2/1440</f>
        <v>3.0694444444444448E-2</v>
      </c>
      <c r="I2510" s="5">
        <v>0.104</v>
      </c>
      <c r="J2510" s="11" t="s">
        <v>3320</v>
      </c>
    </row>
    <row r="2511" spans="1:10" ht="13.15" customHeight="1" x14ac:dyDescent="0.25">
      <c r="A2511">
        <f t="shared" si="348"/>
        <v>2506</v>
      </c>
      <c r="B2511" t="s">
        <v>3314</v>
      </c>
      <c r="C2511" s="2">
        <v>0.38263888888888886</v>
      </c>
      <c r="D2511" s="4">
        <f t="shared" si="359"/>
        <v>0.10833333333333328</v>
      </c>
      <c r="E2511" s="6">
        <v>0.27430555555555558</v>
      </c>
      <c r="F2511" s="5">
        <f t="shared" si="360"/>
        <v>0.71687840290381133</v>
      </c>
      <c r="G2511" s="5">
        <v>0.81</v>
      </c>
      <c r="H2511" s="4">
        <f>33.7/1440</f>
        <v>2.3402777777777779E-2</v>
      </c>
      <c r="I2511" s="5">
        <v>6.9000000000000006E-2</v>
      </c>
      <c r="J2511" s="11" t="s">
        <v>3320</v>
      </c>
    </row>
    <row r="2512" spans="1:10" ht="13.15" customHeight="1" x14ac:dyDescent="0.25">
      <c r="A2512">
        <f t="shared" si="348"/>
        <v>2507</v>
      </c>
      <c r="B2512" t="s">
        <v>3315</v>
      </c>
      <c r="C2512" s="2">
        <v>0.44722222222222224</v>
      </c>
      <c r="D2512" s="4">
        <f t="shared" si="359"/>
        <v>0.14375000000000004</v>
      </c>
      <c r="E2512" s="6">
        <v>0.3034722222222222</v>
      </c>
      <c r="F2512" s="5">
        <f t="shared" si="360"/>
        <v>0.67857142857142849</v>
      </c>
      <c r="G2512" s="5">
        <v>0.67500000000000004</v>
      </c>
      <c r="H2512" s="4">
        <f>71.4/1440</f>
        <v>4.958333333333334E-2</v>
      </c>
      <c r="I2512" s="5">
        <v>0.11</v>
      </c>
      <c r="J2512" s="11" t="s">
        <v>3319</v>
      </c>
    </row>
    <row r="2513" spans="1:10" ht="13.15" customHeight="1" x14ac:dyDescent="0.25">
      <c r="A2513">
        <f t="shared" si="348"/>
        <v>2508</v>
      </c>
      <c r="B2513" t="s">
        <v>3316</v>
      </c>
      <c r="C2513" s="2">
        <v>0.43541666666666667</v>
      </c>
      <c r="D2513" s="4">
        <f t="shared" si="359"/>
        <v>0.13125000000000003</v>
      </c>
      <c r="E2513" s="6">
        <v>0.30416666666666664</v>
      </c>
      <c r="F2513" s="5">
        <f t="shared" si="360"/>
        <v>0.69856459330143539</v>
      </c>
      <c r="G2513" s="5">
        <v>0.90600000000000003</v>
      </c>
      <c r="H2513" s="4">
        <f>63.9/1440</f>
        <v>4.4374999999999998E-2</v>
      </c>
      <c r="I2513" s="5">
        <v>0.13200000000000001</v>
      </c>
      <c r="J2513" s="11" t="s">
        <v>3319</v>
      </c>
    </row>
    <row r="2514" spans="1:10" ht="13.15" customHeight="1" x14ac:dyDescent="0.25">
      <c r="A2514">
        <f t="shared" si="348"/>
        <v>2509</v>
      </c>
      <c r="B2514" t="s">
        <v>3317</v>
      </c>
      <c r="C2514" s="2">
        <v>0.44791666666666669</v>
      </c>
      <c r="D2514" s="4">
        <f t="shared" si="359"/>
        <v>0.15763888888888888</v>
      </c>
      <c r="E2514" s="6">
        <v>0.2902777777777778</v>
      </c>
      <c r="F2514" s="5">
        <f t="shared" si="360"/>
        <v>0.64806201550387599</v>
      </c>
      <c r="G2514" s="5">
        <v>0.82399999999999995</v>
      </c>
      <c r="H2514" s="4">
        <f>52.8/1440</f>
        <v>3.6666666666666667E-2</v>
      </c>
      <c r="I2514" s="5">
        <v>0.104</v>
      </c>
      <c r="J2514" s="11" t="s">
        <v>3319</v>
      </c>
    </row>
    <row r="2515" spans="1:10" ht="13.15" customHeight="1" x14ac:dyDescent="0.25">
      <c r="A2515">
        <f t="shared" si="348"/>
        <v>2510</v>
      </c>
      <c r="B2515" t="s">
        <v>3318</v>
      </c>
      <c r="C2515" s="2">
        <v>0.40555555555555556</v>
      </c>
      <c r="D2515" s="4">
        <f t="shared" si="359"/>
        <v>0.1736111111111111</v>
      </c>
      <c r="E2515" s="6">
        <v>0.23194444444444445</v>
      </c>
      <c r="F2515" s="5">
        <f t="shared" si="360"/>
        <v>0.57191780821917815</v>
      </c>
      <c r="G2515" s="5">
        <v>0.73599999999999999</v>
      </c>
      <c r="H2515" s="4">
        <f>72/1440</f>
        <v>0.05</v>
      </c>
      <c r="I2515" s="5">
        <v>0.158</v>
      </c>
      <c r="J2515" s="11" t="s">
        <v>3319</v>
      </c>
    </row>
    <row r="2516" spans="1:10" ht="13.15" customHeight="1" x14ac:dyDescent="0.25">
      <c r="A2516">
        <f t="shared" si="348"/>
        <v>2511</v>
      </c>
      <c r="B2516" t="s">
        <v>3321</v>
      </c>
      <c r="C2516" s="2">
        <v>0.39374999999999999</v>
      </c>
      <c r="D2516" s="4">
        <f t="shared" ref="D2516:D2524" si="361">C2516-E2516</f>
        <v>0.13819444444444445</v>
      </c>
      <c r="E2516" s="6">
        <v>0.25555555555555554</v>
      </c>
      <c r="F2516" s="5">
        <f t="shared" ref="F2516:F2524" si="362">E2516/C2516</f>
        <v>0.64902998236331566</v>
      </c>
      <c r="G2516" s="5">
        <v>0.754</v>
      </c>
      <c r="H2516" s="4">
        <f>55.8/1440</f>
        <v>3.875E-2</v>
      </c>
      <c r="I2516" s="5">
        <v>0.114</v>
      </c>
      <c r="J2516" s="11" t="s">
        <v>3331</v>
      </c>
    </row>
    <row r="2517" spans="1:10" ht="13.15" customHeight="1" x14ac:dyDescent="0.25">
      <c r="A2517">
        <f t="shared" si="348"/>
        <v>2512</v>
      </c>
      <c r="B2517" t="s">
        <v>3322</v>
      </c>
      <c r="C2517" s="2">
        <v>0.42638888888888887</v>
      </c>
      <c r="D2517" s="4">
        <f t="shared" si="361"/>
        <v>0.1333333333333333</v>
      </c>
      <c r="E2517" s="6">
        <v>0.29305555555555557</v>
      </c>
      <c r="F2517" s="5">
        <f t="shared" si="362"/>
        <v>0.68729641693811083</v>
      </c>
      <c r="G2517" s="5">
        <v>0.77900000000000003</v>
      </c>
      <c r="H2517" s="4">
        <f>62/1440</f>
        <v>4.3055555555555555E-2</v>
      </c>
      <c r="I2517" s="5">
        <v>0.114</v>
      </c>
      <c r="J2517" s="11" t="s">
        <v>3331</v>
      </c>
    </row>
    <row r="2518" spans="1:10" ht="13.15" customHeight="1" x14ac:dyDescent="0.25">
      <c r="A2518">
        <f t="shared" si="348"/>
        <v>2513</v>
      </c>
      <c r="B2518" t="s">
        <v>3323</v>
      </c>
      <c r="C2518" s="2">
        <v>0.4</v>
      </c>
      <c r="D2518" s="4">
        <f t="shared" si="361"/>
        <v>0.14583333333333337</v>
      </c>
      <c r="E2518" s="6">
        <v>0.25416666666666665</v>
      </c>
      <c r="F2518" s="5">
        <f t="shared" si="362"/>
        <v>0.63541666666666663</v>
      </c>
      <c r="G2518" s="5">
        <v>0.70099999999999996</v>
      </c>
      <c r="H2518" s="4">
        <f>50.5/1440</f>
        <v>3.5069444444444445E-2</v>
      </c>
      <c r="I2518" s="5">
        <v>9.7000000000000003E-2</v>
      </c>
      <c r="J2518" s="11" t="s">
        <v>3331</v>
      </c>
    </row>
    <row r="2519" spans="1:10" ht="13.15" customHeight="1" x14ac:dyDescent="0.25">
      <c r="A2519">
        <f t="shared" si="348"/>
        <v>2514</v>
      </c>
      <c r="B2519" t="s">
        <v>3324</v>
      </c>
      <c r="C2519" s="2">
        <v>0.38750000000000001</v>
      </c>
      <c r="D2519" s="4">
        <f t="shared" si="361"/>
        <v>0.1388888888888889</v>
      </c>
      <c r="E2519" s="6">
        <v>0.24861111111111112</v>
      </c>
      <c r="F2519" s="5">
        <f t="shared" si="362"/>
        <v>0.64157706093189959</v>
      </c>
      <c r="G2519" s="5">
        <v>0.71499999999999997</v>
      </c>
      <c r="H2519" s="4">
        <f>55.8/1440</f>
        <v>3.875E-2</v>
      </c>
      <c r="I2519" s="5">
        <v>0.111</v>
      </c>
      <c r="J2519" s="11" t="s">
        <v>3331</v>
      </c>
    </row>
    <row r="2520" spans="1:10" ht="13.15" customHeight="1" x14ac:dyDescent="0.25">
      <c r="A2520">
        <f t="shared" si="348"/>
        <v>2515</v>
      </c>
      <c r="B2520" t="s">
        <v>3325</v>
      </c>
      <c r="C2520" s="2">
        <v>0.33333333333333331</v>
      </c>
      <c r="D2520" s="4">
        <f t="shared" si="361"/>
        <v>0.11458333333333331</v>
      </c>
      <c r="E2520" s="6">
        <v>0.21875</v>
      </c>
      <c r="F2520" s="5">
        <f t="shared" si="362"/>
        <v>0.65625</v>
      </c>
      <c r="G2520" s="5">
        <v>0.74399999999999999</v>
      </c>
      <c r="H2520" s="4">
        <f>57.1/1440</f>
        <v>3.965277777777778E-2</v>
      </c>
      <c r="I2520" s="5">
        <v>0.13500000000000001</v>
      </c>
      <c r="J2520" s="11" t="s">
        <v>3331</v>
      </c>
    </row>
    <row r="2521" spans="1:10" ht="13.15" customHeight="1" x14ac:dyDescent="0.25">
      <c r="A2521">
        <f t="shared" si="348"/>
        <v>2516</v>
      </c>
      <c r="B2521" t="s">
        <v>3326</v>
      </c>
      <c r="C2521" s="2">
        <v>0.36388888888888887</v>
      </c>
      <c r="D2521" s="4">
        <f t="shared" si="361"/>
        <v>0.1472222222222222</v>
      </c>
      <c r="E2521" s="6">
        <v>0.21666666666666667</v>
      </c>
      <c r="F2521" s="5">
        <f t="shared" si="362"/>
        <v>0.59541984732824427</v>
      </c>
      <c r="G2521" s="5">
        <v>0.79100000000000004</v>
      </c>
      <c r="H2521" s="4">
        <f>53/1440</f>
        <v>3.6805555555555557E-2</v>
      </c>
      <c r="I2521" s="5">
        <v>0.13400000000000001</v>
      </c>
      <c r="J2521" s="11" t="s">
        <v>3330</v>
      </c>
    </row>
    <row r="2522" spans="1:10" ht="13.15" customHeight="1" x14ac:dyDescent="0.25">
      <c r="A2522">
        <f t="shared" ref="A2522:A2586" si="363">A2521+1</f>
        <v>2517</v>
      </c>
      <c r="B2522" t="s">
        <v>3327</v>
      </c>
      <c r="C2522" s="2">
        <v>0.46944444444444444</v>
      </c>
      <c r="D2522" s="4">
        <f t="shared" si="361"/>
        <v>0.14791666666666664</v>
      </c>
      <c r="E2522" s="6">
        <v>0.3215277777777778</v>
      </c>
      <c r="F2522" s="5">
        <f t="shared" si="362"/>
        <v>0.6849112426035503</v>
      </c>
      <c r="G2522" s="5">
        <v>0.83699999999999997</v>
      </c>
      <c r="H2522" s="4">
        <f>54/1440</f>
        <v>3.7499999999999999E-2</v>
      </c>
      <c r="I2522" s="5">
        <v>9.8000000000000004E-2</v>
      </c>
      <c r="J2522" s="11" t="s">
        <v>3330</v>
      </c>
    </row>
    <row r="2523" spans="1:10" ht="13.15" customHeight="1" x14ac:dyDescent="0.25">
      <c r="A2523">
        <f t="shared" si="363"/>
        <v>2518</v>
      </c>
      <c r="B2523" t="s">
        <v>3328</v>
      </c>
      <c r="C2523" s="2">
        <v>0.4201388888888889</v>
      </c>
      <c r="D2523" s="4">
        <f t="shared" si="361"/>
        <v>0.1423611111111111</v>
      </c>
      <c r="E2523" s="6">
        <v>0.27777777777777779</v>
      </c>
      <c r="F2523" s="5">
        <f t="shared" si="362"/>
        <v>0.66115702479338845</v>
      </c>
      <c r="G2523" s="5">
        <v>0.69599999999999995</v>
      </c>
      <c r="H2523" s="4">
        <f>55.1/1440</f>
        <v>3.8263888888888889E-2</v>
      </c>
      <c r="I2523" s="5">
        <v>9.6000000000000002E-2</v>
      </c>
      <c r="J2523" s="11" t="s">
        <v>3330</v>
      </c>
    </row>
    <row r="2524" spans="1:10" ht="13.15" customHeight="1" x14ac:dyDescent="0.25">
      <c r="A2524">
        <f t="shared" si="363"/>
        <v>2519</v>
      </c>
      <c r="B2524" t="s">
        <v>3329</v>
      </c>
      <c r="C2524" s="2">
        <v>0.42569444444444443</v>
      </c>
      <c r="D2524" s="4">
        <f t="shared" si="361"/>
        <v>0.14583333333333331</v>
      </c>
      <c r="E2524" s="6">
        <v>0.27986111111111112</v>
      </c>
      <c r="F2524" s="5">
        <f t="shared" si="362"/>
        <v>0.65742251223491033</v>
      </c>
      <c r="G2524" s="5">
        <v>0.82499999999999996</v>
      </c>
      <c r="H2524" s="4">
        <f>56/1440</f>
        <v>3.888888888888889E-2</v>
      </c>
      <c r="I2524" s="5">
        <v>0.114</v>
      </c>
      <c r="J2524" s="11" t="s">
        <v>3330</v>
      </c>
    </row>
    <row r="2525" spans="1:10" ht="13.15" customHeight="1" x14ac:dyDescent="0.25">
      <c r="A2525">
        <f t="shared" si="363"/>
        <v>2520</v>
      </c>
      <c r="B2525" t="s">
        <v>3332</v>
      </c>
      <c r="C2525" s="2">
        <v>0.40208333333333335</v>
      </c>
      <c r="D2525" s="4">
        <f t="shared" ref="D2525:D2531" si="364">C2525-E2525</f>
        <v>0.14027777777777778</v>
      </c>
      <c r="E2525" s="6">
        <v>0.26180555555555557</v>
      </c>
      <c r="F2525" s="5">
        <f t="shared" ref="F2525:F2531" si="365">E2525/C2525</f>
        <v>0.65112262521588948</v>
      </c>
      <c r="G2525" s="5">
        <v>0.81100000000000005</v>
      </c>
      <c r="H2525" s="4">
        <f>55.9/1440</f>
        <v>3.8819444444444441E-2</v>
      </c>
      <c r="I2525" s="5">
        <v>0.12</v>
      </c>
      <c r="J2525" s="11" t="s">
        <v>3340</v>
      </c>
    </row>
    <row r="2526" spans="1:10" ht="13.15" customHeight="1" x14ac:dyDescent="0.25">
      <c r="A2526">
        <f t="shared" si="363"/>
        <v>2521</v>
      </c>
      <c r="B2526" t="s">
        <v>3333</v>
      </c>
      <c r="C2526" s="2">
        <v>0.4597222222222222</v>
      </c>
      <c r="D2526" s="4">
        <f t="shared" si="364"/>
        <v>0.17013888888888884</v>
      </c>
      <c r="E2526" s="6">
        <v>0.28958333333333336</v>
      </c>
      <c r="F2526" s="5">
        <f t="shared" si="365"/>
        <v>0.62990936555891253</v>
      </c>
      <c r="G2526" s="5">
        <v>0.83899999999999997</v>
      </c>
      <c r="H2526" s="4">
        <f>53.5/1440</f>
        <v>3.7152777777777778E-2</v>
      </c>
      <c r="I2526" s="5">
        <v>0.108</v>
      </c>
      <c r="J2526" s="11" t="s">
        <v>3340</v>
      </c>
    </row>
    <row r="2527" spans="1:10" ht="13.15" customHeight="1" x14ac:dyDescent="0.25">
      <c r="A2527">
        <f t="shared" si="363"/>
        <v>2522</v>
      </c>
      <c r="B2527" t="s">
        <v>3334</v>
      </c>
      <c r="C2527" s="2">
        <v>0.40972222222222221</v>
      </c>
      <c r="D2527" s="4">
        <f t="shared" si="364"/>
        <v>0.12430555555555556</v>
      </c>
      <c r="E2527" s="6">
        <v>0.28541666666666665</v>
      </c>
      <c r="F2527" s="5">
        <f t="shared" si="365"/>
        <v>0.69661016949152543</v>
      </c>
      <c r="G2527" s="5">
        <v>0.75900000000000001</v>
      </c>
      <c r="H2527" s="4">
        <f>54.2/1440</f>
        <v>3.7638888888888888E-2</v>
      </c>
      <c r="I2527" s="5">
        <v>0.1</v>
      </c>
      <c r="J2527" s="11" t="s">
        <v>3340</v>
      </c>
    </row>
    <row r="2528" spans="1:10" ht="13.15" customHeight="1" x14ac:dyDescent="0.25">
      <c r="A2528">
        <f t="shared" si="363"/>
        <v>2523</v>
      </c>
      <c r="B2528" t="s">
        <v>3335</v>
      </c>
      <c r="C2528" s="2">
        <v>0.39097222222222222</v>
      </c>
      <c r="D2528" s="4">
        <f t="shared" si="364"/>
        <v>0.11875000000000002</v>
      </c>
      <c r="E2528" s="6">
        <v>0.2722222222222222</v>
      </c>
      <c r="F2528" s="5">
        <f t="shared" si="365"/>
        <v>0.69626998223801062</v>
      </c>
      <c r="G2528" s="5">
        <v>0.79900000000000004</v>
      </c>
      <c r="H2528" s="4">
        <f>55.8/1440</f>
        <v>3.875E-2</v>
      </c>
      <c r="I2528" s="5">
        <v>0.114</v>
      </c>
      <c r="J2528" s="11" t="s">
        <v>3340</v>
      </c>
    </row>
    <row r="2529" spans="1:10" ht="13.15" customHeight="1" x14ac:dyDescent="0.25">
      <c r="A2529">
        <f t="shared" si="363"/>
        <v>2524</v>
      </c>
      <c r="B2529" t="s">
        <v>3336</v>
      </c>
      <c r="C2529" s="2">
        <v>0.43680555555555556</v>
      </c>
      <c r="D2529" s="4">
        <f t="shared" si="364"/>
        <v>0.12430555555555556</v>
      </c>
      <c r="E2529" s="6">
        <v>0.3125</v>
      </c>
      <c r="F2529" s="5">
        <f t="shared" si="365"/>
        <v>0.71542130365659773</v>
      </c>
      <c r="G2529" s="5">
        <v>0.79200000000000004</v>
      </c>
      <c r="H2529" s="4">
        <f>66.7/1440</f>
        <v>4.6319444444444448E-2</v>
      </c>
      <c r="I2529" s="5">
        <v>0.11700000000000001</v>
      </c>
      <c r="J2529" s="11" t="s">
        <v>3339</v>
      </c>
    </row>
    <row r="2530" spans="1:10" ht="13.15" customHeight="1" x14ac:dyDescent="0.25">
      <c r="A2530">
        <f t="shared" si="363"/>
        <v>2525</v>
      </c>
      <c r="B2530" t="s">
        <v>3337</v>
      </c>
      <c r="C2530" s="2">
        <v>0.46736111111111112</v>
      </c>
      <c r="D2530" s="4">
        <f t="shared" si="364"/>
        <v>0.14722222222222225</v>
      </c>
      <c r="E2530" s="6">
        <v>0.32013888888888886</v>
      </c>
      <c r="F2530" s="5">
        <f t="shared" si="365"/>
        <v>0.6849925705794947</v>
      </c>
      <c r="G2530" s="5">
        <v>0.80400000000000005</v>
      </c>
      <c r="H2530" s="4">
        <f>60.5/1440</f>
        <v>4.2013888888888892E-2</v>
      </c>
      <c r="I2530" s="5">
        <v>0.106</v>
      </c>
      <c r="J2530" s="11" t="s">
        <v>3339</v>
      </c>
    </row>
    <row r="2531" spans="1:10" ht="13.15" customHeight="1" x14ac:dyDescent="0.25">
      <c r="A2531">
        <f t="shared" si="363"/>
        <v>2526</v>
      </c>
      <c r="B2531" t="s">
        <v>3338</v>
      </c>
      <c r="C2531" s="2">
        <v>0.43055555555555558</v>
      </c>
      <c r="D2531" s="4">
        <f t="shared" si="364"/>
        <v>0.15000000000000002</v>
      </c>
      <c r="E2531" s="6">
        <v>0.28055555555555556</v>
      </c>
      <c r="F2531" s="5">
        <f t="shared" si="365"/>
        <v>0.65161290322580645</v>
      </c>
      <c r="G2531" s="5">
        <v>0.81599999999999995</v>
      </c>
      <c r="H2531" s="4">
        <f>82.2/1440</f>
        <v>5.7083333333333333E-2</v>
      </c>
      <c r="I2531" s="5">
        <v>0.16600000000000001</v>
      </c>
      <c r="J2531" s="11" t="s">
        <v>3339</v>
      </c>
    </row>
    <row r="2532" spans="1:10" ht="13.15" customHeight="1" x14ac:dyDescent="0.25">
      <c r="A2532">
        <f t="shared" si="363"/>
        <v>2527</v>
      </c>
      <c r="B2532" t="s">
        <v>3341</v>
      </c>
      <c r="C2532" s="2">
        <v>0.44583333333333336</v>
      </c>
      <c r="D2532" s="4">
        <f t="shared" ref="D2532:D2540" si="366">C2532-E2532</f>
        <v>0.16805555555555557</v>
      </c>
      <c r="E2532" s="6">
        <v>0.27777777777777779</v>
      </c>
      <c r="F2532" s="5">
        <f t="shared" ref="F2532:F2540" si="367">E2532/C2532</f>
        <v>0.62305295950155759</v>
      </c>
      <c r="G2532" s="5">
        <v>0.68600000000000005</v>
      </c>
      <c r="H2532" s="4">
        <f>60.2/1440</f>
        <v>4.1805555555555554E-2</v>
      </c>
      <c r="I2532" s="5">
        <v>0.10299999999999999</v>
      </c>
      <c r="J2532" s="11" t="s">
        <v>3351</v>
      </c>
    </row>
    <row r="2533" spans="1:10" ht="13.15" customHeight="1" x14ac:dyDescent="0.25">
      <c r="A2533">
        <f t="shared" si="363"/>
        <v>2528</v>
      </c>
      <c r="B2533" t="s">
        <v>3342</v>
      </c>
      <c r="C2533" s="2">
        <v>0.48680555555555555</v>
      </c>
      <c r="D2533" s="4">
        <f t="shared" si="366"/>
        <v>0.18333333333333335</v>
      </c>
      <c r="E2533" s="6">
        <v>0.3034722222222222</v>
      </c>
      <c r="F2533" s="5">
        <f t="shared" si="367"/>
        <v>0.62339514978601995</v>
      </c>
      <c r="G2533" s="5">
        <v>0.68</v>
      </c>
      <c r="H2533" s="4">
        <f>65.7/1440</f>
        <v>4.5624999999999999E-2</v>
      </c>
      <c r="I2533" s="5">
        <v>0.10199999999999999</v>
      </c>
      <c r="J2533" s="11" t="s">
        <v>3351</v>
      </c>
    </row>
    <row r="2534" spans="1:10" ht="13.15" customHeight="1" x14ac:dyDescent="0.25">
      <c r="A2534">
        <f t="shared" si="363"/>
        <v>2529</v>
      </c>
      <c r="B2534" t="s">
        <v>3343</v>
      </c>
      <c r="C2534" s="2">
        <v>0.4284722222222222</v>
      </c>
      <c r="D2534" s="4">
        <f t="shared" si="366"/>
        <v>0.16527777777777775</v>
      </c>
      <c r="E2534" s="6">
        <v>0.26319444444444445</v>
      </c>
      <c r="F2534" s="5">
        <f t="shared" si="367"/>
        <v>0.61426256077795793</v>
      </c>
      <c r="G2534" s="5">
        <v>0.68799999999999994</v>
      </c>
      <c r="H2534" s="4">
        <f>57.4/1440</f>
        <v>3.9861111111111111E-2</v>
      </c>
      <c r="I2534" s="5">
        <v>0.104</v>
      </c>
      <c r="J2534" s="11" t="s">
        <v>3351</v>
      </c>
    </row>
    <row r="2535" spans="1:10" ht="13.15" customHeight="1" x14ac:dyDescent="0.25">
      <c r="A2535">
        <f t="shared" si="363"/>
        <v>2530</v>
      </c>
      <c r="B2535" t="s">
        <v>3344</v>
      </c>
      <c r="C2535" s="2">
        <v>0.4236111111111111</v>
      </c>
      <c r="D2535" s="4">
        <f t="shared" si="366"/>
        <v>0.15625</v>
      </c>
      <c r="E2535" s="6">
        <v>0.2673611111111111</v>
      </c>
      <c r="F2535" s="5">
        <f t="shared" si="367"/>
        <v>0.63114754098360659</v>
      </c>
      <c r="G2535" s="5">
        <v>0.70299999999999996</v>
      </c>
      <c r="H2535" s="4">
        <f>63.8/1440</f>
        <v>4.4305555555555556E-2</v>
      </c>
      <c r="I2535" s="5">
        <v>0.11600000000000001</v>
      </c>
      <c r="J2535" s="11" t="s">
        <v>3351</v>
      </c>
    </row>
    <row r="2536" spans="1:10" ht="13.15" customHeight="1" x14ac:dyDescent="0.25">
      <c r="A2536">
        <f t="shared" si="363"/>
        <v>2531</v>
      </c>
      <c r="B2536" t="s">
        <v>3345</v>
      </c>
      <c r="C2536" s="2">
        <v>0.4284722222222222</v>
      </c>
      <c r="D2536" s="4">
        <f t="shared" si="366"/>
        <v>0.18888888888888886</v>
      </c>
      <c r="E2536" s="6">
        <v>0.23958333333333334</v>
      </c>
      <c r="F2536" s="5">
        <f t="shared" si="367"/>
        <v>0.55915721231766613</v>
      </c>
      <c r="G2536" s="5">
        <v>0.55400000000000005</v>
      </c>
      <c r="H2536" s="4">
        <f>63.3/1440</f>
        <v>4.3958333333333328E-2</v>
      </c>
      <c r="I2536" s="5">
        <v>0.10199999999999999</v>
      </c>
      <c r="J2536" s="11" t="s">
        <v>3351</v>
      </c>
    </row>
    <row r="2537" spans="1:10" ht="13.15" customHeight="1" x14ac:dyDescent="0.25">
      <c r="A2537">
        <f t="shared" si="363"/>
        <v>2532</v>
      </c>
      <c r="B2537" t="s">
        <v>3346</v>
      </c>
      <c r="C2537" s="2">
        <v>0.4777777777777778</v>
      </c>
      <c r="D2537" s="4">
        <f t="shared" si="366"/>
        <v>0.21597222222222223</v>
      </c>
      <c r="E2537" s="6">
        <v>0.26180555555555557</v>
      </c>
      <c r="F2537" s="5">
        <f t="shared" si="367"/>
        <v>0.54796511627906974</v>
      </c>
      <c r="G2537" s="5">
        <v>0.81599999999999995</v>
      </c>
      <c r="H2537" s="4">
        <f>54/1440</f>
        <v>3.7499999999999999E-2</v>
      </c>
      <c r="I2537" s="5">
        <v>0.11700000000000001</v>
      </c>
      <c r="J2537" s="11" t="s">
        <v>3350</v>
      </c>
    </row>
    <row r="2538" spans="1:10" ht="13.15" customHeight="1" x14ac:dyDescent="0.25">
      <c r="A2538">
        <f t="shared" si="363"/>
        <v>2533</v>
      </c>
      <c r="B2538" t="s">
        <v>3347</v>
      </c>
      <c r="C2538" s="2">
        <v>0.48333333333333334</v>
      </c>
      <c r="D2538" s="4">
        <f t="shared" si="366"/>
        <v>0.14097222222222222</v>
      </c>
      <c r="E2538" s="6">
        <v>0.34236111111111112</v>
      </c>
      <c r="F2538" s="5">
        <f t="shared" si="367"/>
        <v>0.70833333333333337</v>
      </c>
      <c r="G2538" s="5">
        <v>0.63600000000000001</v>
      </c>
      <c r="H2538" s="4">
        <f>60.6/1440</f>
        <v>4.2083333333333334E-2</v>
      </c>
      <c r="I2538" s="5">
        <v>7.8E-2</v>
      </c>
      <c r="J2538" s="11" t="s">
        <v>3350</v>
      </c>
    </row>
    <row r="2539" spans="1:10" ht="13.15" customHeight="1" x14ac:dyDescent="0.25">
      <c r="A2539">
        <f t="shared" si="363"/>
        <v>2534</v>
      </c>
      <c r="B2539" t="s">
        <v>3348</v>
      </c>
      <c r="C2539" s="2">
        <v>0.44791666666666669</v>
      </c>
      <c r="D2539" s="4">
        <f t="shared" si="366"/>
        <v>0.10972222222222222</v>
      </c>
      <c r="E2539" s="6">
        <v>0.33819444444444446</v>
      </c>
      <c r="F2539" s="5">
        <f t="shared" si="367"/>
        <v>0.75503875968992251</v>
      </c>
      <c r="G2539" s="5">
        <v>0.66200000000000003</v>
      </c>
      <c r="H2539" s="4">
        <f>35.1/1440</f>
        <v>2.4375000000000001E-2</v>
      </c>
      <c r="I2539" s="5">
        <v>4.8000000000000001E-2</v>
      </c>
      <c r="J2539" s="11" t="s">
        <v>3350</v>
      </c>
    </row>
    <row r="2540" spans="1:10" ht="13.15" customHeight="1" x14ac:dyDescent="0.25">
      <c r="A2540">
        <f t="shared" si="363"/>
        <v>2535</v>
      </c>
      <c r="B2540" t="s">
        <v>3349</v>
      </c>
      <c r="C2540" s="2">
        <v>0.4513888888888889</v>
      </c>
      <c r="D2540" s="4">
        <f t="shared" si="366"/>
        <v>0.11805555555555558</v>
      </c>
      <c r="E2540" s="6">
        <v>0.33333333333333331</v>
      </c>
      <c r="F2540" s="5">
        <f t="shared" si="367"/>
        <v>0.73846153846153839</v>
      </c>
      <c r="G2540" s="5">
        <v>0.89100000000000001</v>
      </c>
      <c r="H2540" s="4">
        <f>55.3/1440</f>
        <v>3.8402777777777779E-2</v>
      </c>
      <c r="I2540" s="5">
        <v>0.10299999999999999</v>
      </c>
      <c r="J2540" s="11" t="s">
        <v>3350</v>
      </c>
    </row>
    <row r="2541" spans="1:10" ht="13.15" customHeight="1" x14ac:dyDescent="0.25">
      <c r="A2541">
        <f t="shared" si="363"/>
        <v>2536</v>
      </c>
      <c r="B2541" t="s">
        <v>3352</v>
      </c>
      <c r="C2541" s="2">
        <v>0.44374999999999998</v>
      </c>
      <c r="D2541" s="4">
        <f t="shared" ref="D2541:D2549" si="368">C2541-E2541</f>
        <v>0.1159722222222222</v>
      </c>
      <c r="E2541" s="6">
        <v>0.32777777777777778</v>
      </c>
      <c r="F2541" s="5">
        <f t="shared" ref="F2541:F2549" si="369">E2541/C2541</f>
        <v>0.73865414710485133</v>
      </c>
      <c r="G2541" s="5">
        <v>0.77400000000000002</v>
      </c>
      <c r="H2541" s="4">
        <f>58.8/1440</f>
        <v>4.0833333333333333E-2</v>
      </c>
      <c r="I2541" s="5">
        <v>9.7000000000000003E-2</v>
      </c>
      <c r="J2541" s="11" t="s">
        <v>3362</v>
      </c>
    </row>
    <row r="2542" spans="1:10" ht="13.15" customHeight="1" x14ac:dyDescent="0.25">
      <c r="A2542">
        <f t="shared" si="363"/>
        <v>2537</v>
      </c>
      <c r="B2542" t="s">
        <v>3353</v>
      </c>
      <c r="C2542" s="2">
        <v>0.41597222222222224</v>
      </c>
      <c r="D2542" s="4">
        <f t="shared" si="368"/>
        <v>9.3055555555555558E-2</v>
      </c>
      <c r="E2542" s="6">
        <v>0.32291666666666669</v>
      </c>
      <c r="F2542" s="5">
        <f t="shared" si="369"/>
        <v>0.77629382303839733</v>
      </c>
      <c r="G2542" s="5">
        <v>0.745</v>
      </c>
      <c r="H2542" s="4">
        <f>63/1440</f>
        <v>4.3749999999999997E-2</v>
      </c>
      <c r="I2542" s="5">
        <v>0.10100000000000001</v>
      </c>
      <c r="J2542" s="11" t="s">
        <v>3362</v>
      </c>
    </row>
    <row r="2543" spans="1:10" ht="13.15" customHeight="1" x14ac:dyDescent="0.25">
      <c r="A2543">
        <f t="shared" si="363"/>
        <v>2538</v>
      </c>
      <c r="B2543" t="s">
        <v>3354</v>
      </c>
      <c r="C2543" s="2">
        <v>0.45</v>
      </c>
      <c r="D2543" s="4">
        <f t="shared" si="368"/>
        <v>0.12222222222222223</v>
      </c>
      <c r="E2543" s="6">
        <v>0.32777777777777778</v>
      </c>
      <c r="F2543" s="5">
        <f t="shared" si="369"/>
        <v>0.72839506172839508</v>
      </c>
      <c r="G2543" s="5">
        <v>0.76300000000000001</v>
      </c>
      <c r="H2543" s="4">
        <f>62.5/1440</f>
        <v>4.3402777777777776E-2</v>
      </c>
      <c r="I2543" s="5">
        <v>0.10100000000000001</v>
      </c>
      <c r="J2543" s="11" t="s">
        <v>3362</v>
      </c>
    </row>
    <row r="2544" spans="1:10" ht="13.15" customHeight="1" x14ac:dyDescent="0.25">
      <c r="A2544">
        <f t="shared" si="363"/>
        <v>2539</v>
      </c>
      <c r="B2544" t="s">
        <v>3355</v>
      </c>
      <c r="C2544" s="2">
        <v>0.38611111111111113</v>
      </c>
      <c r="D2544" s="4">
        <f t="shared" si="368"/>
        <v>0.11875000000000002</v>
      </c>
      <c r="E2544" s="6">
        <v>0.2673611111111111</v>
      </c>
      <c r="F2544" s="5">
        <f t="shared" si="369"/>
        <v>0.69244604316546754</v>
      </c>
      <c r="G2544" s="5">
        <v>0.74199999999999999</v>
      </c>
      <c r="H2544" s="4">
        <f>59.1/1440</f>
        <v>4.1041666666666671E-2</v>
      </c>
      <c r="I2544" s="5">
        <v>0.114</v>
      </c>
      <c r="J2544" s="11" t="s">
        <v>3362</v>
      </c>
    </row>
    <row r="2545" spans="1:10" ht="13.15" customHeight="1" x14ac:dyDescent="0.25">
      <c r="A2545">
        <f t="shared" si="363"/>
        <v>2540</v>
      </c>
      <c r="B2545" t="s">
        <v>3356</v>
      </c>
      <c r="C2545" s="2">
        <v>0.50902777777777775</v>
      </c>
      <c r="D2545" s="4">
        <f t="shared" si="368"/>
        <v>0.14444444444444443</v>
      </c>
      <c r="E2545" s="6">
        <v>0.36458333333333331</v>
      </c>
      <c r="F2545" s="5">
        <f t="shared" si="369"/>
        <v>0.71623465211459758</v>
      </c>
      <c r="G2545" s="5">
        <v>0.75600000000000001</v>
      </c>
      <c r="H2545" s="4">
        <f>48.8/1440</f>
        <v>3.3888888888888885E-2</v>
      </c>
      <c r="I2545" s="5">
        <v>7.0000000000000007E-2</v>
      </c>
      <c r="J2545" s="11" t="s">
        <v>3362</v>
      </c>
    </row>
    <row r="2546" spans="1:10" ht="13.15" customHeight="1" x14ac:dyDescent="0.25">
      <c r="A2546">
        <f t="shared" si="363"/>
        <v>2541</v>
      </c>
      <c r="B2546" t="s">
        <v>3357</v>
      </c>
      <c r="C2546" s="2">
        <v>0.47708333333333336</v>
      </c>
      <c r="D2546" s="4">
        <f t="shared" si="368"/>
        <v>0.13750000000000001</v>
      </c>
      <c r="E2546" s="6">
        <v>0.33958333333333335</v>
      </c>
      <c r="F2546" s="5">
        <f t="shared" si="369"/>
        <v>0.71179039301310043</v>
      </c>
      <c r="G2546" s="5">
        <v>0.85699999999999998</v>
      </c>
      <c r="H2546" s="4">
        <f>58.2/1440</f>
        <v>4.041666666666667E-2</v>
      </c>
      <c r="I2546" s="5">
        <v>0.10199999999999999</v>
      </c>
      <c r="J2546" s="11" t="s">
        <v>3361</v>
      </c>
    </row>
    <row r="2547" spans="1:10" ht="13.15" customHeight="1" x14ac:dyDescent="0.25">
      <c r="A2547">
        <f t="shared" si="363"/>
        <v>2542</v>
      </c>
      <c r="B2547" t="s">
        <v>3358</v>
      </c>
      <c r="C2547" s="2">
        <v>0.57986111111111116</v>
      </c>
      <c r="D2547" s="4">
        <f t="shared" si="368"/>
        <v>0.1743055555555556</v>
      </c>
      <c r="E2547" s="6">
        <v>0.40555555555555556</v>
      </c>
      <c r="F2547" s="5">
        <f t="shared" si="369"/>
        <v>0.69940119760479036</v>
      </c>
      <c r="G2547" s="5">
        <v>0.83599999999999997</v>
      </c>
      <c r="H2547" s="4">
        <f>61.8/1440</f>
        <v>4.2916666666666665E-2</v>
      </c>
      <c r="I2547" s="5">
        <v>8.8999999999999996E-2</v>
      </c>
      <c r="J2547" s="11" t="s">
        <v>3361</v>
      </c>
    </row>
    <row r="2548" spans="1:10" ht="13.15" customHeight="1" x14ac:dyDescent="0.25">
      <c r="A2548">
        <f t="shared" si="363"/>
        <v>2543</v>
      </c>
      <c r="B2548" t="s">
        <v>3359</v>
      </c>
      <c r="C2548" s="2">
        <v>0.46319444444444446</v>
      </c>
      <c r="D2548" s="4">
        <f t="shared" si="368"/>
        <v>0.10208333333333336</v>
      </c>
      <c r="E2548" s="6">
        <v>0.3611111111111111</v>
      </c>
      <c r="F2548" s="5">
        <f t="shared" si="369"/>
        <v>0.77961019490254868</v>
      </c>
      <c r="G2548" s="5">
        <v>0.82499999999999996</v>
      </c>
      <c r="H2548" s="4">
        <f>50.6/1440</f>
        <v>3.5138888888888893E-2</v>
      </c>
      <c r="I2548" s="5">
        <v>0.08</v>
      </c>
      <c r="J2548" s="11" t="s">
        <v>3361</v>
      </c>
    </row>
    <row r="2549" spans="1:10" ht="13.15" customHeight="1" x14ac:dyDescent="0.25">
      <c r="A2549">
        <f t="shared" si="363"/>
        <v>2544</v>
      </c>
      <c r="B2549" t="s">
        <v>3360</v>
      </c>
      <c r="C2549" s="2">
        <v>0.47847222222222224</v>
      </c>
      <c r="D2549" s="4">
        <f t="shared" si="368"/>
        <v>0.11875000000000002</v>
      </c>
      <c r="E2549" s="6">
        <v>0.35972222222222222</v>
      </c>
      <c r="F2549" s="5">
        <f t="shared" si="369"/>
        <v>0.75181422351233673</v>
      </c>
      <c r="G2549" s="5">
        <v>0.80300000000000005</v>
      </c>
      <c r="H2549" s="4">
        <f>58.3/1440</f>
        <v>4.0486111111111112E-2</v>
      </c>
      <c r="I2549" s="5">
        <v>0.09</v>
      </c>
      <c r="J2549" s="11" t="s">
        <v>3361</v>
      </c>
    </row>
    <row r="2550" spans="1:10" ht="13.15" customHeight="1" x14ac:dyDescent="0.25">
      <c r="A2550">
        <f t="shared" si="363"/>
        <v>2545</v>
      </c>
      <c r="B2550" t="s">
        <v>3363</v>
      </c>
      <c r="C2550" s="2">
        <v>0.36388888888888887</v>
      </c>
      <c r="D2550" s="4">
        <f t="shared" ref="D2550:D2558" si="370">C2550-E2550</f>
        <v>0.1159722222222222</v>
      </c>
      <c r="E2550" s="6">
        <v>0.24791666666666667</v>
      </c>
      <c r="F2550" s="5">
        <f t="shared" ref="F2550:F2558" si="371">E2550/C2550</f>
        <v>0.68129770992366412</v>
      </c>
      <c r="G2550" s="5">
        <v>0.80200000000000005</v>
      </c>
      <c r="H2550" s="4">
        <f>55.3/1440</f>
        <v>3.8402777777777779E-2</v>
      </c>
      <c r="I2550" s="5">
        <v>0.124</v>
      </c>
      <c r="J2550" s="11" t="s">
        <v>3373</v>
      </c>
    </row>
    <row r="2551" spans="1:10" ht="13.15" customHeight="1" x14ac:dyDescent="0.25">
      <c r="A2551">
        <f t="shared" si="363"/>
        <v>2546</v>
      </c>
      <c r="B2551" t="s">
        <v>3364</v>
      </c>
      <c r="C2551" s="2">
        <v>0.42152777777777778</v>
      </c>
      <c r="D2551" s="4">
        <f t="shared" si="370"/>
        <v>0.1340277777777778</v>
      </c>
      <c r="E2551" s="6">
        <v>0.28749999999999998</v>
      </c>
      <c r="F2551" s="5">
        <f t="shared" si="371"/>
        <v>0.68204283360790774</v>
      </c>
      <c r="G2551" s="5">
        <v>0.86499999999999999</v>
      </c>
      <c r="H2551" s="4">
        <f>58.5/1440</f>
        <v>4.0625000000000001E-2</v>
      </c>
      <c r="I2551" s="5">
        <v>0.122</v>
      </c>
      <c r="J2551" s="11" t="s">
        <v>3373</v>
      </c>
    </row>
    <row r="2552" spans="1:10" ht="13.15" customHeight="1" x14ac:dyDescent="0.25">
      <c r="A2552">
        <f t="shared" si="363"/>
        <v>2547</v>
      </c>
      <c r="B2552" t="s">
        <v>3365</v>
      </c>
      <c r="C2552" s="2">
        <v>0.43541666666666667</v>
      </c>
      <c r="D2552" s="4">
        <f t="shared" si="370"/>
        <v>0.1479166666666667</v>
      </c>
      <c r="E2552" s="6">
        <v>0.28749999999999998</v>
      </c>
      <c r="F2552" s="5">
        <f t="shared" si="371"/>
        <v>0.66028708133971281</v>
      </c>
      <c r="G2552" s="5">
        <v>0.82199999999999995</v>
      </c>
      <c r="H2552" s="4">
        <f>49.2/1440</f>
        <v>3.4166666666666672E-2</v>
      </c>
      <c r="I2552" s="5">
        <v>9.8000000000000004E-2</v>
      </c>
      <c r="J2552" s="11" t="s">
        <v>3373</v>
      </c>
    </row>
    <row r="2553" spans="1:10" ht="13.15" customHeight="1" x14ac:dyDescent="0.25">
      <c r="A2553">
        <f t="shared" si="363"/>
        <v>2548</v>
      </c>
      <c r="B2553" t="s">
        <v>3366</v>
      </c>
      <c r="C2553" s="2">
        <v>0.34722222222222221</v>
      </c>
      <c r="D2553" s="4">
        <f t="shared" si="370"/>
        <v>0.10763888888888887</v>
      </c>
      <c r="E2553" s="6">
        <v>0.23958333333333334</v>
      </c>
      <c r="F2553" s="5">
        <f t="shared" si="371"/>
        <v>0.69000000000000006</v>
      </c>
      <c r="G2553" s="5">
        <v>0.78700000000000003</v>
      </c>
      <c r="H2553" s="4">
        <f>44.3/1440</f>
        <v>3.0763888888888886E-2</v>
      </c>
      <c r="I2553" s="5">
        <v>0.10100000000000001</v>
      </c>
      <c r="J2553" s="11" t="s">
        <v>3373</v>
      </c>
    </row>
    <row r="2554" spans="1:10" ht="13.15" customHeight="1" x14ac:dyDescent="0.25">
      <c r="A2554">
        <f t="shared" si="363"/>
        <v>2549</v>
      </c>
      <c r="B2554" t="s">
        <v>3367</v>
      </c>
      <c r="C2554" s="2">
        <v>0.28888888888888886</v>
      </c>
      <c r="D2554" s="4">
        <f t="shared" si="370"/>
        <v>9.0972222222222204E-2</v>
      </c>
      <c r="E2554" s="6">
        <v>0.19791666666666666</v>
      </c>
      <c r="F2554" s="5">
        <f t="shared" si="371"/>
        <v>0.68509615384615385</v>
      </c>
      <c r="G2554" s="5">
        <v>0.76600000000000001</v>
      </c>
      <c r="H2554" s="4">
        <f>59.7/1440</f>
        <v>4.1458333333333333E-2</v>
      </c>
      <c r="I2554" s="5">
        <v>0.16</v>
      </c>
      <c r="J2554" s="11" t="s">
        <v>3373</v>
      </c>
    </row>
    <row r="2555" spans="1:10" ht="13.15" customHeight="1" x14ac:dyDescent="0.25">
      <c r="A2555">
        <f t="shared" si="363"/>
        <v>2550</v>
      </c>
      <c r="B2555" t="s">
        <v>3368</v>
      </c>
      <c r="C2555" s="2">
        <v>0.35069444444444442</v>
      </c>
      <c r="D2555" s="4">
        <f t="shared" si="370"/>
        <v>0.12361111111111109</v>
      </c>
      <c r="E2555" s="6">
        <v>0.22708333333333333</v>
      </c>
      <c r="F2555" s="5">
        <f t="shared" si="371"/>
        <v>0.64752475247524754</v>
      </c>
      <c r="G2555" s="5">
        <v>0.76200000000000001</v>
      </c>
      <c r="H2555" s="4">
        <f>58.4/1440</f>
        <v>4.0555555555555553E-2</v>
      </c>
      <c r="I2555" s="5">
        <v>0.13600000000000001</v>
      </c>
      <c r="J2555" s="11" t="s">
        <v>3372</v>
      </c>
    </row>
    <row r="2556" spans="1:10" ht="13.15" customHeight="1" x14ac:dyDescent="0.25">
      <c r="A2556">
        <f t="shared" si="363"/>
        <v>2551</v>
      </c>
      <c r="B2556" t="s">
        <v>3369</v>
      </c>
      <c r="C2556" s="2">
        <v>0.32916666666666666</v>
      </c>
      <c r="D2556" s="4">
        <f t="shared" si="370"/>
        <v>0.10833333333333334</v>
      </c>
      <c r="E2556" s="6">
        <v>0.22083333333333333</v>
      </c>
      <c r="F2556" s="5">
        <f t="shared" si="371"/>
        <v>0.67088607594936711</v>
      </c>
      <c r="G2556" s="5">
        <v>0.85799999999999998</v>
      </c>
      <c r="H2556" s="4">
        <f>58.8/1440</f>
        <v>4.0833333333333333E-2</v>
      </c>
      <c r="I2556" s="5">
        <v>0.159</v>
      </c>
      <c r="J2556" s="11" t="s">
        <v>3372</v>
      </c>
    </row>
    <row r="2557" spans="1:10" ht="13.15" customHeight="1" x14ac:dyDescent="0.25">
      <c r="A2557">
        <f t="shared" si="363"/>
        <v>2552</v>
      </c>
      <c r="B2557" t="s">
        <v>3370</v>
      </c>
      <c r="C2557" s="2">
        <v>0.4284722222222222</v>
      </c>
      <c r="D2557" s="4">
        <f t="shared" si="370"/>
        <v>0.10624999999999996</v>
      </c>
      <c r="E2557" s="6">
        <v>0.32222222222222224</v>
      </c>
      <c r="F2557" s="5">
        <f t="shared" si="371"/>
        <v>0.75202593192868727</v>
      </c>
      <c r="G2557" s="5">
        <v>0.69199999999999995</v>
      </c>
      <c r="H2557" s="4">
        <f>59.5/1440</f>
        <v>4.1319444444444443E-2</v>
      </c>
      <c r="I2557" s="5">
        <v>8.8999999999999996E-2</v>
      </c>
      <c r="J2557" s="11" t="s">
        <v>3372</v>
      </c>
    </row>
    <row r="2558" spans="1:10" ht="13.15" customHeight="1" x14ac:dyDescent="0.25">
      <c r="A2558">
        <f t="shared" si="363"/>
        <v>2553</v>
      </c>
      <c r="B2558" t="s">
        <v>3371</v>
      </c>
      <c r="C2558" s="2">
        <v>0.46666666666666667</v>
      </c>
      <c r="D2558" s="4">
        <f t="shared" si="370"/>
        <v>0.17777777777777781</v>
      </c>
      <c r="E2558" s="6">
        <v>0.28888888888888886</v>
      </c>
      <c r="F2558" s="5">
        <f t="shared" si="371"/>
        <v>0.61904761904761896</v>
      </c>
      <c r="G2558" s="5">
        <v>0.79500000000000004</v>
      </c>
      <c r="H2558" s="4">
        <f>57.7/1440</f>
        <v>4.0069444444444449E-2</v>
      </c>
      <c r="I2558" s="5">
        <v>0.11</v>
      </c>
      <c r="J2558" s="11" t="s">
        <v>3372</v>
      </c>
    </row>
    <row r="2559" spans="1:10" ht="13.15" customHeight="1" x14ac:dyDescent="0.25">
      <c r="A2559">
        <f t="shared" si="363"/>
        <v>2554</v>
      </c>
      <c r="B2559" t="s">
        <v>3374</v>
      </c>
      <c r="C2559" s="2">
        <v>0.46319444444444446</v>
      </c>
      <c r="D2559" s="4">
        <f t="shared" ref="D2559:D2567" si="372">C2559-E2559</f>
        <v>0.10694444444444445</v>
      </c>
      <c r="E2559" s="6">
        <v>0.35625000000000001</v>
      </c>
      <c r="F2559" s="5">
        <f t="shared" ref="F2559:F2567" si="373">E2559/C2559</f>
        <v>0.76911544227886053</v>
      </c>
      <c r="G2559" s="5">
        <v>0.80600000000000005</v>
      </c>
      <c r="H2559" s="4">
        <f>53.5/1440</f>
        <v>3.7152777777777778E-2</v>
      </c>
      <c r="I2559" s="5">
        <v>8.4000000000000005E-2</v>
      </c>
      <c r="J2559" s="11" t="s">
        <v>3384</v>
      </c>
    </row>
    <row r="2560" spans="1:10" ht="13.15" customHeight="1" x14ac:dyDescent="0.25">
      <c r="A2560">
        <f t="shared" si="363"/>
        <v>2555</v>
      </c>
      <c r="B2560" t="s">
        <v>3375</v>
      </c>
      <c r="C2560" s="2">
        <v>0.49444444444444446</v>
      </c>
      <c r="D2560" s="4">
        <f t="shared" si="372"/>
        <v>0.125</v>
      </c>
      <c r="E2560" s="6">
        <v>0.36944444444444446</v>
      </c>
      <c r="F2560" s="5">
        <f t="shared" si="373"/>
        <v>0.7471910112359551</v>
      </c>
      <c r="G2560" s="5">
        <v>0.80800000000000005</v>
      </c>
      <c r="H2560" s="4">
        <f>60.2/1440</f>
        <v>4.1805555555555554E-2</v>
      </c>
      <c r="I2560" s="5">
        <v>9.0999999999999998E-2</v>
      </c>
      <c r="J2560" s="11" t="s">
        <v>3384</v>
      </c>
    </row>
    <row r="2561" spans="1:10" ht="13.15" customHeight="1" x14ac:dyDescent="0.25">
      <c r="A2561">
        <f t="shared" si="363"/>
        <v>2556</v>
      </c>
      <c r="B2561" t="s">
        <v>3376</v>
      </c>
      <c r="C2561" s="2">
        <v>0.42638888888888887</v>
      </c>
      <c r="D2561" s="4">
        <f t="shared" si="372"/>
        <v>0.10972222222222222</v>
      </c>
      <c r="E2561" s="6">
        <v>0.31666666666666665</v>
      </c>
      <c r="F2561" s="5">
        <f t="shared" si="373"/>
        <v>0.74267100977198697</v>
      </c>
      <c r="G2561" s="5">
        <v>0.80600000000000005</v>
      </c>
      <c r="H2561" s="4">
        <f>39.1/1440</f>
        <v>2.7152777777777779E-2</v>
      </c>
      <c r="I2561" s="5">
        <v>6.9000000000000006E-2</v>
      </c>
      <c r="J2561" s="11" t="s">
        <v>3384</v>
      </c>
    </row>
    <row r="2562" spans="1:10" ht="13.15" customHeight="1" x14ac:dyDescent="0.25">
      <c r="A2562">
        <f t="shared" si="363"/>
        <v>2557</v>
      </c>
      <c r="B2562" t="s">
        <v>3377</v>
      </c>
      <c r="C2562" s="2">
        <v>0.46458333333333335</v>
      </c>
      <c r="D2562" s="4">
        <f t="shared" si="372"/>
        <v>0.10000000000000003</v>
      </c>
      <c r="E2562" s="6">
        <v>0.36458333333333331</v>
      </c>
      <c r="F2562" s="5">
        <f t="shared" si="373"/>
        <v>0.78475336322869949</v>
      </c>
      <c r="G2562" s="5">
        <v>0.79</v>
      </c>
      <c r="H2562" s="4">
        <f>48.6/1440</f>
        <v>3.3750000000000002E-2</v>
      </c>
      <c r="I2562" s="5">
        <v>7.2999999999999995E-2</v>
      </c>
      <c r="J2562" s="11" t="s">
        <v>3384</v>
      </c>
    </row>
    <row r="2563" spans="1:10" ht="13.15" customHeight="1" x14ac:dyDescent="0.25">
      <c r="A2563">
        <f t="shared" si="363"/>
        <v>2558</v>
      </c>
      <c r="B2563" t="s">
        <v>3378</v>
      </c>
      <c r="C2563" s="2">
        <v>0.46597222222222223</v>
      </c>
      <c r="D2563" s="4">
        <f t="shared" si="372"/>
        <v>9.375E-2</v>
      </c>
      <c r="E2563" s="6">
        <v>0.37222222222222223</v>
      </c>
      <c r="F2563" s="5">
        <f t="shared" si="373"/>
        <v>0.79880774962742174</v>
      </c>
      <c r="G2563" s="5">
        <v>0.75</v>
      </c>
      <c r="H2563" s="4">
        <f>55/1440</f>
        <v>3.8194444444444448E-2</v>
      </c>
      <c r="I2563" s="5">
        <v>7.6999999999999999E-2</v>
      </c>
      <c r="J2563" s="11" t="s">
        <v>3384</v>
      </c>
    </row>
    <row r="2564" spans="1:10" ht="13.15" customHeight="1" x14ac:dyDescent="0.25">
      <c r="A2564">
        <f t="shared" si="363"/>
        <v>2559</v>
      </c>
      <c r="B2564" t="s">
        <v>3379</v>
      </c>
      <c r="C2564" s="2">
        <v>0.43541666666666667</v>
      </c>
      <c r="D2564" s="4">
        <f t="shared" si="372"/>
        <v>0.10972222222222222</v>
      </c>
      <c r="E2564" s="6">
        <v>0.32569444444444445</v>
      </c>
      <c r="F2564" s="5">
        <f t="shared" si="373"/>
        <v>0.74800637958532701</v>
      </c>
      <c r="G2564" s="5">
        <v>0.74299999999999999</v>
      </c>
      <c r="H2564" s="4">
        <f>59.8/1440</f>
        <v>4.1527777777777775E-2</v>
      </c>
      <c r="I2564" s="5">
        <v>9.5000000000000001E-2</v>
      </c>
      <c r="J2564" s="11" t="s">
        <v>3383</v>
      </c>
    </row>
    <row r="2565" spans="1:10" ht="13.15" customHeight="1" x14ac:dyDescent="0.25">
      <c r="A2565">
        <f t="shared" si="363"/>
        <v>2560</v>
      </c>
      <c r="B2565" t="s">
        <v>3380</v>
      </c>
      <c r="C2565" s="2">
        <v>0.52638888888888891</v>
      </c>
      <c r="D2565" s="4">
        <f t="shared" si="372"/>
        <v>0.11458333333333337</v>
      </c>
      <c r="E2565" s="6">
        <v>0.41180555555555554</v>
      </c>
      <c r="F2565" s="5">
        <f t="shared" si="373"/>
        <v>0.78232189973614774</v>
      </c>
      <c r="G2565" s="5">
        <v>0.89400000000000002</v>
      </c>
      <c r="H2565" s="4">
        <f>59.9/1440</f>
        <v>4.1597222222222223E-2</v>
      </c>
      <c r="I2565" s="5">
        <v>0.09</v>
      </c>
      <c r="J2565" s="11" t="s">
        <v>3383</v>
      </c>
    </row>
    <row r="2566" spans="1:10" ht="13.15" customHeight="1" x14ac:dyDescent="0.25">
      <c r="A2566">
        <f t="shared" si="363"/>
        <v>2561</v>
      </c>
      <c r="B2566" t="s">
        <v>3381</v>
      </c>
      <c r="C2566" s="2">
        <v>0.49166666666666664</v>
      </c>
      <c r="D2566" s="4">
        <f t="shared" si="372"/>
        <v>0.10624999999999996</v>
      </c>
      <c r="E2566" s="6">
        <v>0.38541666666666669</v>
      </c>
      <c r="F2566" s="5">
        <f t="shared" si="373"/>
        <v>0.78389830508474589</v>
      </c>
      <c r="G2566" s="5">
        <v>0.92300000000000004</v>
      </c>
      <c r="H2566" s="4">
        <f>64.5/1440</f>
        <v>4.4791666666666667E-2</v>
      </c>
      <c r="I2566" s="5">
        <v>0.107</v>
      </c>
      <c r="J2566" s="11" t="s">
        <v>3383</v>
      </c>
    </row>
    <row r="2567" spans="1:10" ht="13.15" customHeight="1" x14ac:dyDescent="0.25">
      <c r="A2567">
        <f t="shared" si="363"/>
        <v>2562</v>
      </c>
      <c r="B2567" t="s">
        <v>3382</v>
      </c>
      <c r="C2567" s="2">
        <v>0.42499999999999999</v>
      </c>
      <c r="D2567" s="4">
        <f t="shared" si="372"/>
        <v>8.6805555555555525E-2</v>
      </c>
      <c r="E2567" s="6">
        <v>0.33819444444444446</v>
      </c>
      <c r="F2567" s="5">
        <f t="shared" si="373"/>
        <v>0.79575163398692816</v>
      </c>
      <c r="G2567" s="5">
        <v>0.83299999999999996</v>
      </c>
      <c r="H2567" s="4">
        <f>58.1/1440</f>
        <v>4.0347222222222222E-2</v>
      </c>
      <c r="I2567" s="5">
        <v>9.9000000000000005E-2</v>
      </c>
      <c r="J2567" s="11" t="s">
        <v>3383</v>
      </c>
    </row>
    <row r="2568" spans="1:10" ht="13.15" customHeight="1" x14ac:dyDescent="0.25">
      <c r="A2568">
        <f t="shared" si="363"/>
        <v>2563</v>
      </c>
      <c r="B2568" t="s">
        <v>3385</v>
      </c>
      <c r="C2568" s="2">
        <v>0.46041666666666664</v>
      </c>
      <c r="D2568" s="4">
        <f t="shared" ref="D2568:D2576" si="374">C2568-E2568</f>
        <v>0.11527777777777776</v>
      </c>
      <c r="E2568" s="6">
        <v>0.34513888888888888</v>
      </c>
      <c r="F2568" s="5">
        <f t="shared" ref="F2568:F2576" si="375">E2568/C2568</f>
        <v>0.74962292609351433</v>
      </c>
      <c r="G2568" s="5">
        <v>0.80300000000000005</v>
      </c>
      <c r="H2568" s="4">
        <f>62.1/1440</f>
        <v>4.3125000000000004E-2</v>
      </c>
      <c r="I2568" s="5">
        <v>0.1</v>
      </c>
      <c r="J2568" s="11" t="s">
        <v>3395</v>
      </c>
    </row>
    <row r="2569" spans="1:10" ht="13.15" customHeight="1" x14ac:dyDescent="0.25">
      <c r="A2569">
        <f t="shared" si="363"/>
        <v>2564</v>
      </c>
      <c r="B2569" t="s">
        <v>3386</v>
      </c>
      <c r="C2569" s="2">
        <v>0.48333333333333334</v>
      </c>
      <c r="D2569" s="4">
        <f t="shared" si="374"/>
        <v>0.12222222222222223</v>
      </c>
      <c r="E2569" s="6">
        <v>0.3611111111111111</v>
      </c>
      <c r="F2569" s="5">
        <f t="shared" si="375"/>
        <v>0.74712643678160917</v>
      </c>
      <c r="G2569" s="5">
        <v>0.83799999999999997</v>
      </c>
      <c r="H2569" s="4">
        <f>69.8/1440</f>
        <v>4.8472222222222222E-2</v>
      </c>
      <c r="I2569" s="5">
        <v>0.112</v>
      </c>
      <c r="J2569" s="11" t="s">
        <v>3395</v>
      </c>
    </row>
    <row r="2570" spans="1:10" ht="13.15" customHeight="1" x14ac:dyDescent="0.25">
      <c r="A2570">
        <f t="shared" si="363"/>
        <v>2565</v>
      </c>
      <c r="B2570" t="s">
        <v>3387</v>
      </c>
      <c r="C2570" s="2">
        <v>0.43958333333333333</v>
      </c>
      <c r="D2570" s="4">
        <f t="shared" si="374"/>
        <v>0.11874999999999997</v>
      </c>
      <c r="E2570" s="6">
        <v>0.32083333333333336</v>
      </c>
      <c r="F2570" s="5">
        <f t="shared" si="375"/>
        <v>0.72985781990521337</v>
      </c>
      <c r="G2570" s="5">
        <v>0.74299999999999999</v>
      </c>
      <c r="H2570" s="4">
        <f>51.8/1440</f>
        <v>3.5972222222222218E-2</v>
      </c>
      <c r="I2570" s="5">
        <v>8.3000000000000004E-2</v>
      </c>
      <c r="J2570" s="11" t="s">
        <v>3395</v>
      </c>
    </row>
    <row r="2571" spans="1:10" ht="13.15" customHeight="1" x14ac:dyDescent="0.25">
      <c r="A2571">
        <f t="shared" si="363"/>
        <v>2566</v>
      </c>
      <c r="B2571" t="s">
        <v>3388</v>
      </c>
      <c r="C2571" s="2">
        <v>0.42708333333333331</v>
      </c>
      <c r="D2571" s="4">
        <f t="shared" si="374"/>
        <v>0.11458333333333331</v>
      </c>
      <c r="E2571" s="6">
        <v>0.3125</v>
      </c>
      <c r="F2571" s="5">
        <f t="shared" si="375"/>
        <v>0.73170731707317072</v>
      </c>
      <c r="G2571" s="5">
        <v>0.73099999999999998</v>
      </c>
      <c r="H2571" s="4">
        <f>58.4/1440</f>
        <v>4.0555555555555553E-2</v>
      </c>
      <c r="I2571" s="5">
        <v>9.5000000000000001E-2</v>
      </c>
      <c r="J2571" s="11" t="s">
        <v>3395</v>
      </c>
    </row>
    <row r="2572" spans="1:10" ht="13.15" customHeight="1" x14ac:dyDescent="0.25">
      <c r="A2572">
        <f t="shared" si="363"/>
        <v>2567</v>
      </c>
      <c r="B2572" t="s">
        <v>3389</v>
      </c>
      <c r="C2572" s="2">
        <v>0.46805555555555556</v>
      </c>
      <c r="D2572" s="4">
        <f t="shared" si="374"/>
        <v>0.12222222222222223</v>
      </c>
      <c r="E2572" s="6">
        <v>0.34583333333333333</v>
      </c>
      <c r="F2572" s="5">
        <f t="shared" si="375"/>
        <v>0.73887240356083084</v>
      </c>
      <c r="G2572" s="5">
        <v>0.83299999999999996</v>
      </c>
      <c r="H2572" s="4">
        <f>60/1440</f>
        <v>4.1666666666666664E-2</v>
      </c>
      <c r="I2572" s="5">
        <v>0.1</v>
      </c>
      <c r="J2572" s="11" t="s">
        <v>3395</v>
      </c>
    </row>
    <row r="2573" spans="1:10" ht="13.15" customHeight="1" x14ac:dyDescent="0.25">
      <c r="A2573">
        <f t="shared" si="363"/>
        <v>2568</v>
      </c>
      <c r="B2573" t="s">
        <v>3390</v>
      </c>
      <c r="C2573" s="2">
        <v>0.48958333333333331</v>
      </c>
      <c r="D2573" s="4">
        <f t="shared" si="374"/>
        <v>0.11666666666666664</v>
      </c>
      <c r="E2573" s="6">
        <v>0.37291666666666667</v>
      </c>
      <c r="F2573" s="5">
        <f t="shared" si="375"/>
        <v>0.76170212765957446</v>
      </c>
      <c r="G2573" s="5">
        <v>0.81100000000000005</v>
      </c>
      <c r="H2573" s="4">
        <f>68.6/1440</f>
        <v>4.7638888888888883E-2</v>
      </c>
      <c r="I2573" s="5">
        <v>0.10299999999999999</v>
      </c>
      <c r="J2573" s="11" t="s">
        <v>3394</v>
      </c>
    </row>
    <row r="2574" spans="1:10" ht="13.15" customHeight="1" x14ac:dyDescent="0.25">
      <c r="A2574">
        <f t="shared" si="363"/>
        <v>2569</v>
      </c>
      <c r="B2574" t="s">
        <v>3391</v>
      </c>
      <c r="C2574" s="2">
        <v>0.47916666666666669</v>
      </c>
      <c r="D2574" s="4">
        <f t="shared" si="374"/>
        <v>0.11250000000000004</v>
      </c>
      <c r="E2574" s="6">
        <v>0.36666666666666664</v>
      </c>
      <c r="F2574" s="5">
        <f t="shared" si="375"/>
        <v>0.76521739130434774</v>
      </c>
      <c r="G2574" s="5">
        <v>0.872</v>
      </c>
      <c r="H2574" s="4">
        <f>63.7/1440</f>
        <v>4.4236111111111115E-2</v>
      </c>
      <c r="I2574" s="5">
        <v>0.105</v>
      </c>
      <c r="J2574" s="11" t="s">
        <v>3394</v>
      </c>
    </row>
    <row r="2575" spans="1:10" ht="13.15" customHeight="1" x14ac:dyDescent="0.25">
      <c r="A2575">
        <f t="shared" si="363"/>
        <v>2570</v>
      </c>
      <c r="B2575" t="s">
        <v>3392</v>
      </c>
      <c r="C2575" s="2">
        <v>0.48472222222222222</v>
      </c>
      <c r="D2575" s="4">
        <f t="shared" si="374"/>
        <v>0.12777777777777777</v>
      </c>
      <c r="E2575" s="6">
        <v>0.35694444444444445</v>
      </c>
      <c r="F2575" s="5">
        <f t="shared" si="375"/>
        <v>0.73638968481375355</v>
      </c>
      <c r="G2575" s="5">
        <v>0.83199999999999996</v>
      </c>
      <c r="H2575" s="4">
        <f>58.5/1440</f>
        <v>4.0625000000000001E-2</v>
      </c>
      <c r="I2575" s="5">
        <v>9.5000000000000001E-2</v>
      </c>
      <c r="J2575" s="11" t="s">
        <v>3394</v>
      </c>
    </row>
    <row r="2576" spans="1:10" ht="13.15" customHeight="1" x14ac:dyDescent="0.25">
      <c r="A2576">
        <f t="shared" si="363"/>
        <v>2571</v>
      </c>
      <c r="B2576" t="s">
        <v>3393</v>
      </c>
      <c r="C2576" s="2">
        <v>0.47430555555555554</v>
      </c>
      <c r="D2576" s="4">
        <f t="shared" si="374"/>
        <v>0.10972222222222222</v>
      </c>
      <c r="E2576" s="6">
        <v>0.36458333333333331</v>
      </c>
      <c r="F2576" s="5">
        <f t="shared" si="375"/>
        <v>0.76866764275256216</v>
      </c>
      <c r="G2576" s="5">
        <v>0.85</v>
      </c>
      <c r="H2576" s="4">
        <f>66/1440</f>
        <v>4.583333333333333E-2</v>
      </c>
      <c r="I2576" s="5">
        <v>0.107</v>
      </c>
      <c r="J2576" s="11" t="s">
        <v>3394</v>
      </c>
    </row>
    <row r="2577" spans="1:10" ht="13.15" customHeight="1" x14ac:dyDescent="0.25">
      <c r="A2577">
        <f t="shared" si="363"/>
        <v>2572</v>
      </c>
      <c r="B2577" t="s">
        <v>3396</v>
      </c>
      <c r="C2577" s="2">
        <v>0.42430555555555555</v>
      </c>
      <c r="D2577" s="4">
        <f t="shared" ref="D2577:D2585" si="376">C2577-E2577</f>
        <v>0.11736111111111108</v>
      </c>
      <c r="E2577" s="6">
        <v>0.30694444444444446</v>
      </c>
      <c r="F2577" s="5">
        <f t="shared" ref="F2577:F2585" si="377">E2577/C2577</f>
        <v>0.72340425531914898</v>
      </c>
      <c r="G2577" s="5">
        <v>0.77900000000000003</v>
      </c>
      <c r="H2577" s="4">
        <f>56.2/1440</f>
        <v>3.9027777777777779E-2</v>
      </c>
      <c r="I2577" s="5">
        <v>9.9000000000000005E-2</v>
      </c>
      <c r="J2577" s="11" t="s">
        <v>3406</v>
      </c>
    </row>
    <row r="2578" spans="1:10" ht="13.15" customHeight="1" x14ac:dyDescent="0.25">
      <c r="A2578">
        <f t="shared" si="363"/>
        <v>2573</v>
      </c>
      <c r="B2578" t="s">
        <v>3397</v>
      </c>
      <c r="C2578" s="2">
        <v>0.43333333333333335</v>
      </c>
      <c r="D2578" s="4">
        <f t="shared" si="376"/>
        <v>0.1388888888888889</v>
      </c>
      <c r="E2578" s="6">
        <v>0.29444444444444445</v>
      </c>
      <c r="F2578" s="5">
        <f t="shared" si="377"/>
        <v>0.67948717948717952</v>
      </c>
      <c r="G2578" s="5">
        <v>0.876</v>
      </c>
      <c r="H2578" s="4">
        <f>60.3/1440</f>
        <v>4.1874999999999996E-2</v>
      </c>
      <c r="I2578" s="5">
        <v>0.124</v>
      </c>
      <c r="J2578" s="11" t="s">
        <v>3406</v>
      </c>
    </row>
    <row r="2579" spans="1:10" ht="13.15" customHeight="1" x14ac:dyDescent="0.25">
      <c r="A2579">
        <f t="shared" si="363"/>
        <v>2574</v>
      </c>
      <c r="B2579" t="s">
        <v>3398</v>
      </c>
      <c r="C2579" s="2">
        <v>0.41111111111111109</v>
      </c>
      <c r="D2579" s="4">
        <f t="shared" si="376"/>
        <v>0.11944444444444441</v>
      </c>
      <c r="E2579" s="6">
        <v>0.29166666666666669</v>
      </c>
      <c r="F2579" s="5">
        <f t="shared" si="377"/>
        <v>0.70945945945945954</v>
      </c>
      <c r="G2579" s="5">
        <v>0.70599999999999996</v>
      </c>
      <c r="H2579" s="4">
        <f>49.7/1440</f>
        <v>3.4513888888888893E-2</v>
      </c>
      <c r="I2579" s="5">
        <v>8.3000000000000004E-2</v>
      </c>
      <c r="J2579" s="11" t="s">
        <v>3406</v>
      </c>
    </row>
    <row r="2580" spans="1:10" ht="13.15" customHeight="1" x14ac:dyDescent="0.25">
      <c r="A2580">
        <f t="shared" si="363"/>
        <v>2575</v>
      </c>
      <c r="B2580" t="s">
        <v>3399</v>
      </c>
      <c r="C2580" s="2">
        <v>0.42569444444444443</v>
      </c>
      <c r="D2580" s="4">
        <f t="shared" si="376"/>
        <v>0.11180555555555555</v>
      </c>
      <c r="E2580" s="6">
        <v>0.31388888888888888</v>
      </c>
      <c r="F2580" s="5">
        <f t="shared" si="377"/>
        <v>0.73735725938009788</v>
      </c>
      <c r="G2580" s="5">
        <v>0.82899999999999996</v>
      </c>
      <c r="H2580" s="4">
        <f>48.5/1440</f>
        <v>3.3680555555555554E-2</v>
      </c>
      <c r="I2580" s="5">
        <v>8.8999999999999996E-2</v>
      </c>
      <c r="J2580" s="11" t="s">
        <v>3406</v>
      </c>
    </row>
    <row r="2581" spans="1:10" ht="13.15" customHeight="1" x14ac:dyDescent="0.25">
      <c r="A2581">
        <f t="shared" si="363"/>
        <v>2576</v>
      </c>
      <c r="B2581" t="s">
        <v>3400</v>
      </c>
      <c r="C2581" s="2">
        <v>0.38263888888888886</v>
      </c>
      <c r="D2581" s="4">
        <f t="shared" si="376"/>
        <v>0.10277777777777775</v>
      </c>
      <c r="E2581" s="6">
        <v>0.27986111111111112</v>
      </c>
      <c r="F2581" s="5">
        <f t="shared" si="377"/>
        <v>0.73139745916515431</v>
      </c>
      <c r="G2581" s="5">
        <v>0.67200000000000004</v>
      </c>
      <c r="H2581" s="4">
        <f>69.2/1440</f>
        <v>4.805555555555556E-2</v>
      </c>
      <c r="I2581" s="5">
        <v>0.115</v>
      </c>
      <c r="J2581" s="11" t="s">
        <v>3406</v>
      </c>
    </row>
    <row r="2582" spans="1:10" ht="13.15" customHeight="1" x14ac:dyDescent="0.25">
      <c r="A2582">
        <f t="shared" si="363"/>
        <v>2577</v>
      </c>
      <c r="B2582" t="s">
        <v>3401</v>
      </c>
      <c r="C2582" s="2">
        <v>0.30416666666666664</v>
      </c>
      <c r="D2582" s="4">
        <f t="shared" si="376"/>
        <v>8.4722222222222199E-2</v>
      </c>
      <c r="E2582" s="6">
        <v>0.21944444444444444</v>
      </c>
      <c r="F2582" s="5">
        <f t="shared" si="377"/>
        <v>0.72146118721461194</v>
      </c>
      <c r="G2582" s="5">
        <v>0.747</v>
      </c>
      <c r="H2582" s="4">
        <f>45.2/1440</f>
        <v>3.138888888888889E-2</v>
      </c>
      <c r="I2582" s="5">
        <v>0.107</v>
      </c>
      <c r="J2582" s="11" t="s">
        <v>3405</v>
      </c>
    </row>
    <row r="2583" spans="1:10" ht="13.15" customHeight="1" x14ac:dyDescent="0.25">
      <c r="A2583">
        <f t="shared" si="363"/>
        <v>2578</v>
      </c>
      <c r="B2583" t="s">
        <v>3402</v>
      </c>
      <c r="C2583" s="2">
        <v>0.52083333333333337</v>
      </c>
      <c r="D2583" s="4">
        <f t="shared" si="376"/>
        <v>0.13263888888888892</v>
      </c>
      <c r="E2583" s="6">
        <v>0.38819444444444445</v>
      </c>
      <c r="F2583" s="5">
        <f t="shared" si="377"/>
        <v>0.74533333333333329</v>
      </c>
      <c r="G2583" s="5">
        <v>0.747</v>
      </c>
      <c r="H2583" s="4">
        <f>51.8/1440</f>
        <v>3.5972222222222218E-2</v>
      </c>
      <c r="I2583" s="5">
        <v>6.9000000000000006E-2</v>
      </c>
      <c r="J2583" s="11" t="s">
        <v>3405</v>
      </c>
    </row>
    <row r="2584" spans="1:10" ht="13.15" customHeight="1" x14ac:dyDescent="0.25">
      <c r="A2584">
        <f t="shared" si="363"/>
        <v>2579</v>
      </c>
      <c r="B2584" t="s">
        <v>3403</v>
      </c>
      <c r="C2584" s="2">
        <v>0.50555555555555554</v>
      </c>
      <c r="D2584" s="4">
        <f t="shared" si="376"/>
        <v>0.15833333333333333</v>
      </c>
      <c r="E2584" s="6">
        <v>0.34722222222222221</v>
      </c>
      <c r="F2584" s="5">
        <f t="shared" si="377"/>
        <v>0.68681318681318682</v>
      </c>
      <c r="G2584" s="5">
        <v>0.91400000000000003</v>
      </c>
      <c r="H2584" s="4">
        <f>45.2/1440</f>
        <v>3.138888888888889E-2</v>
      </c>
      <c r="I2584" s="5">
        <v>8.3000000000000004E-2</v>
      </c>
      <c r="J2584" s="11" t="s">
        <v>3405</v>
      </c>
    </row>
    <row r="2585" spans="1:10" ht="13.15" customHeight="1" x14ac:dyDescent="0.25">
      <c r="A2585">
        <f t="shared" si="363"/>
        <v>2580</v>
      </c>
      <c r="B2585" t="s">
        <v>3404</v>
      </c>
      <c r="C2585" s="2">
        <v>0.48194444444444445</v>
      </c>
      <c r="D2585" s="4">
        <f t="shared" si="376"/>
        <v>0.11458333333333331</v>
      </c>
      <c r="E2585" s="6">
        <v>0.36736111111111114</v>
      </c>
      <c r="F2585" s="5">
        <f t="shared" si="377"/>
        <v>0.76224783861671475</v>
      </c>
      <c r="G2585" s="5">
        <v>0.67900000000000005</v>
      </c>
      <c r="H2585" s="4">
        <f>73.8/1440</f>
        <v>5.1249999999999997E-2</v>
      </c>
      <c r="I2585" s="5">
        <v>9.5000000000000001E-2</v>
      </c>
      <c r="J2585" s="11" t="s">
        <v>3405</v>
      </c>
    </row>
    <row r="2586" spans="1:10" ht="13.15" customHeight="1" x14ac:dyDescent="0.25">
      <c r="A2586">
        <f t="shared" si="363"/>
        <v>2581</v>
      </c>
      <c r="B2586" t="s">
        <v>3407</v>
      </c>
      <c r="C2586" s="2">
        <v>0.37638888888888888</v>
      </c>
      <c r="D2586" s="4">
        <f t="shared" ref="D2586:D2594" si="378">C2586-E2586</f>
        <v>9.6527777777777768E-2</v>
      </c>
      <c r="E2586" s="6">
        <v>0.27986111111111112</v>
      </c>
      <c r="F2586" s="5">
        <f t="shared" ref="F2586:F2594" si="379">E2586/C2586</f>
        <v>0.74354243542435428</v>
      </c>
      <c r="G2586" s="5">
        <v>0.77100000000000002</v>
      </c>
      <c r="H2586" s="4">
        <f>56.5/1440</f>
        <v>3.923611111111111E-2</v>
      </c>
      <c r="I2586" s="5">
        <v>0.108</v>
      </c>
      <c r="J2586" s="11" t="s">
        <v>3417</v>
      </c>
    </row>
    <row r="2587" spans="1:10" ht="13.15" customHeight="1" x14ac:dyDescent="0.25">
      <c r="A2587">
        <f t="shared" ref="A2587:A2650" si="380">A2586+1</f>
        <v>2582</v>
      </c>
      <c r="B2587" t="s">
        <v>3408</v>
      </c>
      <c r="C2587" s="2">
        <v>0.29930555555555555</v>
      </c>
      <c r="D2587" s="4">
        <f t="shared" si="378"/>
        <v>8.4722222222222227E-2</v>
      </c>
      <c r="E2587" s="6">
        <v>0.21458333333333332</v>
      </c>
      <c r="F2587" s="5">
        <f t="shared" si="379"/>
        <v>0.71693735498839906</v>
      </c>
      <c r="G2587" s="5">
        <v>0.81299999999999994</v>
      </c>
      <c r="H2587" s="4">
        <f>53.4/1440</f>
        <v>3.7083333333333329E-2</v>
      </c>
      <c r="I2587" s="5">
        <v>0.14000000000000001</v>
      </c>
      <c r="J2587" s="11" t="s">
        <v>3417</v>
      </c>
    </row>
    <row r="2588" spans="1:10" ht="13.15" customHeight="1" x14ac:dyDescent="0.25">
      <c r="A2588">
        <f t="shared" si="380"/>
        <v>2583</v>
      </c>
      <c r="B2588" t="s">
        <v>3409</v>
      </c>
      <c r="C2588" s="2">
        <v>0.36319444444444443</v>
      </c>
      <c r="D2588" s="4">
        <f t="shared" si="378"/>
        <v>0.10138888888888886</v>
      </c>
      <c r="E2588" s="6">
        <v>0.26180555555555557</v>
      </c>
      <c r="F2588" s="5">
        <f t="shared" si="379"/>
        <v>0.72084130019120463</v>
      </c>
      <c r="G2588" s="5">
        <v>0.71499999999999997</v>
      </c>
      <c r="H2588" s="4">
        <f>53.6/1440</f>
        <v>3.7222222222222226E-2</v>
      </c>
      <c r="I2588" s="5">
        <v>0.10199999999999999</v>
      </c>
      <c r="J2588" s="11" t="s">
        <v>3417</v>
      </c>
    </row>
    <row r="2589" spans="1:10" ht="13.15" customHeight="1" x14ac:dyDescent="0.25">
      <c r="A2589">
        <f t="shared" si="380"/>
        <v>2584</v>
      </c>
      <c r="B2589" t="s">
        <v>3410</v>
      </c>
      <c r="C2589" s="2">
        <v>0.30972222222222223</v>
      </c>
      <c r="D2589" s="4">
        <f t="shared" si="378"/>
        <v>8.1944444444444459E-2</v>
      </c>
      <c r="E2589" s="6">
        <v>0.22777777777777777</v>
      </c>
      <c r="F2589" s="5">
        <f t="shared" si="379"/>
        <v>0.73542600896860988</v>
      </c>
      <c r="G2589" s="5">
        <v>0.61</v>
      </c>
      <c r="H2589" s="4">
        <f>44.3/1440</f>
        <v>3.0763888888888886E-2</v>
      </c>
      <c r="I2589" s="5">
        <v>8.2000000000000003E-2</v>
      </c>
      <c r="J2589" s="11" t="s">
        <v>3417</v>
      </c>
    </row>
    <row r="2590" spans="1:10" ht="13.15" customHeight="1" x14ac:dyDescent="0.25">
      <c r="A2590">
        <f t="shared" si="380"/>
        <v>2585</v>
      </c>
      <c r="B2590" t="s">
        <v>3411</v>
      </c>
      <c r="C2590" s="2">
        <v>0.3298611111111111</v>
      </c>
      <c r="D2590" s="4">
        <f t="shared" si="378"/>
        <v>8.4027777777777785E-2</v>
      </c>
      <c r="E2590" s="6">
        <v>0.24583333333333332</v>
      </c>
      <c r="F2590" s="5">
        <f t="shared" si="379"/>
        <v>0.74526315789473685</v>
      </c>
      <c r="G2590" s="5">
        <v>0.77600000000000002</v>
      </c>
      <c r="H2590" s="4">
        <f>62/1440</f>
        <v>4.3055555555555555E-2</v>
      </c>
      <c r="I2590" s="5">
        <v>0.13600000000000001</v>
      </c>
      <c r="J2590" s="11" t="s">
        <v>3417</v>
      </c>
    </row>
    <row r="2591" spans="1:10" ht="13.15" customHeight="1" x14ac:dyDescent="0.25">
      <c r="A2591">
        <f t="shared" si="380"/>
        <v>2586</v>
      </c>
      <c r="B2591" t="s">
        <v>3412</v>
      </c>
      <c r="C2591" s="2">
        <v>0.36666666666666664</v>
      </c>
      <c r="D2591" s="4">
        <f t="shared" si="378"/>
        <v>9.722222222222221E-2</v>
      </c>
      <c r="E2591" s="6">
        <v>0.26944444444444443</v>
      </c>
      <c r="F2591" s="5">
        <f t="shared" si="379"/>
        <v>0.73484848484848486</v>
      </c>
      <c r="G2591" s="5">
        <v>0.86</v>
      </c>
      <c r="H2591" s="4">
        <f>57.7/1440</f>
        <v>4.0069444444444449E-2</v>
      </c>
      <c r="I2591" s="5">
        <v>0.128</v>
      </c>
      <c r="J2591" s="11" t="s">
        <v>3416</v>
      </c>
    </row>
    <row r="2592" spans="1:10" ht="13.15" customHeight="1" x14ac:dyDescent="0.25">
      <c r="A2592">
        <f t="shared" si="380"/>
        <v>2587</v>
      </c>
      <c r="B2592" t="s">
        <v>3413</v>
      </c>
      <c r="C2592" s="2">
        <v>0.44722222222222224</v>
      </c>
      <c r="D2592" s="4">
        <f t="shared" si="378"/>
        <v>0.10069444444444448</v>
      </c>
      <c r="E2592" s="6">
        <v>0.34652777777777777</v>
      </c>
      <c r="F2592" s="5">
        <f t="shared" si="379"/>
        <v>0.77484472049689435</v>
      </c>
      <c r="G2592" s="5">
        <v>0.80300000000000005</v>
      </c>
      <c r="H2592" s="4">
        <f>70.5/1440</f>
        <v>4.8958333333333333E-2</v>
      </c>
      <c r="I2592" s="5">
        <v>0.113</v>
      </c>
      <c r="J2592" s="11" t="s">
        <v>3416</v>
      </c>
    </row>
    <row r="2593" spans="1:10" ht="13.15" customHeight="1" x14ac:dyDescent="0.25">
      <c r="A2593">
        <f t="shared" si="380"/>
        <v>2588</v>
      </c>
      <c r="B2593" t="s">
        <v>3414</v>
      </c>
      <c r="C2593" s="2">
        <v>0.40416666666666667</v>
      </c>
      <c r="D2593" s="4">
        <f t="shared" si="378"/>
        <v>0.10694444444444445</v>
      </c>
      <c r="E2593" s="6">
        <v>0.29722222222222222</v>
      </c>
      <c r="F2593" s="5">
        <f t="shared" si="379"/>
        <v>0.73539518900343637</v>
      </c>
      <c r="G2593" s="5">
        <v>0.79900000000000004</v>
      </c>
      <c r="H2593" s="4">
        <f>63.4/1440</f>
        <v>4.4027777777777777E-2</v>
      </c>
      <c r="I2593" s="5">
        <v>0.11799999999999999</v>
      </c>
      <c r="J2593" s="11" t="s">
        <v>3416</v>
      </c>
    </row>
    <row r="2594" spans="1:10" ht="13.15" customHeight="1" x14ac:dyDescent="0.25">
      <c r="A2594">
        <f t="shared" si="380"/>
        <v>2589</v>
      </c>
      <c r="B2594" t="s">
        <v>3415</v>
      </c>
      <c r="C2594" s="2">
        <v>0.39791666666666664</v>
      </c>
      <c r="D2594" s="4">
        <f t="shared" si="378"/>
        <v>0.13263888888888886</v>
      </c>
      <c r="E2594" s="6">
        <v>0.26527777777777778</v>
      </c>
      <c r="F2594" s="5">
        <f t="shared" si="379"/>
        <v>0.66666666666666674</v>
      </c>
      <c r="G2594" s="5">
        <v>0.83299999999999996</v>
      </c>
      <c r="H2594" s="4">
        <f>61.2/1440</f>
        <v>4.2500000000000003E-2</v>
      </c>
      <c r="I2594" s="5">
        <v>0.13300000000000001</v>
      </c>
      <c r="J2594" s="11" t="s">
        <v>3416</v>
      </c>
    </row>
    <row r="2595" spans="1:10" ht="13.15" customHeight="1" x14ac:dyDescent="0.25">
      <c r="A2595">
        <f t="shared" si="380"/>
        <v>2590</v>
      </c>
      <c r="B2595" t="s">
        <v>3418</v>
      </c>
      <c r="C2595" s="2">
        <v>0.39652777777777776</v>
      </c>
      <c r="D2595" s="4">
        <f t="shared" ref="D2595:D2603" si="381">C2595-E2595</f>
        <v>0.13263888888888886</v>
      </c>
      <c r="E2595" s="6">
        <v>0.2638888888888889</v>
      </c>
      <c r="F2595" s="5">
        <f t="shared" ref="F2595:F2603" si="382">E2595/C2595</f>
        <v>0.66549912434325753</v>
      </c>
      <c r="G2595" s="5">
        <v>0.74099999999999999</v>
      </c>
      <c r="H2595" s="4">
        <f>53.3/1440</f>
        <v>3.7013888888888888E-2</v>
      </c>
      <c r="I2595" s="5">
        <v>0.104</v>
      </c>
      <c r="J2595" s="11" t="s">
        <v>3428</v>
      </c>
    </row>
    <row r="2596" spans="1:10" ht="13.15" customHeight="1" x14ac:dyDescent="0.25">
      <c r="A2596">
        <f t="shared" si="380"/>
        <v>2591</v>
      </c>
      <c r="B2596" t="s">
        <v>3419</v>
      </c>
      <c r="C2596" s="2">
        <v>0.39791666666666664</v>
      </c>
      <c r="D2596" s="4">
        <f t="shared" si="381"/>
        <v>0.1333333333333333</v>
      </c>
      <c r="E2596" s="6">
        <v>0.26458333333333334</v>
      </c>
      <c r="F2596" s="5">
        <f t="shared" si="382"/>
        <v>0.66492146596858648</v>
      </c>
      <c r="G2596" s="5">
        <v>0.75900000000000001</v>
      </c>
      <c r="H2596" s="4">
        <f>54.1/1440</f>
        <v>3.7569444444444447E-2</v>
      </c>
      <c r="I2596" s="5">
        <v>0.108</v>
      </c>
      <c r="J2596" s="11" t="s">
        <v>3428</v>
      </c>
    </row>
    <row r="2597" spans="1:10" ht="13.15" customHeight="1" x14ac:dyDescent="0.25">
      <c r="A2597">
        <f t="shared" si="380"/>
        <v>2592</v>
      </c>
      <c r="B2597" t="s">
        <v>3420</v>
      </c>
      <c r="C2597" s="2">
        <v>0.37430555555555556</v>
      </c>
      <c r="D2597" s="4">
        <f t="shared" si="381"/>
        <v>0.13402777777777777</v>
      </c>
      <c r="E2597" s="6">
        <v>0.24027777777777778</v>
      </c>
      <c r="F2597" s="5">
        <f t="shared" si="382"/>
        <v>0.64192949907235619</v>
      </c>
      <c r="G2597" s="5">
        <v>0.67400000000000004</v>
      </c>
      <c r="H2597" s="4">
        <f>52.3/1440</f>
        <v>3.6319444444444446E-2</v>
      </c>
      <c r="I2597" s="5">
        <v>0.10199999999999999</v>
      </c>
      <c r="J2597" s="11" t="s">
        <v>3428</v>
      </c>
    </row>
    <row r="2598" spans="1:10" ht="13.15" customHeight="1" x14ac:dyDescent="0.25">
      <c r="A2598">
        <f t="shared" si="380"/>
        <v>2593</v>
      </c>
      <c r="B2598" t="s">
        <v>3421</v>
      </c>
      <c r="C2598" s="2">
        <v>0.38124999999999998</v>
      </c>
      <c r="D2598" s="4">
        <f t="shared" si="381"/>
        <v>0.13541666666666666</v>
      </c>
      <c r="E2598" s="6">
        <v>0.24583333333333332</v>
      </c>
      <c r="F2598" s="5">
        <f t="shared" si="382"/>
        <v>0.64480874316939896</v>
      </c>
      <c r="G2598" s="5">
        <v>0.67400000000000004</v>
      </c>
      <c r="H2598" s="4">
        <f>50.7/1440</f>
        <v>3.5208333333333335E-2</v>
      </c>
      <c r="I2598" s="5">
        <v>9.6000000000000002E-2</v>
      </c>
      <c r="J2598" s="11" t="s">
        <v>3428</v>
      </c>
    </row>
    <row r="2599" spans="1:10" ht="13.15" customHeight="1" x14ac:dyDescent="0.25">
      <c r="A2599">
        <f t="shared" si="380"/>
        <v>2594</v>
      </c>
      <c r="B2599" t="s">
        <v>3422</v>
      </c>
      <c r="C2599" s="2">
        <v>0.41944444444444445</v>
      </c>
      <c r="D2599" s="4">
        <f t="shared" si="381"/>
        <v>0.12916666666666665</v>
      </c>
      <c r="E2599" s="6">
        <v>0.2902777777777778</v>
      </c>
      <c r="F2599" s="5">
        <f t="shared" si="382"/>
        <v>0.69205298013245042</v>
      </c>
      <c r="G2599" s="5">
        <v>0.82899999999999996</v>
      </c>
      <c r="H2599" s="4">
        <f>50.5/1440</f>
        <v>3.5069444444444445E-2</v>
      </c>
      <c r="I2599" s="5">
        <v>0.1</v>
      </c>
      <c r="J2599" s="11" t="s">
        <v>3428</v>
      </c>
    </row>
    <row r="2600" spans="1:10" ht="13.15" customHeight="1" x14ac:dyDescent="0.25">
      <c r="A2600">
        <f t="shared" si="380"/>
        <v>2595</v>
      </c>
      <c r="B2600" t="s">
        <v>3423</v>
      </c>
      <c r="C2600" s="2">
        <v>0.38055555555555554</v>
      </c>
      <c r="D2600" s="4">
        <f t="shared" si="381"/>
        <v>0.12013888888888885</v>
      </c>
      <c r="E2600" s="6">
        <v>0.26041666666666669</v>
      </c>
      <c r="F2600" s="5">
        <f t="shared" si="382"/>
        <v>0.68430656934306577</v>
      </c>
      <c r="G2600" s="5">
        <v>0.75600000000000001</v>
      </c>
      <c r="H2600" s="4">
        <f>54.9/1440</f>
        <v>3.8124999999999999E-2</v>
      </c>
      <c r="I2600" s="5">
        <v>0.111</v>
      </c>
      <c r="J2600" s="11" t="s">
        <v>3427</v>
      </c>
    </row>
    <row r="2601" spans="1:10" ht="13.15" customHeight="1" x14ac:dyDescent="0.25">
      <c r="A2601">
        <f t="shared" si="380"/>
        <v>2596</v>
      </c>
      <c r="B2601" t="s">
        <v>3424</v>
      </c>
      <c r="C2601" s="2">
        <v>0.42986111111111114</v>
      </c>
      <c r="D2601" s="4">
        <f t="shared" si="381"/>
        <v>0.13333333333333336</v>
      </c>
      <c r="E2601" s="6">
        <v>0.29652777777777778</v>
      </c>
      <c r="F2601" s="5">
        <f t="shared" si="382"/>
        <v>0.68982229402261708</v>
      </c>
      <c r="G2601" s="5">
        <v>0.81499999999999995</v>
      </c>
      <c r="H2601" s="4">
        <f>55.4/1440</f>
        <v>3.847222222222222E-2</v>
      </c>
      <c r="I2601" s="5">
        <v>0.107</v>
      </c>
      <c r="J2601" s="11" t="s">
        <v>3427</v>
      </c>
    </row>
    <row r="2602" spans="1:10" ht="13.15" customHeight="1" x14ac:dyDescent="0.25">
      <c r="A2602">
        <f t="shared" si="380"/>
        <v>2597</v>
      </c>
      <c r="B2602" t="s">
        <v>3425</v>
      </c>
      <c r="C2602" s="2">
        <v>0.41736111111111113</v>
      </c>
      <c r="D2602" s="4">
        <f t="shared" si="381"/>
        <v>0.13958333333333334</v>
      </c>
      <c r="E2602" s="6">
        <v>0.27777777777777779</v>
      </c>
      <c r="F2602" s="5">
        <f t="shared" si="382"/>
        <v>0.66555740432612309</v>
      </c>
      <c r="G2602" s="5">
        <v>0.73199999999999998</v>
      </c>
      <c r="H2602" s="4">
        <f>53/1440</f>
        <v>3.6805555555555557E-2</v>
      </c>
      <c r="I2602" s="5">
        <v>9.7000000000000003E-2</v>
      </c>
      <c r="J2602" s="11" t="s">
        <v>3427</v>
      </c>
    </row>
    <row r="2603" spans="1:10" ht="13.15" customHeight="1" x14ac:dyDescent="0.25">
      <c r="A2603">
        <f t="shared" si="380"/>
        <v>2598</v>
      </c>
      <c r="B2603" t="s">
        <v>3426</v>
      </c>
      <c r="C2603" s="2">
        <v>0.46458333333333335</v>
      </c>
      <c r="D2603" s="4">
        <f t="shared" si="381"/>
        <v>0.15902777777777777</v>
      </c>
      <c r="E2603" s="6">
        <v>0.30555555555555558</v>
      </c>
      <c r="F2603" s="5">
        <f t="shared" si="382"/>
        <v>0.65769805680119586</v>
      </c>
      <c r="G2603" s="5">
        <v>0.76500000000000001</v>
      </c>
      <c r="H2603" s="4">
        <f>63.3/1440</f>
        <v>4.3958333333333328E-2</v>
      </c>
      <c r="I2603" s="5">
        <v>0.11</v>
      </c>
      <c r="J2603" s="11" t="s">
        <v>3427</v>
      </c>
    </row>
    <row r="2604" spans="1:10" ht="13.15" customHeight="1" x14ac:dyDescent="0.25">
      <c r="A2604">
        <f t="shared" si="380"/>
        <v>2599</v>
      </c>
      <c r="B2604" t="s">
        <v>3429</v>
      </c>
      <c r="C2604" s="2">
        <v>0.39583333333333331</v>
      </c>
      <c r="D2604" s="4">
        <f t="shared" ref="D2604:D2612" si="383">C2604-E2604</f>
        <v>0.10972222222222222</v>
      </c>
      <c r="E2604" s="6">
        <v>0.28611111111111109</v>
      </c>
      <c r="F2604" s="5">
        <f t="shared" ref="F2604:F2612" si="384">E2604/C2604</f>
        <v>0.72280701754385968</v>
      </c>
      <c r="G2604" s="5">
        <v>0.82499999999999996</v>
      </c>
      <c r="H2604" s="4">
        <f>57.8/1440</f>
        <v>4.0138888888888884E-2</v>
      </c>
      <c r="I2604" s="5">
        <v>0.11600000000000001</v>
      </c>
      <c r="J2604" s="11" t="s">
        <v>3438</v>
      </c>
    </row>
    <row r="2605" spans="1:10" ht="13.15" customHeight="1" x14ac:dyDescent="0.25">
      <c r="A2605">
        <f t="shared" si="380"/>
        <v>2600</v>
      </c>
      <c r="B2605" t="s">
        <v>3430</v>
      </c>
      <c r="C2605" s="2">
        <v>0.45</v>
      </c>
      <c r="D2605" s="4">
        <f t="shared" si="383"/>
        <v>0.12430555555555556</v>
      </c>
      <c r="E2605" s="6">
        <v>0.32569444444444445</v>
      </c>
      <c r="F2605" s="5">
        <f t="shared" si="384"/>
        <v>0.72376543209876543</v>
      </c>
      <c r="G2605" s="5">
        <v>0.88100000000000001</v>
      </c>
      <c r="H2605" s="4">
        <f>54.6/1440</f>
        <v>3.7916666666666668E-2</v>
      </c>
      <c r="I2605" s="5">
        <v>0.10199999999999999</v>
      </c>
      <c r="J2605" s="11" t="s">
        <v>3438</v>
      </c>
    </row>
    <row r="2606" spans="1:10" ht="13.15" customHeight="1" x14ac:dyDescent="0.25">
      <c r="A2606">
        <f t="shared" si="380"/>
        <v>2601</v>
      </c>
      <c r="B2606" t="s">
        <v>3431</v>
      </c>
      <c r="C2606" s="2">
        <v>0.38263888888888886</v>
      </c>
      <c r="D2606" s="4">
        <f t="shared" si="383"/>
        <v>9.3055555555555503E-2</v>
      </c>
      <c r="E2606" s="6">
        <v>0.28958333333333336</v>
      </c>
      <c r="F2606" s="5">
        <f t="shared" si="384"/>
        <v>0.75680580762250471</v>
      </c>
      <c r="G2606" s="5">
        <v>0.83399999999999996</v>
      </c>
      <c r="H2606" s="4">
        <f>62.7/1440</f>
        <v>4.3541666666666666E-2</v>
      </c>
      <c r="I2606" s="5">
        <v>0.125</v>
      </c>
      <c r="J2606" s="11" t="s">
        <v>3438</v>
      </c>
    </row>
    <row r="2607" spans="1:10" ht="13.15" customHeight="1" x14ac:dyDescent="0.25">
      <c r="A2607">
        <f t="shared" si="380"/>
        <v>2602</v>
      </c>
      <c r="B2607" t="s">
        <v>3432</v>
      </c>
      <c r="C2607" s="2">
        <v>0.51041666666666663</v>
      </c>
      <c r="D2607" s="4">
        <f t="shared" si="383"/>
        <v>0.11180555555555549</v>
      </c>
      <c r="E2607" s="6">
        <v>0.39861111111111114</v>
      </c>
      <c r="F2607" s="5">
        <f t="shared" si="384"/>
        <v>0.78095238095238106</v>
      </c>
      <c r="G2607" s="5">
        <v>0.66500000000000004</v>
      </c>
      <c r="H2607" s="4">
        <f>39.6/1440</f>
        <v>2.75E-2</v>
      </c>
      <c r="I2607" s="5">
        <v>4.5999999999999999E-2</v>
      </c>
      <c r="J2607" s="11" t="s">
        <v>3438</v>
      </c>
    </row>
    <row r="2608" spans="1:10" ht="13.15" customHeight="1" x14ac:dyDescent="0.25">
      <c r="A2608">
        <f t="shared" si="380"/>
        <v>2603</v>
      </c>
      <c r="B2608" t="s">
        <v>3433</v>
      </c>
      <c r="C2608" s="2">
        <v>0.36458333333333331</v>
      </c>
      <c r="D2608" s="4">
        <f t="shared" si="383"/>
        <v>0.11527777777777776</v>
      </c>
      <c r="E2608" s="6">
        <v>0.24930555555555556</v>
      </c>
      <c r="F2608" s="5">
        <f t="shared" si="384"/>
        <v>0.68380952380952387</v>
      </c>
      <c r="G2608" s="5">
        <v>0.91500000000000004</v>
      </c>
      <c r="H2608" s="4">
        <f>73.9/1440</f>
        <v>5.1319444444444445E-2</v>
      </c>
      <c r="I2608" s="5">
        <v>0.188</v>
      </c>
      <c r="J2608" s="11" t="s">
        <v>3438</v>
      </c>
    </row>
    <row r="2609" spans="1:10" ht="13.15" customHeight="1" x14ac:dyDescent="0.25">
      <c r="A2609">
        <f t="shared" si="380"/>
        <v>2604</v>
      </c>
      <c r="B2609" t="s">
        <v>3434</v>
      </c>
      <c r="C2609" s="2">
        <v>0.30833333333333335</v>
      </c>
      <c r="D2609" s="4">
        <f t="shared" si="383"/>
        <v>8.1250000000000017E-2</v>
      </c>
      <c r="E2609" s="6">
        <v>0.22708333333333333</v>
      </c>
      <c r="F2609" s="5">
        <f t="shared" si="384"/>
        <v>0.7364864864864864</v>
      </c>
      <c r="G2609" s="5">
        <v>0.72799999999999998</v>
      </c>
      <c r="H2609" s="4">
        <f>57.7/1440</f>
        <v>4.0069444444444449E-2</v>
      </c>
      <c r="I2609" s="5">
        <v>0.128</v>
      </c>
      <c r="J2609" s="11" t="s">
        <v>3439</v>
      </c>
    </row>
    <row r="2610" spans="1:10" ht="13.15" customHeight="1" x14ac:dyDescent="0.25">
      <c r="A2610">
        <f t="shared" si="380"/>
        <v>2605</v>
      </c>
      <c r="B2610" t="s">
        <v>3435</v>
      </c>
      <c r="C2610" s="2">
        <v>0.32291666666666669</v>
      </c>
      <c r="D2610" s="4">
        <f t="shared" si="383"/>
        <v>0.11458333333333334</v>
      </c>
      <c r="E2610" s="6">
        <v>0.20833333333333334</v>
      </c>
      <c r="F2610" s="5">
        <f t="shared" si="384"/>
        <v>0.64516129032258063</v>
      </c>
      <c r="G2610" s="5">
        <v>0.92100000000000004</v>
      </c>
      <c r="H2610" s="4">
        <f>54.9/1440</f>
        <v>3.8124999999999999E-2</v>
      </c>
      <c r="I2610" s="5">
        <v>0.16800000000000001</v>
      </c>
      <c r="J2610" s="11" t="s">
        <v>3439</v>
      </c>
    </row>
    <row r="2611" spans="1:10" ht="13.15" customHeight="1" x14ac:dyDescent="0.25">
      <c r="A2611">
        <f t="shared" si="380"/>
        <v>2606</v>
      </c>
      <c r="B2611" t="s">
        <v>3436</v>
      </c>
      <c r="C2611" s="2">
        <v>0.48680555555555555</v>
      </c>
      <c r="D2611" s="4">
        <f t="shared" si="383"/>
        <v>0.13750000000000001</v>
      </c>
      <c r="E2611" s="6">
        <v>0.34930555555555554</v>
      </c>
      <c r="F2611" s="5">
        <f t="shared" si="384"/>
        <v>0.71754636233951496</v>
      </c>
      <c r="G2611" s="5">
        <v>0.746</v>
      </c>
      <c r="H2611" s="4">
        <f>53.9/1440</f>
        <v>3.7430555555555557E-2</v>
      </c>
      <c r="I2611" s="5">
        <v>0.08</v>
      </c>
      <c r="J2611" s="11" t="s">
        <v>3439</v>
      </c>
    </row>
    <row r="2612" spans="1:10" ht="13.15" customHeight="1" x14ac:dyDescent="0.25">
      <c r="A2612">
        <f t="shared" si="380"/>
        <v>2607</v>
      </c>
      <c r="B2612" t="s">
        <v>3437</v>
      </c>
      <c r="C2612" s="2">
        <v>0.26041666666666669</v>
      </c>
      <c r="D2612" s="4">
        <f t="shared" si="383"/>
        <v>9.5833333333333354E-2</v>
      </c>
      <c r="E2612" s="6">
        <v>0.16458333333333333</v>
      </c>
      <c r="F2612" s="5">
        <f t="shared" si="384"/>
        <v>0.6319999999999999</v>
      </c>
      <c r="G2612" s="5">
        <v>0.67</v>
      </c>
      <c r="H2612" s="4">
        <f>59.3/1440</f>
        <v>4.1180555555555554E-2</v>
      </c>
      <c r="I2612" s="5">
        <v>0.16800000000000001</v>
      </c>
      <c r="J2612" s="11" t="s">
        <v>3439</v>
      </c>
    </row>
    <row r="2613" spans="1:10" ht="13.15" customHeight="1" x14ac:dyDescent="0.25">
      <c r="A2613">
        <f t="shared" si="380"/>
        <v>2608</v>
      </c>
      <c r="B2613" t="s">
        <v>3440</v>
      </c>
      <c r="C2613" s="2">
        <v>0.37916666666666665</v>
      </c>
      <c r="D2613" s="4">
        <f t="shared" ref="D2613:D2621" si="385">C2613-E2613</f>
        <v>0.10347222222222219</v>
      </c>
      <c r="E2613" s="6">
        <v>0.27569444444444446</v>
      </c>
      <c r="F2613" s="5">
        <f t="shared" ref="F2613:F2621" si="386">E2613/C2613</f>
        <v>0.72710622710622719</v>
      </c>
      <c r="G2613" s="5">
        <v>0.81499999999999995</v>
      </c>
      <c r="H2613" s="4">
        <f>52.6/1440</f>
        <v>3.6527777777777777E-2</v>
      </c>
      <c r="I2613" s="5">
        <v>0.108</v>
      </c>
      <c r="J2613" s="11" t="s">
        <v>3450</v>
      </c>
    </row>
    <row r="2614" spans="1:10" ht="13.15" customHeight="1" x14ac:dyDescent="0.25">
      <c r="A2614">
        <f t="shared" si="380"/>
        <v>2609</v>
      </c>
      <c r="B2614" t="s">
        <v>3441</v>
      </c>
      <c r="C2614" s="2">
        <v>0.35902777777777778</v>
      </c>
      <c r="D2614" s="4">
        <f t="shared" si="385"/>
        <v>9.9999999999999978E-2</v>
      </c>
      <c r="E2614" s="6">
        <v>0.2590277777777778</v>
      </c>
      <c r="F2614" s="5">
        <f t="shared" si="386"/>
        <v>0.72147001934235988</v>
      </c>
      <c r="G2614" s="5">
        <v>0.83499999999999996</v>
      </c>
      <c r="H2614" s="4">
        <f>56.7/1440</f>
        <v>3.9375E-2</v>
      </c>
      <c r="I2614" s="5">
        <v>0.127</v>
      </c>
      <c r="J2614" s="11" t="s">
        <v>3450</v>
      </c>
    </row>
    <row r="2615" spans="1:10" ht="13.15" customHeight="1" x14ac:dyDescent="0.25">
      <c r="A2615">
        <f t="shared" si="380"/>
        <v>2610</v>
      </c>
      <c r="B2615" t="s">
        <v>3442</v>
      </c>
      <c r="C2615" s="2">
        <v>0.37430555555555556</v>
      </c>
      <c r="D2615" s="4">
        <f t="shared" si="385"/>
        <v>0.10069444444444442</v>
      </c>
      <c r="E2615" s="6">
        <v>0.27361111111111114</v>
      </c>
      <c r="F2615" s="5">
        <f t="shared" si="386"/>
        <v>0.73098330241187393</v>
      </c>
      <c r="G2615" s="5">
        <v>0.74</v>
      </c>
      <c r="H2615" s="4">
        <f>42.9/1440</f>
        <v>2.9791666666666664E-2</v>
      </c>
      <c r="I2615" s="5">
        <v>8.1000000000000003E-2</v>
      </c>
      <c r="J2615" s="11" t="s">
        <v>3450</v>
      </c>
    </row>
    <row r="2616" spans="1:10" ht="13.15" customHeight="1" x14ac:dyDescent="0.25">
      <c r="A2616">
        <f t="shared" si="380"/>
        <v>2611</v>
      </c>
      <c r="B2616" t="s">
        <v>3443</v>
      </c>
      <c r="C2616" s="2">
        <v>0.31111111111111112</v>
      </c>
      <c r="D2616" s="4">
        <f t="shared" si="385"/>
        <v>0.11527777777777778</v>
      </c>
      <c r="E2616" s="6">
        <v>0.19583333333333333</v>
      </c>
      <c r="F2616" s="5">
        <f t="shared" si="386"/>
        <v>0.6294642857142857</v>
      </c>
      <c r="G2616" s="5">
        <v>0.84099999999999997</v>
      </c>
      <c r="H2616" s="4">
        <f>32.2/1440</f>
        <v>2.2361111111111113E-2</v>
      </c>
      <c r="I2616" s="5">
        <v>9.6000000000000002E-2</v>
      </c>
      <c r="J2616" s="11" t="s">
        <v>3450</v>
      </c>
    </row>
    <row r="2617" spans="1:10" ht="13.15" customHeight="1" x14ac:dyDescent="0.25">
      <c r="A2617">
        <f t="shared" si="380"/>
        <v>2612</v>
      </c>
      <c r="B2617" t="s">
        <v>3444</v>
      </c>
      <c r="C2617" s="2">
        <v>0.40694444444444444</v>
      </c>
      <c r="D2617" s="4">
        <f t="shared" si="385"/>
        <v>0.10694444444444445</v>
      </c>
      <c r="E2617" s="6">
        <v>0.3</v>
      </c>
      <c r="F2617" s="5">
        <f t="shared" si="386"/>
        <v>0.73720136518771329</v>
      </c>
      <c r="G2617" s="5">
        <v>0.84199999999999997</v>
      </c>
      <c r="H2617" s="4">
        <f>61.1/1440</f>
        <v>4.2430555555555555E-2</v>
      </c>
      <c r="I2617" s="5">
        <v>0.11899999999999999</v>
      </c>
      <c r="J2617" s="11" t="s">
        <v>3450</v>
      </c>
    </row>
    <row r="2618" spans="1:10" ht="13.15" customHeight="1" x14ac:dyDescent="0.25">
      <c r="A2618">
        <f t="shared" si="380"/>
        <v>2613</v>
      </c>
      <c r="B2618" t="s">
        <v>3445</v>
      </c>
      <c r="C2618" s="2">
        <v>0.41944444444444445</v>
      </c>
      <c r="D2618" s="4">
        <f t="shared" si="385"/>
        <v>0.11249999999999999</v>
      </c>
      <c r="E2618" s="6">
        <v>0.30694444444444446</v>
      </c>
      <c r="F2618" s="5">
        <f t="shared" si="386"/>
        <v>0.73178807947019875</v>
      </c>
      <c r="G2618" s="5">
        <v>0.81200000000000006</v>
      </c>
      <c r="H2618" s="4">
        <f>58.4/1440</f>
        <v>4.0555555555555553E-2</v>
      </c>
      <c r="I2618" s="5">
        <v>0.107</v>
      </c>
      <c r="J2618" s="11" t="s">
        <v>3449</v>
      </c>
    </row>
    <row r="2619" spans="1:10" ht="13.15" customHeight="1" x14ac:dyDescent="0.25">
      <c r="A2619">
        <f t="shared" si="380"/>
        <v>2614</v>
      </c>
      <c r="B2619" t="s">
        <v>3446</v>
      </c>
      <c r="C2619" s="2">
        <v>0.42291666666666666</v>
      </c>
      <c r="D2619" s="4">
        <f t="shared" si="385"/>
        <v>0.11805555555555552</v>
      </c>
      <c r="E2619" s="6">
        <v>0.30486111111111114</v>
      </c>
      <c r="F2619" s="5">
        <f t="shared" si="386"/>
        <v>0.72085385878489339</v>
      </c>
      <c r="G2619" s="5">
        <v>0.874</v>
      </c>
      <c r="H2619" s="4">
        <f>54.7/1440</f>
        <v>3.7986111111111116E-2</v>
      </c>
      <c r="I2619" s="5">
        <v>0.109</v>
      </c>
      <c r="J2619" s="11" t="s">
        <v>3449</v>
      </c>
    </row>
    <row r="2620" spans="1:10" ht="13.15" customHeight="1" x14ac:dyDescent="0.25">
      <c r="A2620">
        <f t="shared" si="380"/>
        <v>2615</v>
      </c>
      <c r="B2620" t="s">
        <v>3447</v>
      </c>
      <c r="C2620" s="2">
        <v>0.39097222222222222</v>
      </c>
      <c r="D2620" s="4">
        <f t="shared" si="385"/>
        <v>0.11180555555555555</v>
      </c>
      <c r="E2620" s="6">
        <v>0.27916666666666667</v>
      </c>
      <c r="F2620" s="5">
        <f t="shared" si="386"/>
        <v>0.7140319715808171</v>
      </c>
      <c r="G2620" s="5">
        <v>0.71899999999999997</v>
      </c>
      <c r="H2620" s="4">
        <f>45.1/1440</f>
        <v>3.1319444444444448E-2</v>
      </c>
      <c r="I2620" s="5">
        <v>0.08</v>
      </c>
      <c r="J2620" s="11" t="s">
        <v>3449</v>
      </c>
    </row>
    <row r="2621" spans="1:10" ht="13.15" customHeight="1" x14ac:dyDescent="0.25">
      <c r="A2621">
        <f t="shared" si="380"/>
        <v>2616</v>
      </c>
      <c r="B2621" t="s">
        <v>3448</v>
      </c>
      <c r="C2621" s="2">
        <v>0.46458333333333335</v>
      </c>
      <c r="D2621" s="4">
        <f t="shared" si="385"/>
        <v>0.10486111111111113</v>
      </c>
      <c r="E2621" s="6">
        <v>0.35972222222222222</v>
      </c>
      <c r="F2621" s="5">
        <f t="shared" si="386"/>
        <v>0.77428998505231683</v>
      </c>
      <c r="G2621" s="5">
        <v>0.873</v>
      </c>
      <c r="H2621" s="4">
        <f>51.6/1440</f>
        <v>3.5833333333333335E-2</v>
      </c>
      <c r="I2621" s="5">
        <v>8.6999999999999994E-2</v>
      </c>
      <c r="J2621" s="11" t="s">
        <v>3449</v>
      </c>
    </row>
    <row r="2622" spans="1:10" ht="13.15" customHeight="1" x14ac:dyDescent="0.25">
      <c r="A2622">
        <f t="shared" si="380"/>
        <v>2617</v>
      </c>
      <c r="B2622" t="s">
        <v>3451</v>
      </c>
      <c r="C2622" s="2">
        <v>0.4375</v>
      </c>
      <c r="D2622" s="4">
        <f t="shared" ref="D2622:D2630" si="387">C2622-E2622</f>
        <v>0.11527777777777776</v>
      </c>
      <c r="E2622" s="6">
        <v>0.32222222222222224</v>
      </c>
      <c r="F2622" s="5">
        <f t="shared" ref="F2622:F2630" si="388">E2622/C2622</f>
        <v>0.73650793650793656</v>
      </c>
      <c r="G2622" s="5">
        <v>0.73199999999999998</v>
      </c>
      <c r="H2622" s="4">
        <f>52.7/1440</f>
        <v>3.6597222222222225E-2</v>
      </c>
      <c r="I2622" s="5">
        <v>8.3000000000000004E-2</v>
      </c>
      <c r="J2622" s="11" t="s">
        <v>3461</v>
      </c>
    </row>
    <row r="2623" spans="1:10" ht="13.15" customHeight="1" x14ac:dyDescent="0.25">
      <c r="A2623">
        <f t="shared" si="380"/>
        <v>2618</v>
      </c>
      <c r="B2623" t="s">
        <v>3452</v>
      </c>
      <c r="C2623" s="2">
        <v>0.44930555555555557</v>
      </c>
      <c r="D2623" s="4">
        <f t="shared" si="387"/>
        <v>0.1166666666666667</v>
      </c>
      <c r="E2623" s="6">
        <v>0.33263888888888887</v>
      </c>
      <c r="F2623" s="5">
        <f t="shared" si="388"/>
        <v>0.74034003091190104</v>
      </c>
      <c r="G2623" s="5">
        <v>0.76100000000000001</v>
      </c>
      <c r="H2623" s="4">
        <f>59.1/1440</f>
        <v>4.1041666666666671E-2</v>
      </c>
      <c r="I2623" s="5">
        <v>9.4E-2</v>
      </c>
      <c r="J2623" s="11" t="s">
        <v>3461</v>
      </c>
    </row>
    <row r="2624" spans="1:10" ht="13.15" customHeight="1" x14ac:dyDescent="0.25">
      <c r="A2624">
        <f t="shared" si="380"/>
        <v>2619</v>
      </c>
      <c r="B2624" t="s">
        <v>3453</v>
      </c>
      <c r="C2624" s="2">
        <v>0.40625</v>
      </c>
      <c r="D2624" s="4">
        <f t="shared" si="387"/>
        <v>0.10902777777777778</v>
      </c>
      <c r="E2624" s="6">
        <v>0.29722222222222222</v>
      </c>
      <c r="F2624" s="5">
        <f t="shared" si="388"/>
        <v>0.73162393162393158</v>
      </c>
      <c r="G2624" s="5">
        <v>0.68899999999999995</v>
      </c>
      <c r="H2624" s="4">
        <f>49.1/1440</f>
        <v>3.4097222222222223E-2</v>
      </c>
      <c r="I2624" s="5">
        <v>7.9000000000000001E-2</v>
      </c>
      <c r="J2624" s="11" t="s">
        <v>3461</v>
      </c>
    </row>
    <row r="2625" spans="1:10" ht="13.15" customHeight="1" x14ac:dyDescent="0.25">
      <c r="A2625">
        <f t="shared" si="380"/>
        <v>2620</v>
      </c>
      <c r="B2625" t="s">
        <v>3454</v>
      </c>
      <c r="C2625" s="2">
        <v>0.44930555555555557</v>
      </c>
      <c r="D2625" s="4">
        <f t="shared" si="387"/>
        <v>0.1340277777777778</v>
      </c>
      <c r="E2625" s="6">
        <v>0.31527777777777777</v>
      </c>
      <c r="F2625" s="5">
        <f t="shared" si="388"/>
        <v>0.70170015455950541</v>
      </c>
      <c r="G2625" s="5">
        <v>0.67600000000000005</v>
      </c>
      <c r="H2625" s="4">
        <f>43.2/1440</f>
        <v>3.0000000000000002E-2</v>
      </c>
      <c r="I2625" s="5">
        <v>6.4000000000000001E-2</v>
      </c>
      <c r="J2625" s="11" t="s">
        <v>3461</v>
      </c>
    </row>
    <row r="2626" spans="1:10" ht="13.15" customHeight="1" x14ac:dyDescent="0.25">
      <c r="A2626">
        <f t="shared" si="380"/>
        <v>2621</v>
      </c>
      <c r="B2626" t="s">
        <v>3455</v>
      </c>
      <c r="C2626" s="2">
        <v>0.46805555555555556</v>
      </c>
      <c r="D2626" s="4">
        <f t="shared" si="387"/>
        <v>0.125</v>
      </c>
      <c r="E2626" s="6">
        <v>0.34305555555555556</v>
      </c>
      <c r="F2626" s="5">
        <f t="shared" si="388"/>
        <v>0.73293768545994065</v>
      </c>
      <c r="G2626" s="5">
        <v>0.75</v>
      </c>
      <c r="H2626" s="4">
        <f>49.3/1440</f>
        <v>3.4236111111111106E-2</v>
      </c>
      <c r="I2626" s="5">
        <v>7.4999999999999997E-2</v>
      </c>
      <c r="J2626" s="11" t="s">
        <v>3461</v>
      </c>
    </row>
    <row r="2627" spans="1:10" ht="13.15" customHeight="1" x14ac:dyDescent="0.25">
      <c r="A2627">
        <f t="shared" si="380"/>
        <v>2622</v>
      </c>
      <c r="B2627" t="s">
        <v>3456</v>
      </c>
      <c r="C2627" s="2">
        <v>0.46458333333333335</v>
      </c>
      <c r="D2627" s="4">
        <f t="shared" si="387"/>
        <v>0.12152777777777779</v>
      </c>
      <c r="E2627" s="6">
        <v>0.34305555555555556</v>
      </c>
      <c r="F2627" s="5">
        <f t="shared" si="388"/>
        <v>0.73841554559043343</v>
      </c>
      <c r="G2627" s="5">
        <v>0.77100000000000002</v>
      </c>
      <c r="H2627" s="4">
        <f>56.4/1440</f>
        <v>3.9166666666666669E-2</v>
      </c>
      <c r="I2627" s="5">
        <v>8.7999999999999995E-2</v>
      </c>
      <c r="J2627" s="11" t="s">
        <v>3460</v>
      </c>
    </row>
    <row r="2628" spans="1:10" ht="13.15" customHeight="1" x14ac:dyDescent="0.25">
      <c r="A2628">
        <f t="shared" si="380"/>
        <v>2623</v>
      </c>
      <c r="B2628" t="s">
        <v>3457</v>
      </c>
      <c r="C2628" s="2">
        <v>0.48194444444444445</v>
      </c>
      <c r="D2628" s="4">
        <f t="shared" si="387"/>
        <v>0.13263888888888892</v>
      </c>
      <c r="E2628" s="6">
        <v>0.34930555555555554</v>
      </c>
      <c r="F2628" s="5">
        <f t="shared" si="388"/>
        <v>0.72478386167146969</v>
      </c>
      <c r="G2628" s="5">
        <v>0.748</v>
      </c>
      <c r="H2628" s="4">
        <f>51.7/1440</f>
        <v>3.5902777777777777E-2</v>
      </c>
      <c r="I2628" s="5">
        <v>7.6999999999999999E-2</v>
      </c>
      <c r="J2628" s="11" t="s">
        <v>3460</v>
      </c>
    </row>
    <row r="2629" spans="1:10" ht="13.15" customHeight="1" x14ac:dyDescent="0.25">
      <c r="A2629">
        <f t="shared" si="380"/>
        <v>2624</v>
      </c>
      <c r="B2629" t="s">
        <v>3458</v>
      </c>
      <c r="C2629" s="2">
        <v>0.42222222222222222</v>
      </c>
      <c r="D2629" s="4">
        <f t="shared" si="387"/>
        <v>9.6527777777777768E-2</v>
      </c>
      <c r="E2629" s="6">
        <v>0.32569444444444445</v>
      </c>
      <c r="F2629" s="5">
        <f t="shared" si="388"/>
        <v>0.77138157894736847</v>
      </c>
      <c r="G2629" s="5">
        <v>0.84799999999999998</v>
      </c>
      <c r="H2629" s="4">
        <f>48.1/1440</f>
        <v>3.3402777777777781E-2</v>
      </c>
      <c r="I2629" s="5">
        <v>8.6999999999999994E-2</v>
      </c>
      <c r="J2629" s="11" t="s">
        <v>3460</v>
      </c>
    </row>
    <row r="2630" spans="1:10" ht="13.15" customHeight="1" x14ac:dyDescent="0.25">
      <c r="A2630">
        <f t="shared" si="380"/>
        <v>2625</v>
      </c>
      <c r="B2630" t="s">
        <v>3459</v>
      </c>
      <c r="C2630" s="2">
        <v>0.46041666666666664</v>
      </c>
      <c r="D2630" s="4">
        <f t="shared" si="387"/>
        <v>0.11249999999999999</v>
      </c>
      <c r="E2630" s="6">
        <v>0.34791666666666665</v>
      </c>
      <c r="F2630" s="5">
        <f t="shared" si="388"/>
        <v>0.75565610859728505</v>
      </c>
      <c r="G2630" s="5">
        <v>0.75</v>
      </c>
      <c r="H2630" s="4">
        <f>55.4/1440</f>
        <v>3.847222222222222E-2</v>
      </c>
      <c r="I2630" s="5">
        <v>8.3000000000000004E-2</v>
      </c>
      <c r="J2630" s="11" t="s">
        <v>3460</v>
      </c>
    </row>
    <row r="2631" spans="1:10" ht="13.15" customHeight="1" x14ac:dyDescent="0.25">
      <c r="A2631">
        <f t="shared" si="380"/>
        <v>2626</v>
      </c>
      <c r="B2631" t="s">
        <v>3462</v>
      </c>
      <c r="C2631" s="2">
        <v>0.40902777777777777</v>
      </c>
      <c r="D2631" s="4">
        <f t="shared" ref="D2631:D2639" si="389">C2631-E2631</f>
        <v>0.1159722222222222</v>
      </c>
      <c r="E2631" s="6">
        <v>0.29305555555555557</v>
      </c>
      <c r="F2631" s="5">
        <f t="shared" ref="F2631:F2639" si="390">E2631/C2631</f>
        <v>0.71646859083191861</v>
      </c>
      <c r="G2631" s="5">
        <v>0.73799999999999999</v>
      </c>
      <c r="H2631" s="4">
        <f>53.9/1440</f>
        <v>3.7430555555555557E-2</v>
      </c>
      <c r="I2631" s="5">
        <v>9.4E-2</v>
      </c>
      <c r="J2631" s="11" t="s">
        <v>3472</v>
      </c>
    </row>
    <row r="2632" spans="1:10" ht="13.15" customHeight="1" x14ac:dyDescent="0.25">
      <c r="A2632">
        <f t="shared" si="380"/>
        <v>2627</v>
      </c>
      <c r="B2632" t="s">
        <v>3463</v>
      </c>
      <c r="C2632" s="2">
        <v>0.42986111111111114</v>
      </c>
      <c r="D2632" s="4">
        <f t="shared" si="389"/>
        <v>0.12847222222222227</v>
      </c>
      <c r="E2632" s="6">
        <v>0.30138888888888887</v>
      </c>
      <c r="F2632" s="5">
        <f t="shared" si="390"/>
        <v>0.70113085621970916</v>
      </c>
      <c r="G2632" s="5">
        <v>0.746</v>
      </c>
      <c r="H2632" s="4">
        <f>57.2/1440</f>
        <v>3.9722222222222221E-2</v>
      </c>
      <c r="I2632" s="5">
        <v>9.8000000000000004E-2</v>
      </c>
      <c r="J2632" s="11" t="s">
        <v>3472</v>
      </c>
    </row>
    <row r="2633" spans="1:10" ht="13.15" customHeight="1" x14ac:dyDescent="0.25">
      <c r="A2633">
        <f t="shared" si="380"/>
        <v>2628</v>
      </c>
      <c r="B2633" t="s">
        <v>3464</v>
      </c>
      <c r="C2633" s="2">
        <v>0.39027777777777778</v>
      </c>
      <c r="D2633" s="4">
        <f t="shared" si="389"/>
        <v>0.11041666666666666</v>
      </c>
      <c r="E2633" s="6">
        <v>0.27986111111111112</v>
      </c>
      <c r="F2633" s="5">
        <f t="shared" si="390"/>
        <v>0.7170818505338078</v>
      </c>
      <c r="G2633" s="5">
        <v>0.72699999999999998</v>
      </c>
      <c r="H2633" s="4">
        <f>49.5/1440</f>
        <v>3.4375000000000003E-2</v>
      </c>
      <c r="I2633" s="5">
        <v>8.8999999999999996E-2</v>
      </c>
      <c r="J2633" s="11" t="s">
        <v>3472</v>
      </c>
    </row>
    <row r="2634" spans="1:10" ht="13.15" customHeight="1" x14ac:dyDescent="0.25">
      <c r="A2634">
        <f t="shared" si="380"/>
        <v>2629</v>
      </c>
      <c r="B2634" t="s">
        <v>3465</v>
      </c>
      <c r="C2634" s="2">
        <v>0.42083333333333334</v>
      </c>
      <c r="D2634" s="4">
        <f t="shared" si="389"/>
        <v>0.12222222222222223</v>
      </c>
      <c r="E2634" s="6">
        <v>0.2986111111111111</v>
      </c>
      <c r="F2634" s="5">
        <f t="shared" si="390"/>
        <v>0.7095709570957095</v>
      </c>
      <c r="G2634" s="5">
        <v>0.71599999999999997</v>
      </c>
      <c r="H2634" s="4">
        <f>49.1/1440</f>
        <v>3.4097222222222223E-2</v>
      </c>
      <c r="I2634" s="5">
        <v>8.2000000000000003E-2</v>
      </c>
      <c r="J2634" s="11" t="s">
        <v>3472</v>
      </c>
    </row>
    <row r="2635" spans="1:10" ht="13.15" customHeight="1" x14ac:dyDescent="0.25">
      <c r="A2635">
        <f t="shared" si="380"/>
        <v>2630</v>
      </c>
      <c r="B2635" t="s">
        <v>3466</v>
      </c>
      <c r="C2635" s="2">
        <v>0.40416666666666667</v>
      </c>
      <c r="D2635" s="4">
        <f t="shared" si="389"/>
        <v>0.10972222222222222</v>
      </c>
      <c r="E2635" s="6">
        <v>0.29444444444444445</v>
      </c>
      <c r="F2635" s="5">
        <f t="shared" si="390"/>
        <v>0.72852233676975942</v>
      </c>
      <c r="G2635" s="5">
        <v>0.77100000000000002</v>
      </c>
      <c r="H2635" s="4">
        <f>50.7/1440</f>
        <v>3.5208333333333335E-2</v>
      </c>
      <c r="I2635" s="5">
        <v>9.1999999999999998E-2</v>
      </c>
      <c r="J2635" s="11" t="s">
        <v>3472</v>
      </c>
    </row>
    <row r="2636" spans="1:10" ht="13.15" customHeight="1" x14ac:dyDescent="0.25">
      <c r="A2636">
        <f t="shared" si="380"/>
        <v>2631</v>
      </c>
      <c r="B2636" t="s">
        <v>3467</v>
      </c>
      <c r="C2636" s="2">
        <v>0.38750000000000001</v>
      </c>
      <c r="D2636" s="4">
        <f t="shared" si="389"/>
        <v>0.11875000000000002</v>
      </c>
      <c r="E2636" s="6">
        <v>0.26874999999999999</v>
      </c>
      <c r="F2636" s="5">
        <f t="shared" si="390"/>
        <v>0.69354838709677413</v>
      </c>
      <c r="G2636" s="5">
        <v>0.70499999999999996</v>
      </c>
      <c r="H2636" s="4">
        <f>66.9/1440</f>
        <v>4.6458333333333338E-2</v>
      </c>
      <c r="I2636" s="5">
        <v>0.122</v>
      </c>
      <c r="J2636" s="11" t="s">
        <v>3471</v>
      </c>
    </row>
    <row r="2637" spans="1:10" ht="13.15" customHeight="1" x14ac:dyDescent="0.25">
      <c r="A2637">
        <f t="shared" si="380"/>
        <v>2632</v>
      </c>
      <c r="B2637" t="s">
        <v>3468</v>
      </c>
      <c r="C2637" s="2">
        <v>0.40486111111111112</v>
      </c>
      <c r="D2637" s="4">
        <f t="shared" si="389"/>
        <v>0.13541666666666669</v>
      </c>
      <c r="E2637" s="6">
        <v>0.26944444444444443</v>
      </c>
      <c r="F2637" s="5">
        <f t="shared" si="390"/>
        <v>0.66552315608919377</v>
      </c>
      <c r="G2637" s="5">
        <v>0.78700000000000003</v>
      </c>
      <c r="H2637" s="4">
        <f>50.9/1440</f>
        <v>3.5347222222222224E-2</v>
      </c>
      <c r="I2637" s="5">
        <v>0.10299999999999999</v>
      </c>
      <c r="J2637" s="11" t="s">
        <v>3471</v>
      </c>
    </row>
    <row r="2638" spans="1:10" ht="13.15" customHeight="1" x14ac:dyDescent="0.25">
      <c r="A2638">
        <f t="shared" si="380"/>
        <v>2633</v>
      </c>
      <c r="B2638" t="s">
        <v>3469</v>
      </c>
      <c r="C2638" s="2">
        <v>0.42222222222222222</v>
      </c>
      <c r="D2638" s="4">
        <f t="shared" si="389"/>
        <v>0.10902777777777778</v>
      </c>
      <c r="E2638" s="6">
        <v>0.31319444444444444</v>
      </c>
      <c r="F2638" s="5">
        <f t="shared" si="390"/>
        <v>0.74177631578947367</v>
      </c>
      <c r="G2638" s="5">
        <v>0.75600000000000001</v>
      </c>
      <c r="H2638" s="4">
        <f>51.3/1440</f>
        <v>3.5624999999999997E-2</v>
      </c>
      <c r="I2638" s="5">
        <v>8.5999999999999993E-2</v>
      </c>
      <c r="J2638" s="11" t="s">
        <v>3471</v>
      </c>
    </row>
    <row r="2639" spans="1:10" ht="13.15" customHeight="1" x14ac:dyDescent="0.25">
      <c r="A2639">
        <f t="shared" si="380"/>
        <v>2634</v>
      </c>
      <c r="B2639" t="s">
        <v>3470</v>
      </c>
      <c r="C2639" s="2">
        <v>0.47708333333333336</v>
      </c>
      <c r="D2639" s="4">
        <f t="shared" si="389"/>
        <v>0.12361111111111112</v>
      </c>
      <c r="E2639" s="6">
        <v>0.35347222222222224</v>
      </c>
      <c r="F2639" s="5">
        <f t="shared" si="390"/>
        <v>0.7409024745269287</v>
      </c>
      <c r="G2639" s="5">
        <v>0.72</v>
      </c>
      <c r="H2639" s="4">
        <f>67.7/1440</f>
        <v>4.701388888888889E-2</v>
      </c>
      <c r="I2639" s="5">
        <v>9.6000000000000002E-2</v>
      </c>
      <c r="J2639" s="11" t="s">
        <v>3471</v>
      </c>
    </row>
    <row r="2640" spans="1:10" ht="13.15" customHeight="1" x14ac:dyDescent="0.25">
      <c r="A2640">
        <f t="shared" si="380"/>
        <v>2635</v>
      </c>
      <c r="B2640" t="s">
        <v>3475</v>
      </c>
      <c r="C2640" s="2">
        <v>0.47499999999999998</v>
      </c>
      <c r="D2640" s="4">
        <f t="shared" ref="D2640:D2648" si="391">C2640-E2640</f>
        <v>0.12708333333333333</v>
      </c>
      <c r="E2640" s="6">
        <v>0.34791666666666665</v>
      </c>
      <c r="F2640" s="5">
        <f t="shared" ref="F2640:F2648" si="392">E2640/C2640</f>
        <v>0.73245614035087725</v>
      </c>
      <c r="G2640" s="5">
        <v>0.79500000000000004</v>
      </c>
      <c r="H2640" s="4">
        <f>55.9/1440</f>
        <v>3.8819444444444441E-2</v>
      </c>
      <c r="I2640" s="5">
        <v>8.8999999999999996E-2</v>
      </c>
      <c r="J2640" s="11" t="s">
        <v>3485</v>
      </c>
    </row>
    <row r="2641" spans="1:10" ht="13.15" customHeight="1" x14ac:dyDescent="0.25">
      <c r="A2641">
        <f t="shared" si="380"/>
        <v>2636</v>
      </c>
      <c r="B2641" t="s">
        <v>3476</v>
      </c>
      <c r="C2641" s="2">
        <v>0.52986111111111112</v>
      </c>
      <c r="D2641" s="4">
        <f t="shared" si="391"/>
        <v>0.13194444444444448</v>
      </c>
      <c r="E2641" s="6">
        <v>0.39791666666666664</v>
      </c>
      <c r="F2641" s="5">
        <f t="shared" si="392"/>
        <v>0.75098296199213621</v>
      </c>
      <c r="G2641" s="5">
        <v>0.81699999999999995</v>
      </c>
      <c r="H2641" s="4">
        <f>59.7/1440</f>
        <v>4.1458333333333333E-2</v>
      </c>
      <c r="I2641" s="5">
        <v>8.5000000000000006E-2</v>
      </c>
      <c r="J2641" s="11" t="s">
        <v>3485</v>
      </c>
    </row>
    <row r="2642" spans="1:10" ht="13.15" customHeight="1" x14ac:dyDescent="0.25">
      <c r="A2642">
        <f t="shared" si="380"/>
        <v>2637</v>
      </c>
      <c r="B2642" t="s">
        <v>3477</v>
      </c>
      <c r="C2642" s="2">
        <v>0.49513888888888891</v>
      </c>
      <c r="D2642" s="4">
        <f t="shared" si="391"/>
        <v>0.1652777777777778</v>
      </c>
      <c r="E2642" s="6">
        <v>0.3298611111111111</v>
      </c>
      <c r="F2642" s="5">
        <f t="shared" si="392"/>
        <v>0.66619915848527345</v>
      </c>
      <c r="G2642" s="5">
        <v>0.72899999999999998</v>
      </c>
      <c r="H2642" s="4">
        <f>46.1/1440</f>
        <v>3.201388888888889E-2</v>
      </c>
      <c r="I2642" s="5">
        <v>7.0999999999999994E-2</v>
      </c>
      <c r="J2642" s="11" t="s">
        <v>3485</v>
      </c>
    </row>
    <row r="2643" spans="1:10" ht="13.15" customHeight="1" x14ac:dyDescent="0.25">
      <c r="A2643">
        <f t="shared" si="380"/>
        <v>2638</v>
      </c>
      <c r="B2643" t="s">
        <v>3478</v>
      </c>
      <c r="C2643" s="2">
        <v>0.36388888888888887</v>
      </c>
      <c r="D2643" s="4">
        <f t="shared" si="391"/>
        <v>0.1111111111111111</v>
      </c>
      <c r="E2643" s="6">
        <v>0.25277777777777777</v>
      </c>
      <c r="F2643" s="5">
        <f t="shared" si="392"/>
        <v>0.69465648854961837</v>
      </c>
      <c r="G2643" s="5">
        <v>0.69299999999999995</v>
      </c>
      <c r="H2643" s="4">
        <f>43.2/1440</f>
        <v>3.0000000000000002E-2</v>
      </c>
      <c r="I2643" s="5">
        <v>8.2000000000000003E-2</v>
      </c>
      <c r="J2643" s="11" t="s">
        <v>3485</v>
      </c>
    </row>
    <row r="2644" spans="1:10" ht="13.15" customHeight="1" x14ac:dyDescent="0.25">
      <c r="A2644">
        <f t="shared" si="380"/>
        <v>2639</v>
      </c>
      <c r="B2644" t="s">
        <v>3479</v>
      </c>
      <c r="C2644" s="2">
        <v>0.40972222222222221</v>
      </c>
      <c r="D2644" s="4">
        <f t="shared" si="391"/>
        <v>0.10347222222222219</v>
      </c>
      <c r="E2644" s="6">
        <v>0.30625000000000002</v>
      </c>
      <c r="F2644" s="5">
        <f t="shared" si="392"/>
        <v>0.74745762711864416</v>
      </c>
      <c r="G2644" s="5">
        <v>0.89</v>
      </c>
      <c r="H2644" s="4">
        <f>63.3/1440</f>
        <v>4.3958333333333328E-2</v>
      </c>
      <c r="I2644" s="5">
        <v>0.127</v>
      </c>
      <c r="J2644" s="11" t="s">
        <v>3485</v>
      </c>
    </row>
    <row r="2645" spans="1:10" ht="13.15" customHeight="1" x14ac:dyDescent="0.25">
      <c r="A2645">
        <f t="shared" si="380"/>
        <v>2640</v>
      </c>
      <c r="B2645" t="s">
        <v>3480</v>
      </c>
      <c r="C2645" s="2">
        <v>0.44027777777777777</v>
      </c>
      <c r="D2645" s="4">
        <f t="shared" si="391"/>
        <v>9.5138888888888884E-2</v>
      </c>
      <c r="E2645" s="6">
        <v>0.34513888888888888</v>
      </c>
      <c r="F2645" s="5">
        <f t="shared" si="392"/>
        <v>0.78391167192429023</v>
      </c>
      <c r="G2645" s="5">
        <v>0.87</v>
      </c>
      <c r="H2645" s="4">
        <f>56.7/1440</f>
        <v>3.9375E-2</v>
      </c>
      <c r="I2645" s="5">
        <v>9.9000000000000005E-2</v>
      </c>
      <c r="J2645" s="11" t="s">
        <v>3484</v>
      </c>
    </row>
    <row r="2646" spans="1:10" ht="13.15" customHeight="1" x14ac:dyDescent="0.25">
      <c r="A2646">
        <f t="shared" si="380"/>
        <v>2641</v>
      </c>
      <c r="B2646" t="s">
        <v>3481</v>
      </c>
      <c r="C2646" s="2">
        <v>0.55069444444444449</v>
      </c>
      <c r="D2646" s="4">
        <f t="shared" si="391"/>
        <v>0.13333333333333336</v>
      </c>
      <c r="E2646" s="6">
        <v>0.41736111111111113</v>
      </c>
      <c r="F2646" s="5">
        <f t="shared" si="392"/>
        <v>0.75788146279949553</v>
      </c>
      <c r="G2646" s="5">
        <v>0.76100000000000001</v>
      </c>
      <c r="H2646" s="4">
        <f>42.6/1440</f>
        <v>2.9583333333333333E-2</v>
      </c>
      <c r="I2646" s="5">
        <v>5.3999999999999999E-2</v>
      </c>
      <c r="J2646" s="11" t="s">
        <v>3484</v>
      </c>
    </row>
    <row r="2647" spans="1:10" ht="13.15" customHeight="1" x14ac:dyDescent="0.25">
      <c r="A2647">
        <f t="shared" si="380"/>
        <v>2642</v>
      </c>
      <c r="B2647" t="s">
        <v>3482</v>
      </c>
      <c r="C2647" s="2">
        <v>0.58611111111111114</v>
      </c>
      <c r="D2647" s="4">
        <f t="shared" si="391"/>
        <v>0.15347222222222223</v>
      </c>
      <c r="E2647" s="6">
        <v>0.43263888888888891</v>
      </c>
      <c r="F2647" s="5">
        <f t="shared" si="392"/>
        <v>0.73815165876777256</v>
      </c>
      <c r="G2647" s="5">
        <v>0.85799999999999998</v>
      </c>
      <c r="H2647" s="4">
        <f>73.9/1440</f>
        <v>5.1319444444444445E-2</v>
      </c>
      <c r="I2647" s="5">
        <v>0.10199999999999999</v>
      </c>
      <c r="J2647" s="11" t="s">
        <v>3484</v>
      </c>
    </row>
    <row r="2648" spans="1:10" ht="13.15" customHeight="1" x14ac:dyDescent="0.25">
      <c r="A2648">
        <f t="shared" si="380"/>
        <v>2643</v>
      </c>
      <c r="B2648" t="s">
        <v>3483</v>
      </c>
      <c r="C2648" s="2">
        <v>0.56041666666666667</v>
      </c>
      <c r="D2648" s="4">
        <f t="shared" si="391"/>
        <v>0.14166666666666666</v>
      </c>
      <c r="E2648" s="6">
        <v>0.41875000000000001</v>
      </c>
      <c r="F2648" s="5">
        <f t="shared" si="392"/>
        <v>0.74721189591078063</v>
      </c>
      <c r="G2648" s="5">
        <v>0.64400000000000002</v>
      </c>
      <c r="H2648" s="4">
        <f>84.8/1440</f>
        <v>5.8888888888888886E-2</v>
      </c>
      <c r="I2648" s="5">
        <v>9.0999999999999998E-2</v>
      </c>
      <c r="J2648" s="11" t="s">
        <v>3484</v>
      </c>
    </row>
    <row r="2649" spans="1:10" ht="13.15" customHeight="1" x14ac:dyDescent="0.25">
      <c r="A2649">
        <f t="shared" si="380"/>
        <v>2644</v>
      </c>
      <c r="B2649" t="s">
        <v>3486</v>
      </c>
      <c r="C2649" s="2">
        <v>0.37361111111111112</v>
      </c>
      <c r="D2649" s="4">
        <f t="shared" ref="D2649:D2657" si="393">C2649-E2649</f>
        <v>0.11458333333333331</v>
      </c>
      <c r="E2649" s="6">
        <v>0.2590277777777778</v>
      </c>
      <c r="F2649" s="5">
        <f t="shared" ref="F2649:F2657" si="394">E2649/C2649</f>
        <v>0.69330855018587367</v>
      </c>
      <c r="G2649" s="5">
        <v>0.72699999999999998</v>
      </c>
      <c r="H2649" s="4">
        <f>44.9/1440</f>
        <v>3.1180555555555555E-2</v>
      </c>
      <c r="I2649" s="5">
        <v>8.6999999999999994E-2</v>
      </c>
      <c r="J2649" s="11" t="s">
        <v>3496</v>
      </c>
    </row>
    <row r="2650" spans="1:10" ht="13.15" customHeight="1" x14ac:dyDescent="0.25">
      <c r="A2650">
        <f t="shared" si="380"/>
        <v>2645</v>
      </c>
      <c r="B2650" t="s">
        <v>3487</v>
      </c>
      <c r="C2650" s="2">
        <v>0.37152777777777779</v>
      </c>
      <c r="D2650" s="4">
        <f t="shared" si="393"/>
        <v>9.5138888888888884E-2</v>
      </c>
      <c r="E2650" s="6">
        <v>0.27638888888888891</v>
      </c>
      <c r="F2650" s="5">
        <f t="shared" si="394"/>
        <v>0.74392523364485985</v>
      </c>
      <c r="G2650" s="5">
        <v>0.79400000000000004</v>
      </c>
      <c r="H2650" s="4">
        <f>45.8/1440</f>
        <v>3.1805555555555552E-2</v>
      </c>
      <c r="I2650" s="5">
        <v>9.0999999999999998E-2</v>
      </c>
      <c r="J2650" s="11" t="s">
        <v>3496</v>
      </c>
    </row>
    <row r="2651" spans="1:10" ht="13.15" customHeight="1" x14ac:dyDescent="0.25">
      <c r="A2651">
        <f t="shared" ref="A2651:A2714" si="395">A2650+1</f>
        <v>2646</v>
      </c>
      <c r="B2651" t="s">
        <v>3488</v>
      </c>
      <c r="C2651" s="2">
        <v>0.39374999999999999</v>
      </c>
      <c r="D2651" s="4">
        <f t="shared" si="393"/>
        <v>0.14166666666666666</v>
      </c>
      <c r="E2651" s="6">
        <v>0.25208333333333333</v>
      </c>
      <c r="F2651" s="5">
        <f t="shared" si="394"/>
        <v>0.64021164021164023</v>
      </c>
      <c r="G2651" s="5">
        <v>0.65300000000000002</v>
      </c>
      <c r="H2651" s="4">
        <f>45.1/1440</f>
        <v>3.1319444444444448E-2</v>
      </c>
      <c r="I2651" s="5">
        <v>8.1000000000000003E-2</v>
      </c>
      <c r="J2651" s="11" t="s">
        <v>3496</v>
      </c>
    </row>
    <row r="2652" spans="1:10" ht="13.15" customHeight="1" x14ac:dyDescent="0.25">
      <c r="A2652">
        <f t="shared" si="395"/>
        <v>2647</v>
      </c>
      <c r="B2652" t="s">
        <v>3489</v>
      </c>
      <c r="C2652" s="2">
        <v>0.35902777777777778</v>
      </c>
      <c r="D2652" s="4">
        <f t="shared" si="393"/>
        <v>0.125</v>
      </c>
      <c r="E2652" s="6">
        <v>0.23402777777777778</v>
      </c>
      <c r="F2652" s="5">
        <f t="shared" si="394"/>
        <v>0.65183752417794971</v>
      </c>
      <c r="G2652" s="5">
        <v>0.66700000000000004</v>
      </c>
      <c r="H2652" s="4">
        <f>37.9/1440</f>
        <v>2.6319444444444444E-2</v>
      </c>
      <c r="I2652" s="5">
        <v>7.4999999999999997E-2</v>
      </c>
      <c r="J2652" s="11" t="s">
        <v>3496</v>
      </c>
    </row>
    <row r="2653" spans="1:10" ht="13.15" customHeight="1" x14ac:dyDescent="0.25">
      <c r="A2653">
        <f t="shared" si="395"/>
        <v>2648</v>
      </c>
      <c r="B2653" t="s">
        <v>3490</v>
      </c>
      <c r="C2653" s="2">
        <v>0.4201388888888889</v>
      </c>
      <c r="D2653" s="4">
        <f t="shared" si="393"/>
        <v>0.12847222222222221</v>
      </c>
      <c r="E2653" s="6">
        <v>0.29166666666666669</v>
      </c>
      <c r="F2653" s="5">
        <f t="shared" si="394"/>
        <v>0.69421487603305787</v>
      </c>
      <c r="G2653" s="5">
        <v>0.71399999999999997</v>
      </c>
      <c r="H2653" s="4">
        <f>40.5/1440</f>
        <v>2.8125000000000001E-2</v>
      </c>
      <c r="I2653" s="5">
        <v>6.9000000000000006E-2</v>
      </c>
      <c r="J2653" s="11" t="s">
        <v>3496</v>
      </c>
    </row>
    <row r="2654" spans="1:10" ht="13.15" customHeight="1" x14ac:dyDescent="0.25">
      <c r="A2654">
        <f t="shared" si="395"/>
        <v>2649</v>
      </c>
      <c r="B2654" t="s">
        <v>3491</v>
      </c>
      <c r="C2654" s="2">
        <v>0.33402777777777776</v>
      </c>
      <c r="D2654" s="4">
        <f t="shared" si="393"/>
        <v>0.11666666666666664</v>
      </c>
      <c r="E2654" s="6">
        <v>0.21736111111111112</v>
      </c>
      <c r="F2654" s="5">
        <f t="shared" si="394"/>
        <v>0.65072765072765082</v>
      </c>
      <c r="G2654" s="5">
        <v>0.751</v>
      </c>
      <c r="H2654" s="4">
        <f>49.9/1440</f>
        <v>3.4652777777777775E-2</v>
      </c>
      <c r="I2654" s="5">
        <v>0.12</v>
      </c>
      <c r="J2654" s="11" t="s">
        <v>3495</v>
      </c>
    </row>
    <row r="2655" spans="1:10" ht="13.15" customHeight="1" x14ac:dyDescent="0.25">
      <c r="A2655">
        <f t="shared" si="395"/>
        <v>2650</v>
      </c>
      <c r="B2655" t="s">
        <v>3492</v>
      </c>
      <c r="C2655" s="2">
        <v>0.33402777777777776</v>
      </c>
      <c r="D2655" s="4">
        <f t="shared" si="393"/>
        <v>0.10833333333333331</v>
      </c>
      <c r="E2655" s="6">
        <v>0.22569444444444445</v>
      </c>
      <c r="F2655" s="5">
        <f t="shared" si="394"/>
        <v>0.67567567567567577</v>
      </c>
      <c r="G2655" s="5">
        <v>0.73899999999999999</v>
      </c>
      <c r="H2655" s="4">
        <f>37.6/1440</f>
        <v>2.6111111111111113E-2</v>
      </c>
      <c r="I2655" s="5">
        <v>8.5000000000000006E-2</v>
      </c>
      <c r="J2655" s="11" t="s">
        <v>3495</v>
      </c>
    </row>
    <row r="2656" spans="1:10" ht="13.15" customHeight="1" x14ac:dyDescent="0.25">
      <c r="A2656">
        <f t="shared" si="395"/>
        <v>2651</v>
      </c>
      <c r="B2656" t="s">
        <v>3493</v>
      </c>
      <c r="C2656" s="2">
        <v>0.45416666666666666</v>
      </c>
      <c r="D2656" s="4">
        <f t="shared" si="393"/>
        <v>0.12152777777777779</v>
      </c>
      <c r="E2656" s="6">
        <v>0.33263888888888887</v>
      </c>
      <c r="F2656" s="5">
        <f t="shared" si="394"/>
        <v>0.73241590214067276</v>
      </c>
      <c r="G2656" s="5">
        <v>0.91700000000000004</v>
      </c>
      <c r="H2656" s="4">
        <f>47.8/1440</f>
        <v>3.3194444444444443E-2</v>
      </c>
      <c r="I2656" s="5">
        <v>9.0999999999999998E-2</v>
      </c>
      <c r="J2656" s="11" t="s">
        <v>3495</v>
      </c>
    </row>
    <row r="2657" spans="1:10" ht="13.15" customHeight="1" x14ac:dyDescent="0.25">
      <c r="A2657">
        <f t="shared" si="395"/>
        <v>2652</v>
      </c>
      <c r="B2657" t="s">
        <v>3494</v>
      </c>
      <c r="C2657" s="2">
        <v>0.5180555555555556</v>
      </c>
      <c r="D2657" s="4">
        <f t="shared" si="393"/>
        <v>0.15069444444444446</v>
      </c>
      <c r="E2657" s="6">
        <v>0.36736111111111114</v>
      </c>
      <c r="F2657" s="5">
        <f t="shared" si="394"/>
        <v>0.70911528150134051</v>
      </c>
      <c r="G2657" s="5">
        <v>0.72199999999999998</v>
      </c>
      <c r="H2657" s="4">
        <f>85.7/1440</f>
        <v>5.9513888888888894E-2</v>
      </c>
      <c r="I2657" s="5">
        <v>0.11700000000000001</v>
      </c>
      <c r="J2657" s="11" t="s">
        <v>3495</v>
      </c>
    </row>
    <row r="2658" spans="1:10" ht="13.15" customHeight="1" x14ac:dyDescent="0.25">
      <c r="A2658">
        <f t="shared" si="395"/>
        <v>2653</v>
      </c>
      <c r="B2658" t="s">
        <v>3497</v>
      </c>
      <c r="C2658" s="2">
        <v>0.42986111111111114</v>
      </c>
      <c r="D2658" s="4">
        <f t="shared" ref="D2658:D2666" si="396">C2658-E2658</f>
        <v>0.11250000000000004</v>
      </c>
      <c r="E2658" s="6">
        <v>0.31736111111111109</v>
      </c>
      <c r="F2658" s="5">
        <f t="shared" ref="F2658:F2666" si="397">E2658/C2658</f>
        <v>0.73828756058158307</v>
      </c>
      <c r="G2658" s="5">
        <v>0.81299999999999994</v>
      </c>
      <c r="H2658" s="4">
        <f>59.2/1440</f>
        <v>4.1111111111111112E-2</v>
      </c>
      <c r="I2658" s="5">
        <v>0.105</v>
      </c>
      <c r="J2658" s="11" t="s">
        <v>3507</v>
      </c>
    </row>
    <row r="2659" spans="1:10" ht="13.15" customHeight="1" x14ac:dyDescent="0.25">
      <c r="A2659">
        <f t="shared" si="395"/>
        <v>2654</v>
      </c>
      <c r="B2659" t="s">
        <v>3498</v>
      </c>
      <c r="C2659" s="2">
        <v>0.4513888888888889</v>
      </c>
      <c r="D2659" s="4">
        <f t="shared" si="396"/>
        <v>0.10972222222222222</v>
      </c>
      <c r="E2659" s="6">
        <v>0.34166666666666667</v>
      </c>
      <c r="F2659" s="5">
        <f t="shared" si="397"/>
        <v>0.75692307692307692</v>
      </c>
      <c r="G2659" s="5">
        <v>0.85099999999999998</v>
      </c>
      <c r="H2659" s="4">
        <f>71.2/1440</f>
        <v>4.9444444444444444E-2</v>
      </c>
      <c r="I2659" s="5">
        <v>0.123</v>
      </c>
      <c r="J2659" s="11" t="s">
        <v>3507</v>
      </c>
    </row>
    <row r="2660" spans="1:10" ht="13.15" customHeight="1" x14ac:dyDescent="0.25">
      <c r="A2660">
        <f t="shared" si="395"/>
        <v>2655</v>
      </c>
      <c r="B2660" t="s">
        <v>3499</v>
      </c>
      <c r="C2660" s="2">
        <v>0.37638888888888888</v>
      </c>
      <c r="D2660" s="4">
        <f t="shared" si="396"/>
        <v>0.11666666666666664</v>
      </c>
      <c r="E2660" s="6">
        <v>0.25972222222222224</v>
      </c>
      <c r="F2660" s="5">
        <f t="shared" si="397"/>
        <v>0.69003690036900378</v>
      </c>
      <c r="G2660" s="5">
        <v>0.749</v>
      </c>
      <c r="H2660" s="4">
        <f>50.7/1440</f>
        <v>3.5208333333333335E-2</v>
      </c>
      <c r="I2660" s="5">
        <v>0.10100000000000001</v>
      </c>
      <c r="J2660" s="11" t="s">
        <v>3507</v>
      </c>
    </row>
    <row r="2661" spans="1:10" ht="13.15" customHeight="1" x14ac:dyDescent="0.25">
      <c r="A2661">
        <f t="shared" si="395"/>
        <v>2656</v>
      </c>
      <c r="B2661" t="s">
        <v>3500</v>
      </c>
      <c r="C2661" s="2">
        <v>0.38750000000000001</v>
      </c>
      <c r="D2661" s="4">
        <f t="shared" si="396"/>
        <v>0.11319444444444443</v>
      </c>
      <c r="E2661" s="6">
        <v>0.27430555555555558</v>
      </c>
      <c r="F2661" s="5">
        <f t="shared" si="397"/>
        <v>0.70788530465949828</v>
      </c>
      <c r="G2661" s="5">
        <v>0.751</v>
      </c>
      <c r="H2661" s="4">
        <f>44.3/1440</f>
        <v>3.0763888888888886E-2</v>
      </c>
      <c r="I2661" s="5">
        <v>8.4000000000000005E-2</v>
      </c>
      <c r="J2661" s="11" t="s">
        <v>3507</v>
      </c>
    </row>
    <row r="2662" spans="1:10" ht="13.15" customHeight="1" x14ac:dyDescent="0.25">
      <c r="A2662">
        <f t="shared" si="395"/>
        <v>2657</v>
      </c>
      <c r="B2662" t="s">
        <v>3501</v>
      </c>
      <c r="C2662" s="2">
        <v>0.47222222222222221</v>
      </c>
      <c r="D2662" s="4">
        <f t="shared" si="396"/>
        <v>0.12916666666666665</v>
      </c>
      <c r="E2662" s="6">
        <v>0.34305555555555556</v>
      </c>
      <c r="F2662" s="5">
        <f t="shared" si="397"/>
        <v>0.72647058823529409</v>
      </c>
      <c r="G2662" s="5">
        <v>0.871</v>
      </c>
      <c r="H2662" s="4">
        <f>52.5/1440</f>
        <v>3.6458333333333336E-2</v>
      </c>
      <c r="I2662" s="5">
        <v>9.2999999999999999E-2</v>
      </c>
      <c r="J2662" s="11" t="s">
        <v>3507</v>
      </c>
    </row>
    <row r="2663" spans="1:10" ht="13.15" customHeight="1" x14ac:dyDescent="0.25">
      <c r="A2663">
        <f t="shared" si="395"/>
        <v>2658</v>
      </c>
      <c r="B2663" t="s">
        <v>3502</v>
      </c>
      <c r="C2663" s="2">
        <v>0.43472222222222223</v>
      </c>
      <c r="D2663" s="4">
        <f t="shared" si="396"/>
        <v>0.1111111111111111</v>
      </c>
      <c r="E2663" s="6">
        <v>0.32361111111111113</v>
      </c>
      <c r="F2663" s="5">
        <f t="shared" si="397"/>
        <v>0.74440894568690097</v>
      </c>
      <c r="G2663" s="5">
        <v>0.81599999999999995</v>
      </c>
      <c r="H2663" s="4">
        <f>56.5/1440</f>
        <v>3.923611111111111E-2</v>
      </c>
      <c r="I2663" s="5">
        <v>9.9000000000000005E-2</v>
      </c>
      <c r="J2663" s="11" t="s">
        <v>3506</v>
      </c>
    </row>
    <row r="2664" spans="1:10" ht="13.15" customHeight="1" x14ac:dyDescent="0.25">
      <c r="A2664">
        <f t="shared" si="395"/>
        <v>2659</v>
      </c>
      <c r="B2664" t="s">
        <v>3503</v>
      </c>
      <c r="C2664" s="2">
        <v>0.49375000000000002</v>
      </c>
      <c r="D2664" s="4">
        <f t="shared" si="396"/>
        <v>0.12986111111111115</v>
      </c>
      <c r="E2664" s="6">
        <v>0.36388888888888887</v>
      </c>
      <c r="F2664" s="5">
        <f t="shared" si="397"/>
        <v>0.73699015471167362</v>
      </c>
      <c r="G2664" s="5">
        <v>0.79700000000000004</v>
      </c>
      <c r="H2664" s="4">
        <f>57.1/1440</f>
        <v>3.965277777777778E-2</v>
      </c>
      <c r="I2664" s="5">
        <v>8.6999999999999994E-2</v>
      </c>
      <c r="J2664" s="11" t="s">
        <v>3506</v>
      </c>
    </row>
    <row r="2665" spans="1:10" ht="13.15" customHeight="1" x14ac:dyDescent="0.25">
      <c r="A2665">
        <f t="shared" si="395"/>
        <v>2660</v>
      </c>
      <c r="B2665" t="s">
        <v>3504</v>
      </c>
      <c r="C2665" s="2">
        <v>0.42569444444444443</v>
      </c>
      <c r="D2665" s="4">
        <f t="shared" si="396"/>
        <v>0.10138888888888886</v>
      </c>
      <c r="E2665" s="6">
        <v>0.32430555555555557</v>
      </c>
      <c r="F2665" s="5">
        <f t="shared" si="397"/>
        <v>0.76182707993474719</v>
      </c>
      <c r="G2665" s="5">
        <v>0.76400000000000001</v>
      </c>
      <c r="H2665" s="4">
        <f>69.6/1440</f>
        <v>4.8333333333333332E-2</v>
      </c>
      <c r="I2665" s="5">
        <v>0.114</v>
      </c>
      <c r="J2665" s="11" t="s">
        <v>3506</v>
      </c>
    </row>
    <row r="2666" spans="1:10" ht="13.15" customHeight="1" x14ac:dyDescent="0.25">
      <c r="A2666">
        <f t="shared" si="395"/>
        <v>2661</v>
      </c>
      <c r="B2666" t="s">
        <v>3505</v>
      </c>
      <c r="C2666" s="2">
        <v>0.46944444444444444</v>
      </c>
      <c r="D2666" s="4">
        <f t="shared" si="396"/>
        <v>0.10833333333333334</v>
      </c>
      <c r="E2666" s="6">
        <v>0.3611111111111111</v>
      </c>
      <c r="F2666" s="5">
        <f t="shared" si="397"/>
        <v>0.76923076923076927</v>
      </c>
      <c r="G2666" s="5">
        <v>0.85299999999999998</v>
      </c>
      <c r="H2666" s="4">
        <f>65.9/1440</f>
        <v>4.5763888888888896E-2</v>
      </c>
      <c r="I2666" s="5">
        <v>0.108</v>
      </c>
      <c r="J2666" s="11" t="s">
        <v>3506</v>
      </c>
    </row>
    <row r="2667" spans="1:10" ht="13.15" customHeight="1" x14ac:dyDescent="0.25">
      <c r="A2667">
        <f t="shared" si="395"/>
        <v>2662</v>
      </c>
      <c r="B2667" t="s">
        <v>3508</v>
      </c>
      <c r="C2667" s="2">
        <v>0.46041666666666664</v>
      </c>
      <c r="D2667" s="4">
        <f t="shared" ref="D2667:D2685" si="398">C2667-E2667</f>
        <v>0.14027777777777778</v>
      </c>
      <c r="E2667" s="6">
        <v>0.32013888888888886</v>
      </c>
      <c r="F2667" s="5">
        <f t="shared" ref="F2667:F2685" si="399">E2667/C2667</f>
        <v>0.69532428355957765</v>
      </c>
      <c r="G2667" s="5">
        <v>0.83199999999999996</v>
      </c>
      <c r="H2667" s="4">
        <f>59/1440</f>
        <v>4.0972222222222222E-2</v>
      </c>
      <c r="I2667" s="5">
        <v>0.106</v>
      </c>
      <c r="J2667" s="11" t="s">
        <v>3518</v>
      </c>
    </row>
    <row r="2668" spans="1:10" ht="13.15" customHeight="1" x14ac:dyDescent="0.25">
      <c r="A2668">
        <f t="shared" si="395"/>
        <v>2663</v>
      </c>
      <c r="B2668" t="s">
        <v>3509</v>
      </c>
      <c r="C2668" s="2">
        <v>0.45277777777777778</v>
      </c>
      <c r="D2668" s="4">
        <f t="shared" si="398"/>
        <v>0.13194444444444442</v>
      </c>
      <c r="E2668" s="6">
        <v>0.32083333333333336</v>
      </c>
      <c r="F2668" s="5">
        <f t="shared" si="399"/>
        <v>0.70858895705521474</v>
      </c>
      <c r="G2668" s="5">
        <v>0.874</v>
      </c>
      <c r="H2668" s="4">
        <f>62.9/1440</f>
        <v>4.3680555555555556E-2</v>
      </c>
      <c r="I2668" s="5">
        <v>0.11899999999999999</v>
      </c>
      <c r="J2668" s="11" t="s">
        <v>3518</v>
      </c>
    </row>
    <row r="2669" spans="1:10" ht="13.15" customHeight="1" x14ac:dyDescent="0.25">
      <c r="A2669">
        <f t="shared" si="395"/>
        <v>2664</v>
      </c>
      <c r="B2669" t="s">
        <v>3510</v>
      </c>
      <c r="C2669" s="2">
        <v>0.42569444444444443</v>
      </c>
      <c r="D2669" s="4">
        <f t="shared" si="398"/>
        <v>0.13819444444444445</v>
      </c>
      <c r="E2669" s="6">
        <v>0.28749999999999998</v>
      </c>
      <c r="F2669" s="5">
        <f t="shared" si="399"/>
        <v>0.67536704730831976</v>
      </c>
      <c r="G2669" s="5">
        <v>0.78900000000000003</v>
      </c>
      <c r="H2669" s="4">
        <f>49.9/1440</f>
        <v>3.4652777777777775E-2</v>
      </c>
      <c r="I2669" s="5">
        <v>9.5000000000000001E-2</v>
      </c>
      <c r="J2669" s="11" t="s">
        <v>3518</v>
      </c>
    </row>
    <row r="2670" spans="1:10" ht="13.15" customHeight="1" x14ac:dyDescent="0.25">
      <c r="A2670">
        <f t="shared" si="395"/>
        <v>2665</v>
      </c>
      <c r="B2670" t="s">
        <v>3511</v>
      </c>
      <c r="C2670" s="2">
        <v>0.42222222222222222</v>
      </c>
      <c r="D2670" s="4">
        <f t="shared" si="398"/>
        <v>0.13472222222222224</v>
      </c>
      <c r="E2670" s="6">
        <v>0.28749999999999998</v>
      </c>
      <c r="F2670" s="5">
        <f t="shared" si="399"/>
        <v>0.68092105263157887</v>
      </c>
      <c r="G2670" s="5">
        <v>0.76900000000000002</v>
      </c>
      <c r="H2670" s="4">
        <f>49.8/1440</f>
        <v>3.4583333333333334E-2</v>
      </c>
      <c r="I2670" s="5">
        <v>9.1999999999999998E-2</v>
      </c>
      <c r="J2670" s="11" t="s">
        <v>3518</v>
      </c>
    </row>
    <row r="2671" spans="1:10" ht="13.15" customHeight="1" x14ac:dyDescent="0.25">
      <c r="A2671">
        <f t="shared" si="395"/>
        <v>2666</v>
      </c>
      <c r="B2671" t="s">
        <v>3512</v>
      </c>
      <c r="C2671" s="2">
        <v>0.40416666666666667</v>
      </c>
      <c r="D2671" s="4">
        <f t="shared" si="398"/>
        <v>0.15486111111111112</v>
      </c>
      <c r="E2671" s="6">
        <v>0.24930555555555556</v>
      </c>
      <c r="F2671" s="5">
        <f t="shared" si="399"/>
        <v>0.61683848797250862</v>
      </c>
      <c r="G2671" s="5">
        <v>0.90600000000000003</v>
      </c>
      <c r="H2671" s="4">
        <f>48.3/1440</f>
        <v>3.3541666666666664E-2</v>
      </c>
      <c r="I2671" s="5">
        <v>0.122</v>
      </c>
      <c r="J2671" s="11" t="s">
        <v>3518</v>
      </c>
    </row>
    <row r="2672" spans="1:10" ht="13.15" customHeight="1" x14ac:dyDescent="0.25">
      <c r="A2672">
        <f t="shared" si="395"/>
        <v>2667</v>
      </c>
      <c r="B2672" t="s">
        <v>3513</v>
      </c>
      <c r="C2672" s="2">
        <v>0.48402777777777778</v>
      </c>
      <c r="D2672" s="4">
        <f t="shared" si="398"/>
        <v>0.13819444444444445</v>
      </c>
      <c r="E2672" s="6">
        <v>0.34583333333333333</v>
      </c>
      <c r="F2672" s="5">
        <f t="shared" si="399"/>
        <v>0.71449067431850788</v>
      </c>
      <c r="G2672" s="5">
        <v>0.86</v>
      </c>
      <c r="H2672" s="4">
        <f>63.4/1440</f>
        <v>4.4027777777777777E-2</v>
      </c>
      <c r="I2672" s="5">
        <v>0.109</v>
      </c>
      <c r="J2672" s="11" t="s">
        <v>3517</v>
      </c>
    </row>
    <row r="2673" spans="1:10" ht="13.15" customHeight="1" x14ac:dyDescent="0.25">
      <c r="A2673">
        <f t="shared" si="395"/>
        <v>2668</v>
      </c>
      <c r="B2673" t="s">
        <v>3514</v>
      </c>
      <c r="C2673" s="2">
        <v>0.48125000000000001</v>
      </c>
      <c r="D2673" s="4">
        <f t="shared" si="398"/>
        <v>0.15208333333333335</v>
      </c>
      <c r="E2673" s="6">
        <v>0.32916666666666666</v>
      </c>
      <c r="F2673" s="5">
        <f t="shared" si="399"/>
        <v>0.68398268398268391</v>
      </c>
      <c r="G2673" s="5">
        <v>0.81499999999999995</v>
      </c>
      <c r="H2673" s="4">
        <f>77/1440</f>
        <v>5.347222222222222E-2</v>
      </c>
      <c r="I2673" s="5">
        <v>0.13200000000000001</v>
      </c>
      <c r="J2673" s="11" t="s">
        <v>3517</v>
      </c>
    </row>
    <row r="2674" spans="1:10" ht="13.15" customHeight="1" x14ac:dyDescent="0.25">
      <c r="A2674">
        <f t="shared" si="395"/>
        <v>2669</v>
      </c>
      <c r="B2674" t="s">
        <v>3515</v>
      </c>
      <c r="C2674" s="2">
        <v>0.55694444444444446</v>
      </c>
      <c r="D2674" s="4">
        <f t="shared" si="398"/>
        <v>0.11458333333333337</v>
      </c>
      <c r="E2674" s="6">
        <v>0.44236111111111109</v>
      </c>
      <c r="F2674" s="5">
        <f t="shared" si="399"/>
        <v>0.79426433915211969</v>
      </c>
      <c r="G2674" s="5">
        <v>0.91100000000000003</v>
      </c>
      <c r="H2674" s="4">
        <f>83.8/1440</f>
        <v>5.8194444444444444E-2</v>
      </c>
      <c r="I2674" s="5">
        <v>0.12</v>
      </c>
      <c r="J2674" s="11" t="s">
        <v>3517</v>
      </c>
    </row>
    <row r="2675" spans="1:10" ht="13.15" customHeight="1" x14ac:dyDescent="0.25">
      <c r="A2675">
        <f t="shared" si="395"/>
        <v>2670</v>
      </c>
      <c r="B2675" t="s">
        <v>3516</v>
      </c>
      <c r="C2675" s="2">
        <v>0.45833333333333331</v>
      </c>
      <c r="D2675" s="4">
        <f t="shared" si="398"/>
        <v>0.13541666666666663</v>
      </c>
      <c r="E2675" s="6">
        <v>0.32291666666666669</v>
      </c>
      <c r="F2675" s="5">
        <f t="shared" si="399"/>
        <v>0.70454545454545459</v>
      </c>
      <c r="G2675" s="5">
        <v>0.80300000000000005</v>
      </c>
      <c r="H2675" s="4">
        <f>67.2/1440</f>
        <v>4.6666666666666669E-2</v>
      </c>
      <c r="I2675" s="5">
        <v>0.11600000000000001</v>
      </c>
      <c r="J2675" s="11" t="s">
        <v>3517</v>
      </c>
    </row>
    <row r="2676" spans="1:10" ht="13.15" customHeight="1" x14ac:dyDescent="0.25">
      <c r="A2676">
        <f t="shared" si="395"/>
        <v>2671</v>
      </c>
      <c r="B2676" t="s">
        <v>3519</v>
      </c>
      <c r="C2676" s="2">
        <v>0.45833333333333331</v>
      </c>
      <c r="D2676" s="4">
        <f t="shared" si="398"/>
        <v>0.10555555555555551</v>
      </c>
      <c r="E2676" s="6">
        <v>0.3527777777777778</v>
      </c>
      <c r="F2676" s="5">
        <f t="shared" si="399"/>
        <v>0.76969696969696977</v>
      </c>
      <c r="G2676" s="5">
        <v>0.76800000000000002</v>
      </c>
      <c r="H2676" s="4">
        <f>61.4/1440</f>
        <v>4.2638888888888886E-2</v>
      </c>
      <c r="I2676" s="5">
        <v>9.2999999999999999E-2</v>
      </c>
      <c r="J2676" s="11" t="s">
        <v>3529</v>
      </c>
    </row>
    <row r="2677" spans="1:10" ht="13.15" customHeight="1" x14ac:dyDescent="0.25">
      <c r="A2677">
        <f t="shared" si="395"/>
        <v>2672</v>
      </c>
      <c r="B2677" t="s">
        <v>3520</v>
      </c>
      <c r="C2677" s="2">
        <v>0.43472222222222223</v>
      </c>
      <c r="D2677" s="4">
        <f t="shared" si="398"/>
        <v>0.13958333333333334</v>
      </c>
      <c r="E2677" s="6">
        <v>0.2951388888888889</v>
      </c>
      <c r="F2677" s="5">
        <f t="shared" si="399"/>
        <v>0.67891373801916932</v>
      </c>
      <c r="G2677" s="5">
        <v>0.78300000000000003</v>
      </c>
      <c r="H2677" s="4">
        <f>58.2/1440</f>
        <v>4.041666666666667E-2</v>
      </c>
      <c r="I2677" s="5">
        <v>0.107</v>
      </c>
      <c r="J2677" s="11" t="s">
        <v>3529</v>
      </c>
    </row>
    <row r="2678" spans="1:10" ht="13.15" customHeight="1" x14ac:dyDescent="0.25">
      <c r="A2678">
        <f t="shared" si="395"/>
        <v>2673</v>
      </c>
      <c r="B2678" t="s">
        <v>3521</v>
      </c>
      <c r="C2678" s="2">
        <v>0.4465277777777778</v>
      </c>
      <c r="D2678" s="4">
        <f t="shared" si="398"/>
        <v>0.15555555555555556</v>
      </c>
      <c r="E2678" s="6">
        <v>0.29097222222222224</v>
      </c>
      <c r="F2678" s="5">
        <f t="shared" si="399"/>
        <v>0.65163297045101087</v>
      </c>
      <c r="G2678" s="5">
        <v>0.77500000000000002</v>
      </c>
      <c r="H2678" s="4">
        <f>66.2/1440</f>
        <v>4.5972222222222227E-2</v>
      </c>
      <c r="I2678" s="5">
        <v>0.122</v>
      </c>
      <c r="J2678" s="11" t="s">
        <v>3529</v>
      </c>
    </row>
    <row r="2679" spans="1:10" ht="13.15" customHeight="1" x14ac:dyDescent="0.25">
      <c r="A2679">
        <f t="shared" si="395"/>
        <v>2674</v>
      </c>
      <c r="B2679" t="s">
        <v>3522</v>
      </c>
      <c r="C2679" s="2">
        <v>0.41736111111111113</v>
      </c>
      <c r="D2679" s="4">
        <f t="shared" si="398"/>
        <v>0.12083333333333335</v>
      </c>
      <c r="E2679" s="6">
        <v>0.29652777777777778</v>
      </c>
      <c r="F2679" s="5">
        <f t="shared" si="399"/>
        <v>0.71048252911813636</v>
      </c>
      <c r="G2679" s="5">
        <v>0.79</v>
      </c>
      <c r="H2679" s="4">
        <f>50.8/1440</f>
        <v>3.5277777777777776E-2</v>
      </c>
      <c r="I2679" s="5">
        <v>9.4E-2</v>
      </c>
      <c r="J2679" s="11" t="s">
        <v>3529</v>
      </c>
    </row>
    <row r="2680" spans="1:10" ht="13.15" customHeight="1" x14ac:dyDescent="0.25">
      <c r="A2680">
        <f t="shared" si="395"/>
        <v>2675</v>
      </c>
      <c r="B2680" t="s">
        <v>3523</v>
      </c>
      <c r="C2680" s="2">
        <v>0.46250000000000002</v>
      </c>
      <c r="D2680" s="4">
        <f t="shared" si="398"/>
        <v>0.12361111111111112</v>
      </c>
      <c r="E2680" s="6">
        <v>0.33888888888888891</v>
      </c>
      <c r="F2680" s="5">
        <f t="shared" si="399"/>
        <v>0.73273273273273276</v>
      </c>
      <c r="G2680" s="5">
        <v>0.81599999999999995</v>
      </c>
      <c r="H2680" s="4">
        <f>65.5/1440</f>
        <v>4.5486111111111109E-2</v>
      </c>
      <c r="I2680" s="5">
        <v>0.109</v>
      </c>
      <c r="J2680" s="11" t="s">
        <v>3529</v>
      </c>
    </row>
    <row r="2681" spans="1:10" ht="13.15" customHeight="1" x14ac:dyDescent="0.25">
      <c r="A2681">
        <f t="shared" si="395"/>
        <v>2676</v>
      </c>
      <c r="B2681" t="s">
        <v>3524</v>
      </c>
      <c r="C2681" s="2">
        <v>0.53819444444444442</v>
      </c>
      <c r="D2681" s="4">
        <f t="shared" si="398"/>
        <v>0.10624999999999996</v>
      </c>
      <c r="E2681" s="6">
        <v>0.43194444444444446</v>
      </c>
      <c r="F2681" s="5">
        <f t="shared" si="399"/>
        <v>0.80258064516129035</v>
      </c>
      <c r="G2681" s="5">
        <v>0.86799999999999999</v>
      </c>
      <c r="H2681" s="4">
        <f>53.2/1440</f>
        <v>3.6944444444444446E-2</v>
      </c>
      <c r="I2681" s="5">
        <v>7.3999999999999996E-2</v>
      </c>
      <c r="J2681" s="11" t="s">
        <v>3530</v>
      </c>
    </row>
    <row r="2682" spans="1:10" ht="13.15" customHeight="1" x14ac:dyDescent="0.25">
      <c r="A2682">
        <f t="shared" si="395"/>
        <v>2677</v>
      </c>
      <c r="B2682" t="s">
        <v>3525</v>
      </c>
      <c r="C2682" s="2">
        <v>0.55138888888888893</v>
      </c>
      <c r="D2682" s="4">
        <f t="shared" si="398"/>
        <v>0.13611111111111113</v>
      </c>
      <c r="E2682" s="6">
        <v>0.4152777777777778</v>
      </c>
      <c r="F2682" s="5">
        <f t="shared" si="399"/>
        <v>0.75314861460957183</v>
      </c>
      <c r="G2682" s="5">
        <v>0.90500000000000003</v>
      </c>
      <c r="H2682" s="4">
        <f>58.2/1440</f>
        <v>4.041666666666667E-2</v>
      </c>
      <c r="I2682" s="5">
        <v>8.7999999999999995E-2</v>
      </c>
      <c r="J2682" s="11" t="s">
        <v>3530</v>
      </c>
    </row>
    <row r="2683" spans="1:10" ht="13.15" customHeight="1" x14ac:dyDescent="0.25">
      <c r="A2683">
        <f t="shared" si="395"/>
        <v>2678</v>
      </c>
      <c r="B2683" t="s">
        <v>3526</v>
      </c>
      <c r="C2683" s="2">
        <v>0.45763888888888887</v>
      </c>
      <c r="D2683" s="4">
        <f t="shared" si="398"/>
        <v>0.11180555555555555</v>
      </c>
      <c r="E2683" s="6">
        <v>0.34583333333333333</v>
      </c>
      <c r="F2683" s="5">
        <f t="shared" si="399"/>
        <v>0.75569044006069808</v>
      </c>
      <c r="G2683" s="5">
        <v>0.82699999999999996</v>
      </c>
      <c r="H2683" s="4">
        <f>46.9/1440</f>
        <v>3.2569444444444443E-2</v>
      </c>
      <c r="I2683" s="5">
        <v>7.8E-2</v>
      </c>
      <c r="J2683" s="11" t="s">
        <v>3530</v>
      </c>
    </row>
    <row r="2684" spans="1:10" ht="13.15" customHeight="1" x14ac:dyDescent="0.25">
      <c r="A2684">
        <f t="shared" si="395"/>
        <v>2679</v>
      </c>
      <c r="B2684" t="s">
        <v>3527</v>
      </c>
      <c r="C2684" s="2">
        <v>0.50555555555555554</v>
      </c>
      <c r="D2684" s="4">
        <f t="shared" si="398"/>
        <v>0.14097222222222222</v>
      </c>
      <c r="E2684" s="6">
        <v>0.36458333333333331</v>
      </c>
      <c r="F2684" s="5">
        <f t="shared" si="399"/>
        <v>0.72115384615384615</v>
      </c>
      <c r="G2684" s="5">
        <v>0.82099999999999995</v>
      </c>
      <c r="H2684" s="4">
        <f>67.9/1440</f>
        <v>4.715277777777778E-2</v>
      </c>
      <c r="I2684" s="5">
        <v>0.106</v>
      </c>
      <c r="J2684" s="11" t="s">
        <v>3530</v>
      </c>
    </row>
    <row r="2685" spans="1:10" ht="13.15" customHeight="1" x14ac:dyDescent="0.25">
      <c r="A2685">
        <f t="shared" si="395"/>
        <v>2680</v>
      </c>
      <c r="B2685" t="s">
        <v>3528</v>
      </c>
      <c r="C2685" s="2">
        <v>0.6</v>
      </c>
      <c r="D2685" s="4">
        <f t="shared" si="398"/>
        <v>0.14444444444444443</v>
      </c>
      <c r="E2685" s="6">
        <v>0.45555555555555555</v>
      </c>
      <c r="F2685" s="5">
        <f t="shared" si="399"/>
        <v>0.7592592592592593</v>
      </c>
      <c r="G2685" s="5">
        <v>0.74299999999999999</v>
      </c>
      <c r="H2685" s="4">
        <f>62.5/1440</f>
        <v>4.3402777777777776E-2</v>
      </c>
      <c r="I2685" s="5">
        <v>7.0999999999999994E-2</v>
      </c>
      <c r="J2685" s="11" t="s">
        <v>3530</v>
      </c>
    </row>
    <row r="2686" spans="1:10" ht="13.15" customHeight="1" x14ac:dyDescent="0.25">
      <c r="A2686">
        <f t="shared" si="395"/>
        <v>2681</v>
      </c>
      <c r="B2686" t="s">
        <v>3531</v>
      </c>
      <c r="C2686" s="2">
        <v>0.49166666666666664</v>
      </c>
      <c r="D2686" s="4">
        <f t="shared" ref="D2686:D2695" si="400">C2686-E2686</f>
        <v>0.11527777777777776</v>
      </c>
      <c r="E2686" s="6">
        <v>0.37638888888888888</v>
      </c>
      <c r="F2686" s="5">
        <f t="shared" ref="F2686:F2695" si="401">E2686/C2686</f>
        <v>0.7655367231638418</v>
      </c>
      <c r="G2686" s="5">
        <v>1</v>
      </c>
      <c r="H2686" s="4">
        <f>81.3/1440</f>
        <v>5.6458333333333333E-2</v>
      </c>
      <c r="I2686" s="5">
        <v>0.15</v>
      </c>
      <c r="J2686" s="11" t="s">
        <v>3541</v>
      </c>
    </row>
    <row r="2687" spans="1:10" ht="13.15" customHeight="1" x14ac:dyDescent="0.25">
      <c r="A2687">
        <f t="shared" si="395"/>
        <v>2682</v>
      </c>
      <c r="B2687" t="s">
        <v>3532</v>
      </c>
      <c r="C2687" s="2">
        <v>0.50555555555555554</v>
      </c>
      <c r="D2687" s="4">
        <f t="shared" si="400"/>
        <v>0.1076388888888889</v>
      </c>
      <c r="E2687" s="6">
        <v>0.39791666666666664</v>
      </c>
      <c r="F2687" s="5">
        <f t="shared" si="401"/>
        <v>0.78708791208791207</v>
      </c>
      <c r="G2687" s="5">
        <v>1</v>
      </c>
      <c r="H2687" s="4">
        <f>79.8/1440</f>
        <v>5.5416666666666663E-2</v>
      </c>
      <c r="I2687" s="5">
        <v>0.13900000000000001</v>
      </c>
      <c r="J2687" s="11" t="s">
        <v>3541</v>
      </c>
    </row>
    <row r="2688" spans="1:10" ht="13.15" customHeight="1" x14ac:dyDescent="0.25">
      <c r="A2688">
        <f t="shared" si="395"/>
        <v>2683</v>
      </c>
      <c r="B2688" t="s">
        <v>3533</v>
      </c>
      <c r="C2688" s="2">
        <v>0.49930555555555556</v>
      </c>
      <c r="D2688" s="4">
        <f t="shared" si="400"/>
        <v>0.12361111111111112</v>
      </c>
      <c r="E2688" s="6">
        <v>0.37569444444444444</v>
      </c>
      <c r="F2688" s="5">
        <f t="shared" si="401"/>
        <v>0.75243393602225317</v>
      </c>
      <c r="G2688" s="5">
        <v>1</v>
      </c>
      <c r="H2688" s="4">
        <f>86.8/1440</f>
        <v>6.0277777777777777E-2</v>
      </c>
      <c r="I2688" s="5">
        <v>0.16</v>
      </c>
      <c r="J2688" s="11" t="s">
        <v>3541</v>
      </c>
    </row>
    <row r="2689" spans="1:10" ht="13.15" customHeight="1" x14ac:dyDescent="0.25">
      <c r="A2689">
        <f t="shared" si="395"/>
        <v>2684</v>
      </c>
      <c r="B2689" t="s">
        <v>3534</v>
      </c>
      <c r="C2689" s="2">
        <v>0.52916666666666667</v>
      </c>
      <c r="D2689" s="4">
        <f t="shared" si="400"/>
        <v>0.12291666666666667</v>
      </c>
      <c r="E2689" s="6">
        <v>0.40625</v>
      </c>
      <c r="F2689" s="5">
        <f t="shared" si="401"/>
        <v>0.76771653543307083</v>
      </c>
      <c r="G2689" s="5">
        <v>1</v>
      </c>
      <c r="H2689" s="4">
        <f>83.6/1440</f>
        <v>5.8055555555555555E-2</v>
      </c>
      <c r="I2689" s="5">
        <v>0.14299999999999999</v>
      </c>
      <c r="J2689" s="11" t="s">
        <v>3541</v>
      </c>
    </row>
    <row r="2690" spans="1:10" ht="13.15" customHeight="1" x14ac:dyDescent="0.25">
      <c r="A2690">
        <f t="shared" si="395"/>
        <v>2685</v>
      </c>
      <c r="B2690" t="s">
        <v>3535</v>
      </c>
      <c r="C2690" s="2">
        <v>0.47569444444444442</v>
      </c>
      <c r="D2690" s="4">
        <f t="shared" si="400"/>
        <v>8.9583333333333293E-2</v>
      </c>
      <c r="E2690" s="6">
        <v>0.38611111111111113</v>
      </c>
      <c r="F2690" s="5">
        <f t="shared" si="401"/>
        <v>0.81167883211678837</v>
      </c>
      <c r="G2690" s="5">
        <v>1</v>
      </c>
      <c r="H2690" s="4">
        <f>125.7/1440</f>
        <v>8.729166666666667E-2</v>
      </c>
      <c r="I2690" s="5">
        <v>0.22600000000000001</v>
      </c>
      <c r="J2690" s="11" t="s">
        <v>3541</v>
      </c>
    </row>
    <row r="2691" spans="1:10" ht="13.15" customHeight="1" x14ac:dyDescent="0.25">
      <c r="A2691">
        <f t="shared" si="395"/>
        <v>2686</v>
      </c>
      <c r="B2691" t="s">
        <v>3536</v>
      </c>
      <c r="C2691" s="2">
        <v>0.48194444444444445</v>
      </c>
      <c r="D2691" s="4">
        <f t="shared" si="400"/>
        <v>9.9305555555555591E-2</v>
      </c>
      <c r="E2691" s="6">
        <v>0.38263888888888886</v>
      </c>
      <c r="F2691" s="5">
        <f t="shared" si="401"/>
        <v>0.79394812680115268</v>
      </c>
      <c r="G2691" s="5">
        <v>1</v>
      </c>
      <c r="H2691" s="4">
        <f>75.9/1440</f>
        <v>5.2708333333333336E-2</v>
      </c>
      <c r="I2691" s="5">
        <v>0.13800000000000001</v>
      </c>
      <c r="J2691" s="11" t="s">
        <v>3542</v>
      </c>
    </row>
    <row r="2692" spans="1:10" ht="13.15" customHeight="1" x14ac:dyDescent="0.25">
      <c r="A2692">
        <f t="shared" si="395"/>
        <v>2687</v>
      </c>
      <c r="B2692" t="s">
        <v>3537</v>
      </c>
      <c r="C2692" s="2">
        <v>0.50763888888888886</v>
      </c>
      <c r="D2692" s="4">
        <f t="shared" si="400"/>
        <v>0.10277777777777775</v>
      </c>
      <c r="E2692" s="6">
        <v>0.40486111111111112</v>
      </c>
      <c r="F2692" s="5">
        <f t="shared" si="401"/>
        <v>0.79753761969904247</v>
      </c>
      <c r="G2692" s="5">
        <v>1</v>
      </c>
      <c r="H2692" s="4">
        <f>78.2/1440</f>
        <v>5.4305555555555558E-2</v>
      </c>
      <c r="I2692" s="5">
        <v>0.13400000000000001</v>
      </c>
      <c r="J2692" s="11" t="s">
        <v>3542</v>
      </c>
    </row>
    <row r="2693" spans="1:10" ht="13.15" customHeight="1" x14ac:dyDescent="0.25">
      <c r="A2693">
        <f t="shared" si="395"/>
        <v>2688</v>
      </c>
      <c r="B2693" t="s">
        <v>3538</v>
      </c>
      <c r="C2693" s="2">
        <v>0.56041666666666667</v>
      </c>
      <c r="D2693" s="4">
        <f t="shared" si="400"/>
        <v>0.11736111111111114</v>
      </c>
      <c r="E2693" s="6">
        <v>0.44305555555555554</v>
      </c>
      <c r="F2693" s="5">
        <f t="shared" si="401"/>
        <v>0.79058240396530355</v>
      </c>
      <c r="G2693" s="5">
        <v>1</v>
      </c>
      <c r="H2693" s="4">
        <f>100.4/1440</f>
        <v>6.9722222222222227E-2</v>
      </c>
      <c r="I2693" s="5">
        <v>0.157</v>
      </c>
      <c r="J2693" s="11" t="s">
        <v>3542</v>
      </c>
    </row>
    <row r="2694" spans="1:10" ht="13.15" customHeight="1" x14ac:dyDescent="0.25">
      <c r="A2694">
        <f t="shared" si="395"/>
        <v>2689</v>
      </c>
      <c r="B2694" t="s">
        <v>3539</v>
      </c>
      <c r="C2694" s="2">
        <v>0.46597222222222223</v>
      </c>
      <c r="D2694" s="4">
        <f t="shared" si="400"/>
        <v>8.8194444444444464E-2</v>
      </c>
      <c r="E2694" s="6">
        <v>0.37777777777777777</v>
      </c>
      <c r="F2694" s="5">
        <f t="shared" si="401"/>
        <v>0.81073025335320414</v>
      </c>
      <c r="G2694" s="5">
        <v>1</v>
      </c>
      <c r="H2694" s="4">
        <f>88/1440</f>
        <v>6.1111111111111109E-2</v>
      </c>
      <c r="I2694" s="5">
        <v>0.16200000000000001</v>
      </c>
      <c r="J2694" s="11" t="s">
        <v>3542</v>
      </c>
    </row>
    <row r="2695" spans="1:10" ht="13.15" customHeight="1" x14ac:dyDescent="0.25">
      <c r="A2695">
        <f t="shared" si="395"/>
        <v>2690</v>
      </c>
      <c r="B2695" t="s">
        <v>3540</v>
      </c>
      <c r="C2695" s="2">
        <v>0.49791666666666667</v>
      </c>
      <c r="D2695" s="4">
        <f t="shared" si="400"/>
        <v>0.10625000000000001</v>
      </c>
      <c r="E2695" s="6">
        <v>0.39166666666666666</v>
      </c>
      <c r="F2695" s="5">
        <f t="shared" si="401"/>
        <v>0.78661087866108781</v>
      </c>
      <c r="G2695" s="5">
        <v>1</v>
      </c>
      <c r="H2695" s="4">
        <f>72.3/1440</f>
        <v>5.0208333333333334E-2</v>
      </c>
      <c r="I2695" s="5">
        <v>0.128</v>
      </c>
      <c r="J2695" s="11" t="s">
        <v>3542</v>
      </c>
    </row>
    <row r="2696" spans="1:10" ht="13.15" customHeight="1" x14ac:dyDescent="0.25">
      <c r="A2696">
        <f t="shared" si="395"/>
        <v>2691</v>
      </c>
      <c r="B2696" t="s">
        <v>3543</v>
      </c>
      <c r="C2696" s="2">
        <v>0.38541666666666669</v>
      </c>
      <c r="D2696" s="4">
        <f t="shared" ref="D2696:D2697" si="402">C2696-E2696</f>
        <v>0.10902777777777778</v>
      </c>
      <c r="E2696" s="6">
        <v>0.27638888888888891</v>
      </c>
      <c r="F2696" s="5">
        <f t="shared" ref="F2696:F2697" si="403">E2696/C2696</f>
        <v>0.71711711711711712</v>
      </c>
      <c r="G2696" s="5">
        <v>0.69699999999999995</v>
      </c>
      <c r="H2696" s="4">
        <f>51.8/1440</f>
        <v>3.5972222222222218E-2</v>
      </c>
      <c r="I2696" s="5">
        <v>9.0999999999999998E-2</v>
      </c>
      <c r="J2696" s="11" t="s">
        <v>3560</v>
      </c>
    </row>
    <row r="2697" spans="1:10" ht="13.15" customHeight="1" x14ac:dyDescent="0.25">
      <c r="A2697">
        <f t="shared" si="395"/>
        <v>2692</v>
      </c>
      <c r="B2697" t="s">
        <v>3559</v>
      </c>
      <c r="C2697" s="2">
        <v>0.38750000000000001</v>
      </c>
      <c r="D2697" s="4">
        <f t="shared" si="402"/>
        <v>0.11736111111111114</v>
      </c>
      <c r="E2697" s="6">
        <v>0.27013888888888887</v>
      </c>
      <c r="F2697" s="5">
        <f t="shared" si="403"/>
        <v>0.69713261648745517</v>
      </c>
      <c r="G2697" s="5">
        <v>0.72599999999999998</v>
      </c>
      <c r="H2697" s="4">
        <f>45.5/1440</f>
        <v>3.1597222222222221E-2</v>
      </c>
      <c r="I2697" s="5">
        <v>8.5000000000000006E-2</v>
      </c>
      <c r="J2697" s="11" t="s">
        <v>3560</v>
      </c>
    </row>
    <row r="2698" spans="1:10" ht="13.15" customHeight="1" x14ac:dyDescent="0.25">
      <c r="A2698">
        <f t="shared" si="395"/>
        <v>2693</v>
      </c>
      <c r="B2698" t="s">
        <v>3544</v>
      </c>
      <c r="C2698" s="2">
        <v>0.37569444444444444</v>
      </c>
      <c r="D2698" s="4">
        <f t="shared" ref="D2698:D2718" si="404">C2698-E2698</f>
        <v>8.9583333333333348E-2</v>
      </c>
      <c r="E2698" s="6">
        <v>0.28611111111111109</v>
      </c>
      <c r="F2698" s="5">
        <f t="shared" ref="F2698:F2709" si="405">E2698/C2698</f>
        <v>0.76155268022181144</v>
      </c>
      <c r="G2698" s="5">
        <v>0.79600000000000004</v>
      </c>
      <c r="H2698" s="4">
        <f>58.9/1440</f>
        <v>4.0902777777777774E-2</v>
      </c>
      <c r="I2698" s="5">
        <v>0.114</v>
      </c>
      <c r="J2698" s="11" t="s">
        <v>3558</v>
      </c>
    </row>
    <row r="2699" spans="1:10" ht="13.15" customHeight="1" x14ac:dyDescent="0.25">
      <c r="A2699">
        <f t="shared" si="395"/>
        <v>2694</v>
      </c>
      <c r="B2699" t="s">
        <v>3545</v>
      </c>
      <c r="C2699" s="2">
        <v>0.40625</v>
      </c>
      <c r="D2699" s="4">
        <f t="shared" si="404"/>
        <v>9.2361111111111116E-2</v>
      </c>
      <c r="E2699" s="6">
        <v>0.31388888888888888</v>
      </c>
      <c r="F2699" s="5">
        <f t="shared" si="405"/>
        <v>0.77264957264957268</v>
      </c>
      <c r="G2699" s="5">
        <v>0.82299999999999995</v>
      </c>
      <c r="H2699" s="4">
        <f>56.6/1440</f>
        <v>3.9305555555555559E-2</v>
      </c>
      <c r="I2699" s="5">
        <v>0.10299999999999999</v>
      </c>
      <c r="J2699" s="11" t="s">
        <v>3558</v>
      </c>
    </row>
    <row r="2700" spans="1:10" ht="13.15" customHeight="1" x14ac:dyDescent="0.25">
      <c r="A2700">
        <f t="shared" si="395"/>
        <v>2695</v>
      </c>
      <c r="B2700" t="s">
        <v>3546</v>
      </c>
      <c r="C2700" s="2">
        <v>0.44027777777777777</v>
      </c>
      <c r="D2700" s="4">
        <f t="shared" si="404"/>
        <v>0.12083333333333335</v>
      </c>
      <c r="E2700" s="6">
        <v>0.31944444444444442</v>
      </c>
      <c r="F2700" s="5">
        <f t="shared" si="405"/>
        <v>0.72555205047318605</v>
      </c>
      <c r="G2700" s="5">
        <v>0.80300000000000005</v>
      </c>
      <c r="H2700" s="4">
        <f>55.6/1440</f>
        <v>3.861111111111111E-2</v>
      </c>
      <c r="I2700" s="5">
        <v>9.7000000000000003E-2</v>
      </c>
      <c r="J2700" s="11" t="s">
        <v>3558</v>
      </c>
    </row>
    <row r="2701" spans="1:10" ht="13.15" customHeight="1" x14ac:dyDescent="0.25">
      <c r="A2701">
        <f t="shared" si="395"/>
        <v>2696</v>
      </c>
      <c r="B2701" t="s">
        <v>3547</v>
      </c>
      <c r="C2701" s="2">
        <v>0.47708333333333336</v>
      </c>
      <c r="D2701" s="4">
        <f t="shared" si="404"/>
        <v>0.12083333333333335</v>
      </c>
      <c r="E2701" s="6">
        <v>0.35625000000000001</v>
      </c>
      <c r="F2701" s="5">
        <f t="shared" si="405"/>
        <v>0.74672489082969429</v>
      </c>
      <c r="G2701" s="5">
        <v>0.80500000000000005</v>
      </c>
      <c r="H2701" s="4">
        <f>55.4/1440</f>
        <v>3.847222222222222E-2</v>
      </c>
      <c r="I2701" s="5">
        <v>8.6999999999999994E-2</v>
      </c>
      <c r="J2701" s="11" t="s">
        <v>3557</v>
      </c>
    </row>
    <row r="2702" spans="1:10" ht="13.15" customHeight="1" x14ac:dyDescent="0.25">
      <c r="A2702">
        <f t="shared" si="395"/>
        <v>2697</v>
      </c>
      <c r="B2702" t="s">
        <v>3548</v>
      </c>
      <c r="C2702" s="2">
        <v>0.54374999999999996</v>
      </c>
      <c r="D2702" s="4">
        <f t="shared" si="404"/>
        <v>0.13194444444444442</v>
      </c>
      <c r="E2702" s="6">
        <v>0.41180555555555554</v>
      </c>
      <c r="F2702" s="5">
        <f t="shared" si="405"/>
        <v>0.75734355044699875</v>
      </c>
      <c r="G2702" s="5">
        <v>0.86499999999999999</v>
      </c>
      <c r="H2702" s="4">
        <f>73.1/1440</f>
        <v>5.0763888888888886E-2</v>
      </c>
      <c r="I2702" s="5">
        <v>0.107</v>
      </c>
      <c r="J2702" s="11" t="s">
        <v>3557</v>
      </c>
    </row>
    <row r="2703" spans="1:10" ht="13.15" customHeight="1" x14ac:dyDescent="0.25">
      <c r="A2703">
        <f t="shared" si="395"/>
        <v>2698</v>
      </c>
      <c r="B2703" t="s">
        <v>3549</v>
      </c>
      <c r="C2703" s="2">
        <v>0.44027777777777777</v>
      </c>
      <c r="D2703" s="4">
        <f t="shared" si="404"/>
        <v>0.1159722222222222</v>
      </c>
      <c r="E2703" s="6">
        <v>0.32430555555555557</v>
      </c>
      <c r="F2703" s="5">
        <f t="shared" si="405"/>
        <v>0.7365930599369086</v>
      </c>
      <c r="G2703" s="5">
        <v>0.81899999999999995</v>
      </c>
      <c r="H2703" s="4">
        <f>50/1440</f>
        <v>3.4722222222222224E-2</v>
      </c>
      <c r="I2703" s="5">
        <v>8.7999999999999995E-2</v>
      </c>
      <c r="J2703" s="11" t="s">
        <v>3557</v>
      </c>
    </row>
    <row r="2704" spans="1:10" ht="13.15" customHeight="1" x14ac:dyDescent="0.25">
      <c r="A2704">
        <f t="shared" si="395"/>
        <v>2699</v>
      </c>
      <c r="B2704" t="s">
        <v>3550</v>
      </c>
      <c r="C2704" s="2">
        <v>0.3972222222222222</v>
      </c>
      <c r="D2704" s="4">
        <f t="shared" si="404"/>
        <v>0.12638888888888888</v>
      </c>
      <c r="E2704" s="6">
        <v>0.27083333333333331</v>
      </c>
      <c r="F2704" s="5">
        <f t="shared" si="405"/>
        <v>0.68181818181818177</v>
      </c>
      <c r="G2704" s="5">
        <v>0.76200000000000001</v>
      </c>
      <c r="H2704" s="4">
        <f>44.2/1440</f>
        <v>3.0694444444444448E-2</v>
      </c>
      <c r="I2704" s="5">
        <v>8.5999999999999993E-2</v>
      </c>
      <c r="J2704" s="11" t="s">
        <v>3557</v>
      </c>
    </row>
    <row r="2705" spans="1:10" ht="13.15" customHeight="1" x14ac:dyDescent="0.25">
      <c r="A2705">
        <f t="shared" si="395"/>
        <v>2700</v>
      </c>
      <c r="B2705" t="s">
        <v>3551</v>
      </c>
      <c r="C2705" s="2">
        <v>0.5083333333333333</v>
      </c>
      <c r="D2705" s="4">
        <f t="shared" si="404"/>
        <v>0.12083333333333329</v>
      </c>
      <c r="E2705" s="6">
        <v>0.38750000000000001</v>
      </c>
      <c r="F2705" s="5">
        <f t="shared" si="405"/>
        <v>0.76229508196721318</v>
      </c>
      <c r="G2705" s="5">
        <v>0.78400000000000003</v>
      </c>
      <c r="H2705" s="4">
        <f>58/1440</f>
        <v>4.027777777777778E-2</v>
      </c>
      <c r="I2705" s="5">
        <v>8.1000000000000003E-2</v>
      </c>
      <c r="J2705" s="11" t="s">
        <v>3557</v>
      </c>
    </row>
    <row r="2706" spans="1:10" ht="13.15" customHeight="1" x14ac:dyDescent="0.25">
      <c r="A2706">
        <f t="shared" si="395"/>
        <v>2701</v>
      </c>
      <c r="B2706" t="s">
        <v>3552</v>
      </c>
      <c r="C2706" s="2">
        <v>0.31874999999999998</v>
      </c>
      <c r="D2706" s="4">
        <f t="shared" si="404"/>
        <v>0.10277777777777775</v>
      </c>
      <c r="E2706" s="6">
        <v>0.21597222222222223</v>
      </c>
      <c r="F2706" s="5">
        <f t="shared" si="405"/>
        <v>0.67755991285403061</v>
      </c>
      <c r="G2706" s="5">
        <v>0.70599999999999996</v>
      </c>
      <c r="H2706" s="4">
        <f>51.5/1440</f>
        <v>3.5763888888888887E-2</v>
      </c>
      <c r="I2706" s="5">
        <v>0.11700000000000001</v>
      </c>
      <c r="J2706" s="11" t="s">
        <v>3556</v>
      </c>
    </row>
    <row r="2707" spans="1:10" ht="13.15" customHeight="1" x14ac:dyDescent="0.25">
      <c r="A2707">
        <f t="shared" si="395"/>
        <v>2702</v>
      </c>
      <c r="B2707" t="s">
        <v>3553</v>
      </c>
      <c r="C2707" s="2">
        <v>0.50138888888888888</v>
      </c>
      <c r="D2707" s="4">
        <f t="shared" si="404"/>
        <v>0.15555555555555556</v>
      </c>
      <c r="E2707" s="6">
        <v>0.34583333333333333</v>
      </c>
      <c r="F2707" s="5">
        <f t="shared" si="405"/>
        <v>0.68975069252077559</v>
      </c>
      <c r="G2707" s="5">
        <v>0.71499999999999997</v>
      </c>
      <c r="H2707" s="4">
        <f>42.1/1440</f>
        <v>2.9236111111111112E-2</v>
      </c>
      <c r="I2707" s="5">
        <v>0.06</v>
      </c>
      <c r="J2707" s="11" t="s">
        <v>3556</v>
      </c>
    </row>
    <row r="2708" spans="1:10" ht="13.15" customHeight="1" x14ac:dyDescent="0.25">
      <c r="A2708">
        <f t="shared" si="395"/>
        <v>2703</v>
      </c>
      <c r="B2708" t="s">
        <v>3554</v>
      </c>
      <c r="C2708" s="2">
        <v>0.60347222222222219</v>
      </c>
      <c r="D2708" s="4">
        <f t="shared" si="404"/>
        <v>0.11319444444444443</v>
      </c>
      <c r="E2708" s="6">
        <v>0.49027777777777776</v>
      </c>
      <c r="F2708" s="5">
        <f t="shared" si="405"/>
        <v>0.81242807825086305</v>
      </c>
      <c r="G2708" s="5">
        <v>0.89600000000000002</v>
      </c>
      <c r="H2708" s="4">
        <f>58.2/1440</f>
        <v>4.041666666666667E-2</v>
      </c>
      <c r="I2708" s="5">
        <v>7.3999999999999996E-2</v>
      </c>
      <c r="J2708" s="11" t="s">
        <v>3556</v>
      </c>
    </row>
    <row r="2709" spans="1:10" ht="13.15" customHeight="1" x14ac:dyDescent="0.25">
      <c r="A2709">
        <f t="shared" si="395"/>
        <v>2704</v>
      </c>
      <c r="B2709" t="s">
        <v>3555</v>
      </c>
      <c r="C2709" s="2">
        <v>0.56388888888888888</v>
      </c>
      <c r="D2709" s="4">
        <f t="shared" si="404"/>
        <v>0.11666666666666664</v>
      </c>
      <c r="E2709" s="6">
        <v>0.44722222222222224</v>
      </c>
      <c r="F2709" s="5">
        <f t="shared" si="405"/>
        <v>0.7931034482758621</v>
      </c>
      <c r="G2709" s="5">
        <v>0.80300000000000005</v>
      </c>
      <c r="H2709" s="4">
        <f>40.9/1440</f>
        <v>2.8402777777777777E-2</v>
      </c>
      <c r="I2709" s="5">
        <v>5.0999999999999997E-2</v>
      </c>
      <c r="J2709" s="11" t="s">
        <v>3556</v>
      </c>
    </row>
    <row r="2710" spans="1:10" ht="13.15" customHeight="1" x14ac:dyDescent="0.25">
      <c r="A2710">
        <f t="shared" si="395"/>
        <v>2705</v>
      </c>
      <c r="B2710" t="s">
        <v>3561</v>
      </c>
      <c r="C2710" s="2">
        <v>0.43333333333333335</v>
      </c>
      <c r="D2710" s="4">
        <f t="shared" si="404"/>
        <v>0.10694444444444445</v>
      </c>
      <c r="E2710" s="6">
        <v>0.3263888888888889</v>
      </c>
      <c r="F2710" s="5">
        <f t="shared" ref="F2710:F2718" si="406">E2710/C2710</f>
        <v>0.75320512820512819</v>
      </c>
      <c r="G2710" s="5">
        <v>0.79800000000000004</v>
      </c>
      <c r="H2710" s="4">
        <f>57/1440</f>
        <v>3.9583333333333331E-2</v>
      </c>
      <c r="I2710" s="5">
        <v>9.7000000000000003E-2</v>
      </c>
      <c r="J2710" s="11" t="s">
        <v>3571</v>
      </c>
    </row>
    <row r="2711" spans="1:10" ht="13.15" customHeight="1" x14ac:dyDescent="0.25">
      <c r="A2711">
        <f t="shared" si="395"/>
        <v>2706</v>
      </c>
      <c r="B2711" t="s">
        <v>3562</v>
      </c>
      <c r="C2711" s="2">
        <v>0.43194444444444446</v>
      </c>
      <c r="D2711" s="4">
        <f t="shared" si="404"/>
        <v>0.11250000000000004</v>
      </c>
      <c r="E2711" s="6">
        <v>0.31944444444444442</v>
      </c>
      <c r="F2711" s="5">
        <f t="shared" si="406"/>
        <v>0.73954983922829576</v>
      </c>
      <c r="G2711" s="5">
        <v>0.81899999999999995</v>
      </c>
      <c r="H2711" s="4">
        <f>61/1440</f>
        <v>4.2361111111111113E-2</v>
      </c>
      <c r="I2711" s="5">
        <v>0.108</v>
      </c>
      <c r="J2711" s="11" t="s">
        <v>3571</v>
      </c>
    </row>
    <row r="2712" spans="1:10" ht="13.15" customHeight="1" x14ac:dyDescent="0.25">
      <c r="A2712">
        <f t="shared" si="395"/>
        <v>2707</v>
      </c>
      <c r="B2712" t="s">
        <v>3563</v>
      </c>
      <c r="C2712" s="2">
        <v>0.40277777777777779</v>
      </c>
      <c r="D2712" s="4">
        <f t="shared" si="404"/>
        <v>0.10694444444444445</v>
      </c>
      <c r="E2712" s="6">
        <v>0.29583333333333334</v>
      </c>
      <c r="F2712" s="5">
        <f t="shared" si="406"/>
        <v>0.73448275862068968</v>
      </c>
      <c r="G2712" s="5" t="s">
        <v>3572</v>
      </c>
      <c r="H2712" s="4">
        <f>52.6/1440</f>
        <v>3.6527777777777777E-2</v>
      </c>
      <c r="I2712" s="5">
        <v>9.1999999999999998E-2</v>
      </c>
      <c r="J2712" s="11" t="s">
        <v>3571</v>
      </c>
    </row>
    <row r="2713" spans="1:10" ht="13.15" customHeight="1" x14ac:dyDescent="0.25">
      <c r="A2713">
        <f t="shared" si="395"/>
        <v>2708</v>
      </c>
      <c r="B2713" t="s">
        <v>3564</v>
      </c>
      <c r="C2713" s="2">
        <v>0.42291666666666666</v>
      </c>
      <c r="D2713" s="4">
        <f t="shared" si="404"/>
        <v>0.11319444444444443</v>
      </c>
      <c r="E2713" s="6">
        <v>0.30972222222222223</v>
      </c>
      <c r="F2713" s="5">
        <f t="shared" si="406"/>
        <v>0.73234811165845648</v>
      </c>
      <c r="G2713" s="5">
        <v>0.748</v>
      </c>
      <c r="H2713" s="4">
        <f>51.6/1440</f>
        <v>3.5833333333333335E-2</v>
      </c>
      <c r="I2713" s="5">
        <v>8.5999999999999993E-2</v>
      </c>
      <c r="J2713" s="11" t="s">
        <v>3571</v>
      </c>
    </row>
    <row r="2714" spans="1:10" ht="13.15" customHeight="1" x14ac:dyDescent="0.25">
      <c r="A2714">
        <f t="shared" si="395"/>
        <v>2709</v>
      </c>
      <c r="B2714" t="s">
        <v>3565</v>
      </c>
      <c r="C2714" s="2">
        <v>0.43333333333333335</v>
      </c>
      <c r="D2714" s="4">
        <f t="shared" si="404"/>
        <v>0.10000000000000003</v>
      </c>
      <c r="E2714" s="6">
        <v>0.33333333333333331</v>
      </c>
      <c r="F2714" s="5">
        <f t="shared" si="406"/>
        <v>0.76923076923076916</v>
      </c>
      <c r="G2714" s="5">
        <v>0.85</v>
      </c>
      <c r="H2714" s="4">
        <f>57.2/1440</f>
        <v>3.9722222222222221E-2</v>
      </c>
      <c r="I2714" s="5">
        <v>0.10100000000000001</v>
      </c>
      <c r="J2714" s="11" t="s">
        <v>3571</v>
      </c>
    </row>
    <row r="2715" spans="1:10" ht="13.15" customHeight="1" x14ac:dyDescent="0.25">
      <c r="A2715">
        <f t="shared" ref="A2715:A2778" si="407">A2714+1</f>
        <v>2710</v>
      </c>
      <c r="B2715" t="s">
        <v>3566</v>
      </c>
      <c r="C2715" s="2">
        <v>0.42222222222222222</v>
      </c>
      <c r="D2715" s="4">
        <f t="shared" si="404"/>
        <v>9.6527777777777768E-2</v>
      </c>
      <c r="E2715" s="6">
        <v>0.32569444444444445</v>
      </c>
      <c r="F2715" s="5">
        <f t="shared" si="406"/>
        <v>0.77138157894736847</v>
      </c>
      <c r="G2715" s="5">
        <v>0.81399999999999995</v>
      </c>
      <c r="H2715" s="4">
        <f>58.9/1440</f>
        <v>4.0902777777777774E-2</v>
      </c>
      <c r="I2715" s="5">
        <v>0.10199999999999999</v>
      </c>
      <c r="J2715" s="11" t="s">
        <v>3570</v>
      </c>
    </row>
    <row r="2716" spans="1:10" ht="13.15" customHeight="1" x14ac:dyDescent="0.25">
      <c r="A2716">
        <f t="shared" si="407"/>
        <v>2711</v>
      </c>
      <c r="B2716" t="s">
        <v>3567</v>
      </c>
      <c r="C2716" s="2">
        <v>0.50208333333333333</v>
      </c>
      <c r="D2716" s="4">
        <f t="shared" si="404"/>
        <v>0.12222222222222223</v>
      </c>
      <c r="E2716" s="6">
        <v>0.37986111111111109</v>
      </c>
      <c r="F2716" s="5">
        <f t="shared" si="406"/>
        <v>0.75656984785615489</v>
      </c>
      <c r="G2716" s="5">
        <v>0.84399999999999997</v>
      </c>
      <c r="H2716" s="4">
        <f>59.1/1440</f>
        <v>4.1041666666666671E-2</v>
      </c>
      <c r="I2716" s="5">
        <v>9.0999999999999998E-2</v>
      </c>
      <c r="J2716" s="11" t="s">
        <v>3570</v>
      </c>
    </row>
    <row r="2717" spans="1:10" ht="13.15" customHeight="1" x14ac:dyDescent="0.25">
      <c r="A2717">
        <f t="shared" si="407"/>
        <v>2712</v>
      </c>
      <c r="B2717" t="s">
        <v>3568</v>
      </c>
      <c r="C2717" s="2">
        <v>0.50138888888888888</v>
      </c>
      <c r="D2717" s="4">
        <f t="shared" si="404"/>
        <v>0.12569444444444444</v>
      </c>
      <c r="E2717" s="6">
        <v>0.37569444444444444</v>
      </c>
      <c r="F2717" s="5">
        <f t="shared" si="406"/>
        <v>0.74930747922437668</v>
      </c>
      <c r="G2717" s="5">
        <v>0.83199999999999996</v>
      </c>
      <c r="H2717" s="4">
        <f>62.6/1440</f>
        <v>4.3472222222222225E-2</v>
      </c>
      <c r="I2717" s="5">
        <v>9.6000000000000002E-2</v>
      </c>
      <c r="J2717" s="11" t="s">
        <v>3570</v>
      </c>
    </row>
    <row r="2718" spans="1:10" ht="13.15" customHeight="1" x14ac:dyDescent="0.25">
      <c r="A2718">
        <f t="shared" si="407"/>
        <v>2713</v>
      </c>
      <c r="B2718" t="s">
        <v>3569</v>
      </c>
      <c r="C2718" s="2">
        <v>0.4909722222222222</v>
      </c>
      <c r="D2718" s="4">
        <f t="shared" si="404"/>
        <v>0.11319444444444443</v>
      </c>
      <c r="E2718" s="6">
        <v>0.37777777777777777</v>
      </c>
      <c r="F2718" s="5">
        <f t="shared" si="406"/>
        <v>0.76944837340876948</v>
      </c>
      <c r="G2718" s="5">
        <v>0.77500000000000002</v>
      </c>
      <c r="H2718" s="4">
        <f>53.1/1440</f>
        <v>3.6874999999999998E-2</v>
      </c>
      <c r="I2718" s="5">
        <v>7.5999999999999998E-2</v>
      </c>
      <c r="J2718" s="11" t="s">
        <v>3570</v>
      </c>
    </row>
    <row r="2719" spans="1:10" ht="13.15" customHeight="1" x14ac:dyDescent="0.25">
      <c r="A2719">
        <f t="shared" si="407"/>
        <v>2714</v>
      </c>
      <c r="B2719" t="s">
        <v>3573</v>
      </c>
      <c r="C2719" s="2">
        <v>0.43611111111111112</v>
      </c>
      <c r="D2719" s="4">
        <f t="shared" ref="D2719:D2727" si="408">C2719-E2719</f>
        <v>0.12291666666666667</v>
      </c>
      <c r="E2719" s="6">
        <v>0.31319444444444444</v>
      </c>
      <c r="F2719" s="5">
        <f t="shared" ref="F2719:F2727" si="409">E2719/C2719</f>
        <v>0.71815286624203822</v>
      </c>
      <c r="G2719" s="5">
        <v>0.77400000000000002</v>
      </c>
      <c r="H2719" s="4">
        <f>57.8/1440</f>
        <v>4.0138888888888884E-2</v>
      </c>
      <c r="I2719" s="5">
        <v>9.9000000000000005E-2</v>
      </c>
      <c r="J2719" s="11" t="s">
        <v>3583</v>
      </c>
    </row>
    <row r="2720" spans="1:10" ht="13.15" customHeight="1" x14ac:dyDescent="0.25">
      <c r="A2720">
        <f t="shared" si="407"/>
        <v>2715</v>
      </c>
      <c r="B2720" t="s">
        <v>3574</v>
      </c>
      <c r="C2720" s="2">
        <v>0.40902777777777777</v>
      </c>
      <c r="D2720" s="4">
        <f t="shared" si="408"/>
        <v>0.12847222222222221</v>
      </c>
      <c r="E2720" s="6">
        <v>0.28055555555555556</v>
      </c>
      <c r="F2720" s="5">
        <f t="shared" si="409"/>
        <v>0.68590831918505946</v>
      </c>
      <c r="G2720" s="5">
        <v>0.82099999999999995</v>
      </c>
      <c r="H2720" s="4">
        <f>75.7/1440</f>
        <v>5.2569444444444446E-2</v>
      </c>
      <c r="I2720" s="5">
        <v>0.154</v>
      </c>
      <c r="J2720" s="11" t="s">
        <v>3583</v>
      </c>
    </row>
    <row r="2721" spans="1:10" ht="13.15" customHeight="1" x14ac:dyDescent="0.25">
      <c r="A2721">
        <f t="shared" si="407"/>
        <v>2716</v>
      </c>
      <c r="B2721" t="s">
        <v>3575</v>
      </c>
      <c r="C2721" s="2">
        <v>0.41875000000000001</v>
      </c>
      <c r="D2721" s="4">
        <f t="shared" si="408"/>
        <v>0.12083333333333335</v>
      </c>
      <c r="E2721" s="6">
        <v>0.29791666666666666</v>
      </c>
      <c r="F2721" s="5">
        <f t="shared" si="409"/>
        <v>0.71144278606965172</v>
      </c>
      <c r="G2721" s="5">
        <v>0.76</v>
      </c>
      <c r="H2721" s="4">
        <f>45.6/1440</f>
        <v>3.1666666666666669E-2</v>
      </c>
      <c r="I2721" s="5">
        <v>8.1000000000000003E-2</v>
      </c>
      <c r="J2721" s="11" t="s">
        <v>3583</v>
      </c>
    </row>
    <row r="2722" spans="1:10" ht="13.15" customHeight="1" x14ac:dyDescent="0.25">
      <c r="A2722">
        <f t="shared" si="407"/>
        <v>2717</v>
      </c>
      <c r="B2722" t="s">
        <v>3576</v>
      </c>
      <c r="C2722" s="2">
        <v>0.36944444444444446</v>
      </c>
      <c r="D2722" s="4">
        <f t="shared" si="408"/>
        <v>0.12152777777777779</v>
      </c>
      <c r="E2722" s="6">
        <v>0.24791666666666667</v>
      </c>
      <c r="F2722" s="5">
        <f t="shared" si="409"/>
        <v>0.67105263157894735</v>
      </c>
      <c r="G2722" s="5">
        <v>0.69799999999999995</v>
      </c>
      <c r="H2722" s="4">
        <f>49.8/1440</f>
        <v>3.4583333333333334E-2</v>
      </c>
      <c r="I2722" s="5">
        <v>9.7000000000000003E-2</v>
      </c>
      <c r="J2722" s="11" t="s">
        <v>3583</v>
      </c>
    </row>
    <row r="2723" spans="1:10" ht="13.15" customHeight="1" x14ac:dyDescent="0.25">
      <c r="A2723">
        <f t="shared" si="407"/>
        <v>2718</v>
      </c>
      <c r="B2723" t="s">
        <v>3577</v>
      </c>
      <c r="C2723" s="2">
        <v>0.59722222222222221</v>
      </c>
      <c r="D2723" s="4">
        <f t="shared" si="408"/>
        <v>0.18194444444444441</v>
      </c>
      <c r="E2723" s="6">
        <v>0.4152777777777778</v>
      </c>
      <c r="F2723" s="5">
        <f t="shared" si="409"/>
        <v>0.69534883720930241</v>
      </c>
      <c r="G2723" s="5">
        <v>0.76100000000000001</v>
      </c>
      <c r="H2723" s="4">
        <f>40.7/1440</f>
        <v>2.826388888888889E-2</v>
      </c>
      <c r="I2723" s="5">
        <v>5.1999999999999998E-2</v>
      </c>
      <c r="J2723" s="11" t="s">
        <v>3583</v>
      </c>
    </row>
    <row r="2724" spans="1:10" ht="13.15" customHeight="1" x14ac:dyDescent="0.25">
      <c r="A2724">
        <f t="shared" si="407"/>
        <v>2719</v>
      </c>
      <c r="B2724" t="s">
        <v>3578</v>
      </c>
      <c r="C2724" s="2">
        <v>0.50972222222222219</v>
      </c>
      <c r="D2724" s="4">
        <f t="shared" si="408"/>
        <v>0.11805555555555552</v>
      </c>
      <c r="E2724" s="6">
        <v>0.39166666666666666</v>
      </c>
      <c r="F2724" s="5">
        <f t="shared" si="409"/>
        <v>0.76839237057220711</v>
      </c>
      <c r="G2724" s="5">
        <v>0.81399999999999995</v>
      </c>
      <c r="H2724" s="4">
        <f>64.1/1440</f>
        <v>4.4513888888888888E-2</v>
      </c>
      <c r="I2724" s="5">
        <v>9.2999999999999999E-2</v>
      </c>
      <c r="J2724" s="11" t="s">
        <v>3582</v>
      </c>
    </row>
    <row r="2725" spans="1:10" ht="13.15" customHeight="1" x14ac:dyDescent="0.25">
      <c r="A2725">
        <f t="shared" si="407"/>
        <v>2720</v>
      </c>
      <c r="B2725" t="s">
        <v>3579</v>
      </c>
      <c r="C2725" s="2">
        <v>0.42083333333333334</v>
      </c>
      <c r="D2725" s="4">
        <f t="shared" si="408"/>
        <v>9.8611111111111094E-2</v>
      </c>
      <c r="E2725" s="6">
        <v>0.32222222222222224</v>
      </c>
      <c r="F2725" s="5">
        <f t="shared" si="409"/>
        <v>0.76567656765676573</v>
      </c>
      <c r="G2725" s="5">
        <v>0.80500000000000005</v>
      </c>
      <c r="H2725" s="4">
        <f>71.4/1440</f>
        <v>4.958333333333334E-2</v>
      </c>
      <c r="I2725" s="5">
        <v>0.124</v>
      </c>
      <c r="J2725" s="11" t="s">
        <v>3582</v>
      </c>
    </row>
    <row r="2726" spans="1:10" ht="13.15" customHeight="1" x14ac:dyDescent="0.25">
      <c r="A2726">
        <f t="shared" si="407"/>
        <v>2721</v>
      </c>
      <c r="B2726" t="s">
        <v>3580</v>
      </c>
      <c r="C2726" s="2">
        <v>0.49236111111111114</v>
      </c>
      <c r="D2726" s="4">
        <f t="shared" si="408"/>
        <v>0.15486111111111112</v>
      </c>
      <c r="E2726" s="6">
        <v>0.33750000000000002</v>
      </c>
      <c r="F2726" s="5">
        <f t="shared" si="409"/>
        <v>0.68547249647390696</v>
      </c>
      <c r="G2726" s="5">
        <v>0.83099999999999996</v>
      </c>
      <c r="H2726" s="4">
        <f>61.8/1440</f>
        <v>4.2916666666666665E-2</v>
      </c>
      <c r="I2726" s="5">
        <v>0.106</v>
      </c>
      <c r="J2726" s="11" t="s">
        <v>3582</v>
      </c>
    </row>
    <row r="2727" spans="1:10" ht="13.15" customHeight="1" x14ac:dyDescent="0.25">
      <c r="A2727">
        <f t="shared" si="407"/>
        <v>2722</v>
      </c>
      <c r="B2727" t="s">
        <v>3581</v>
      </c>
      <c r="C2727" s="2">
        <v>0.44513888888888886</v>
      </c>
      <c r="D2727" s="4">
        <f t="shared" si="408"/>
        <v>0.14652777777777776</v>
      </c>
      <c r="E2727" s="6">
        <v>0.2986111111111111</v>
      </c>
      <c r="F2727" s="5">
        <f t="shared" si="409"/>
        <v>0.67082683307332291</v>
      </c>
      <c r="G2727" s="5">
        <v>0.86099999999999999</v>
      </c>
      <c r="H2727" s="4">
        <f>75.6/1440</f>
        <v>5.2499999999999998E-2</v>
      </c>
      <c r="I2727" s="5">
        <v>0.151</v>
      </c>
      <c r="J2727" s="11" t="s">
        <v>3582</v>
      </c>
    </row>
    <row r="2728" spans="1:10" ht="13.15" customHeight="1" x14ac:dyDescent="0.25">
      <c r="A2728">
        <f t="shared" si="407"/>
        <v>2723</v>
      </c>
      <c r="B2728" t="s">
        <v>2682</v>
      </c>
      <c r="C2728" s="2">
        <v>0.43055555555555558</v>
      </c>
      <c r="D2728" s="4">
        <f t="shared" ref="D2728:D2737" si="410">C2728-E2728</f>
        <v>9.7222222222222265E-2</v>
      </c>
      <c r="E2728" s="6">
        <v>0.33333333333333331</v>
      </c>
      <c r="F2728" s="5">
        <f t="shared" ref="F2728:F2737" si="411">E2728/C2728</f>
        <v>0.77419354838709664</v>
      </c>
      <c r="G2728" s="5">
        <v>1</v>
      </c>
      <c r="H2728" s="4">
        <f>74.5/1440</f>
        <v>5.1736111111111108E-2</v>
      </c>
      <c r="I2728" s="5">
        <v>0.155</v>
      </c>
      <c r="J2728" s="11" t="s">
        <v>3597</v>
      </c>
    </row>
    <row r="2729" spans="1:10" ht="13.15" customHeight="1" x14ac:dyDescent="0.25">
      <c r="A2729">
        <f t="shared" si="407"/>
        <v>2724</v>
      </c>
      <c r="B2729" t="s">
        <v>2692</v>
      </c>
      <c r="C2729" s="2">
        <v>0.51944444444444449</v>
      </c>
      <c r="D2729" s="4">
        <f t="shared" si="410"/>
        <v>0.12083333333333335</v>
      </c>
      <c r="E2729" s="6">
        <v>0.39861111111111114</v>
      </c>
      <c r="F2729" s="5">
        <f t="shared" si="411"/>
        <v>0.76737967914438499</v>
      </c>
      <c r="G2729" s="5">
        <v>1</v>
      </c>
      <c r="H2729" s="4">
        <f>79.1/1440</f>
        <v>5.4930555555555552E-2</v>
      </c>
      <c r="I2729" s="5">
        <v>0.13800000000000001</v>
      </c>
      <c r="J2729" s="11" t="s">
        <v>3597</v>
      </c>
    </row>
    <row r="2730" spans="1:10" ht="13.15" customHeight="1" x14ac:dyDescent="0.25">
      <c r="A2730">
        <f t="shared" si="407"/>
        <v>2725</v>
      </c>
      <c r="B2730" t="s">
        <v>2693</v>
      </c>
      <c r="C2730" s="2">
        <v>0.41805555555555557</v>
      </c>
      <c r="D2730" s="4">
        <f t="shared" si="410"/>
        <v>9.7916666666666707E-2</v>
      </c>
      <c r="E2730" s="6">
        <v>0.32013888888888886</v>
      </c>
      <c r="F2730" s="5">
        <f t="shared" si="411"/>
        <v>0.76578073089700993</v>
      </c>
      <c r="G2730" s="5">
        <v>1</v>
      </c>
      <c r="H2730" s="4">
        <f>84.5/1440</f>
        <v>5.8680555555555555E-2</v>
      </c>
      <c r="I2730" s="5">
        <v>0.183</v>
      </c>
      <c r="J2730" s="11" t="s">
        <v>3597</v>
      </c>
    </row>
    <row r="2731" spans="1:10" ht="13.15" customHeight="1" x14ac:dyDescent="0.25">
      <c r="A2731">
        <f t="shared" si="407"/>
        <v>2726</v>
      </c>
      <c r="B2731" t="s">
        <v>2694</v>
      </c>
      <c r="C2731" s="2">
        <v>0.4513888888888889</v>
      </c>
      <c r="D2731" s="4">
        <f t="shared" si="410"/>
        <v>0.1027777777777778</v>
      </c>
      <c r="E2731" s="6">
        <v>0.34861111111111109</v>
      </c>
      <c r="F2731" s="5">
        <f t="shared" si="411"/>
        <v>0.77230769230769225</v>
      </c>
      <c r="G2731" s="5">
        <v>1</v>
      </c>
      <c r="H2731" s="4">
        <f>74.9/1440</f>
        <v>5.2013888888888894E-2</v>
      </c>
      <c r="I2731" s="5">
        <v>0.14899999999999999</v>
      </c>
      <c r="J2731" s="11" t="s">
        <v>3597</v>
      </c>
    </row>
    <row r="2732" spans="1:10" ht="13.15" customHeight="1" x14ac:dyDescent="0.25">
      <c r="A2732">
        <f t="shared" si="407"/>
        <v>2727</v>
      </c>
      <c r="B2732" t="s">
        <v>2695</v>
      </c>
      <c r="C2732" s="2">
        <v>0.43263888888888891</v>
      </c>
      <c r="D2732" s="4">
        <f t="shared" si="410"/>
        <v>0.11319444444444449</v>
      </c>
      <c r="E2732" s="6">
        <v>0.31944444444444442</v>
      </c>
      <c r="F2732" s="5">
        <f t="shared" si="411"/>
        <v>0.73836276083467089</v>
      </c>
      <c r="G2732" s="5">
        <v>1</v>
      </c>
      <c r="H2732" s="4">
        <f>96/1440</f>
        <v>6.6666666666666666E-2</v>
      </c>
      <c r="I2732" s="5">
        <v>0.20799999999999999</v>
      </c>
      <c r="J2732" s="11" t="s">
        <v>3597</v>
      </c>
    </row>
    <row r="2733" spans="1:10" ht="13.15" customHeight="1" x14ac:dyDescent="0.25">
      <c r="A2733">
        <f t="shared" si="407"/>
        <v>2728</v>
      </c>
      <c r="B2733" t="s">
        <v>2681</v>
      </c>
      <c r="C2733" s="2">
        <v>0.4236111111111111</v>
      </c>
      <c r="D2733" s="4">
        <f t="shared" si="410"/>
        <v>9.8611111111111094E-2</v>
      </c>
      <c r="E2733" s="6">
        <v>0.32500000000000001</v>
      </c>
      <c r="F2733" s="5">
        <f t="shared" si="411"/>
        <v>0.76721311475409837</v>
      </c>
      <c r="G2733" s="5">
        <v>1</v>
      </c>
      <c r="H2733" s="4">
        <f>70.1/1440</f>
        <v>4.8680555555555553E-2</v>
      </c>
      <c r="I2733" s="5">
        <v>0.15</v>
      </c>
      <c r="J2733" s="11" t="s">
        <v>3596</v>
      </c>
    </row>
    <row r="2734" spans="1:10" ht="13.15" customHeight="1" x14ac:dyDescent="0.25">
      <c r="A2734">
        <f t="shared" si="407"/>
        <v>2729</v>
      </c>
      <c r="B2734" t="s">
        <v>2688</v>
      </c>
      <c r="C2734" s="2">
        <v>0.43819444444444444</v>
      </c>
      <c r="D2734" s="4">
        <f t="shared" si="410"/>
        <v>0.10138888888888886</v>
      </c>
      <c r="E2734" s="6">
        <v>0.33680555555555558</v>
      </c>
      <c r="F2734" s="5">
        <f t="shared" si="411"/>
        <v>0.76862123613312205</v>
      </c>
      <c r="G2734" s="5">
        <v>1</v>
      </c>
      <c r="H2734" s="4">
        <f>76.9/1440</f>
        <v>5.3402777777777785E-2</v>
      </c>
      <c r="I2734" s="5">
        <v>0.158</v>
      </c>
      <c r="J2734" s="11" t="s">
        <v>3596</v>
      </c>
    </row>
    <row r="2735" spans="1:10" ht="13.15" customHeight="1" x14ac:dyDescent="0.25">
      <c r="A2735">
        <f t="shared" si="407"/>
        <v>2730</v>
      </c>
      <c r="B2735" t="s">
        <v>2689</v>
      </c>
      <c r="C2735" s="2">
        <v>0.4201388888888889</v>
      </c>
      <c r="D2735" s="4">
        <f t="shared" si="410"/>
        <v>0.10694444444444445</v>
      </c>
      <c r="E2735" s="6">
        <v>0.31319444444444444</v>
      </c>
      <c r="F2735" s="5">
        <f t="shared" si="411"/>
        <v>0.74545454545454548</v>
      </c>
      <c r="G2735" s="5">
        <v>1</v>
      </c>
      <c r="H2735" s="4">
        <f>76.7/1440</f>
        <v>5.3263888888888888E-2</v>
      </c>
      <c r="I2735" s="5">
        <v>0.17</v>
      </c>
      <c r="J2735" s="11" t="s">
        <v>3596</v>
      </c>
    </row>
    <row r="2736" spans="1:10" ht="13.15" customHeight="1" x14ac:dyDescent="0.25">
      <c r="A2736">
        <f t="shared" si="407"/>
        <v>2731</v>
      </c>
      <c r="B2736" t="s">
        <v>2690</v>
      </c>
      <c r="C2736" s="2">
        <v>0.42083333333333334</v>
      </c>
      <c r="D2736" s="4">
        <f t="shared" si="410"/>
        <v>9.9999999999999978E-2</v>
      </c>
      <c r="E2736" s="6">
        <v>0.32083333333333336</v>
      </c>
      <c r="F2736" s="5">
        <f t="shared" si="411"/>
        <v>0.76237623762376239</v>
      </c>
      <c r="G2736" s="5">
        <v>1</v>
      </c>
      <c r="H2736" s="4">
        <f>80.3/1440</f>
        <v>5.5763888888888884E-2</v>
      </c>
      <c r="I2736" s="5">
        <v>0.17399999999999999</v>
      </c>
      <c r="J2736" s="11" t="s">
        <v>3596</v>
      </c>
    </row>
    <row r="2737" spans="1:10" ht="13.15" customHeight="1" x14ac:dyDescent="0.25">
      <c r="A2737">
        <f t="shared" si="407"/>
        <v>2732</v>
      </c>
      <c r="B2737" t="s">
        <v>2691</v>
      </c>
      <c r="C2737" s="2">
        <v>0.45694444444444443</v>
      </c>
      <c r="D2737" s="4">
        <f t="shared" si="410"/>
        <v>0.10138888888888886</v>
      </c>
      <c r="E2737" s="6">
        <v>0.35555555555555557</v>
      </c>
      <c r="F2737" s="5">
        <f t="shared" si="411"/>
        <v>0.77811550151975695</v>
      </c>
      <c r="G2737" s="5">
        <v>1</v>
      </c>
      <c r="H2737" s="4">
        <f>83.7/1440</f>
        <v>5.8125000000000003E-2</v>
      </c>
      <c r="I2737" s="5">
        <v>0.16300000000000001</v>
      </c>
      <c r="J2737" s="11" t="s">
        <v>3596</v>
      </c>
    </row>
    <row r="2738" spans="1:10" ht="13.15" customHeight="1" x14ac:dyDescent="0.25">
      <c r="A2738">
        <f t="shared" si="407"/>
        <v>2733</v>
      </c>
      <c r="B2738" t="s">
        <v>3584</v>
      </c>
      <c r="C2738" s="2">
        <v>0.42986111111111114</v>
      </c>
      <c r="D2738" s="4">
        <f t="shared" ref="D2738:D2747" si="412">C2738-E2738</f>
        <v>0.1076388888888889</v>
      </c>
      <c r="E2738" s="6">
        <v>0.32222222222222224</v>
      </c>
      <c r="F2738" s="5">
        <f t="shared" ref="F2738:F2747" si="413">E2738/C2738</f>
        <v>0.74959612277867527</v>
      </c>
      <c r="G2738" s="5">
        <v>0.874</v>
      </c>
      <c r="H2738" s="4">
        <f>57.8/1440</f>
        <v>4.0138888888888884E-2</v>
      </c>
      <c r="I2738" s="5">
        <v>0.109</v>
      </c>
      <c r="J2738" s="11" t="s">
        <v>3594</v>
      </c>
    </row>
    <row r="2739" spans="1:10" ht="13.15" customHeight="1" x14ac:dyDescent="0.25">
      <c r="A2739">
        <f t="shared" si="407"/>
        <v>2734</v>
      </c>
      <c r="B2739" t="s">
        <v>3585</v>
      </c>
      <c r="C2739" s="2">
        <v>0.47291666666666665</v>
      </c>
      <c r="D2739" s="4">
        <f t="shared" si="412"/>
        <v>0.10972222222222222</v>
      </c>
      <c r="E2739" s="6">
        <v>0.36319444444444443</v>
      </c>
      <c r="F2739" s="5">
        <f t="shared" si="413"/>
        <v>0.76798825256975034</v>
      </c>
      <c r="G2739" s="5">
        <v>0.876</v>
      </c>
      <c r="H2739" s="4">
        <f>58.9/1440</f>
        <v>4.0902777777777774E-2</v>
      </c>
      <c r="I2739" s="5">
        <v>9.9000000000000005E-2</v>
      </c>
      <c r="J2739" s="11" t="s">
        <v>3594</v>
      </c>
    </row>
    <row r="2740" spans="1:10" ht="13.15" customHeight="1" x14ac:dyDescent="0.25">
      <c r="A2740">
        <f t="shared" si="407"/>
        <v>2735</v>
      </c>
      <c r="B2740" t="s">
        <v>3586</v>
      </c>
      <c r="C2740" s="2">
        <v>0.44305555555555554</v>
      </c>
      <c r="D2740" s="4">
        <f t="shared" si="412"/>
        <v>0.12083333333333329</v>
      </c>
      <c r="E2740" s="6">
        <v>0.32222222222222224</v>
      </c>
      <c r="F2740" s="5">
        <f t="shared" si="413"/>
        <v>0.7272727272727274</v>
      </c>
      <c r="G2740" s="5">
        <v>0.872</v>
      </c>
      <c r="H2740" s="4">
        <f>65.7/1440</f>
        <v>4.5624999999999999E-2</v>
      </c>
      <c r="I2740" s="5">
        <v>0.123</v>
      </c>
      <c r="J2740" s="11" t="s">
        <v>3594</v>
      </c>
    </row>
    <row r="2741" spans="1:10" ht="13.15" customHeight="1" x14ac:dyDescent="0.25">
      <c r="A2741">
        <f t="shared" si="407"/>
        <v>2736</v>
      </c>
      <c r="B2741" t="s">
        <v>3587</v>
      </c>
      <c r="C2741" s="2">
        <v>0.55972222222222223</v>
      </c>
      <c r="D2741" s="4">
        <f t="shared" si="412"/>
        <v>0.11458333333333337</v>
      </c>
      <c r="E2741" s="6">
        <v>0.44513888888888886</v>
      </c>
      <c r="F2741" s="5">
        <f t="shared" si="413"/>
        <v>0.79528535980148873</v>
      </c>
      <c r="G2741" s="5">
        <v>0.89400000000000002</v>
      </c>
      <c r="H2741" s="4">
        <f>69.5/1440</f>
        <v>4.8263888888888891E-2</v>
      </c>
      <c r="I2741" s="5">
        <v>9.7000000000000003E-2</v>
      </c>
      <c r="J2741" s="11" t="s">
        <v>3594</v>
      </c>
    </row>
    <row r="2742" spans="1:10" ht="13.15" customHeight="1" x14ac:dyDescent="0.25">
      <c r="A2742">
        <f t="shared" si="407"/>
        <v>2737</v>
      </c>
      <c r="B2742" t="s">
        <v>3588</v>
      </c>
      <c r="C2742" s="2">
        <v>0.5541666666666667</v>
      </c>
      <c r="D2742" s="4">
        <f t="shared" si="412"/>
        <v>0.11250000000000004</v>
      </c>
      <c r="E2742" s="6">
        <v>0.44166666666666665</v>
      </c>
      <c r="F2742" s="5">
        <f t="shared" si="413"/>
        <v>0.79699248120300747</v>
      </c>
      <c r="G2742" s="5">
        <v>0.69299999999999995</v>
      </c>
      <c r="H2742" s="4">
        <f>48.8/1440</f>
        <v>3.3888888888888885E-2</v>
      </c>
      <c r="I2742" s="5">
        <v>5.2999999999999999E-2</v>
      </c>
      <c r="J2742" s="11" t="s">
        <v>3594</v>
      </c>
    </row>
    <row r="2743" spans="1:10" ht="13.15" customHeight="1" x14ac:dyDescent="0.25">
      <c r="A2743">
        <f t="shared" si="407"/>
        <v>2738</v>
      </c>
      <c r="B2743" t="s">
        <v>3589</v>
      </c>
      <c r="C2743" s="2">
        <v>0.40208333333333335</v>
      </c>
      <c r="D2743" s="4">
        <f t="shared" si="412"/>
        <v>9.4444444444444442E-2</v>
      </c>
      <c r="E2743" s="6">
        <v>0.30763888888888891</v>
      </c>
      <c r="F2743" s="5">
        <f t="shared" si="413"/>
        <v>0.76511226252158893</v>
      </c>
      <c r="G2743" s="5">
        <v>0.77700000000000002</v>
      </c>
      <c r="H2743" s="4">
        <f>57.5/1440</f>
        <v>3.9930555555555552E-2</v>
      </c>
      <c r="I2743" s="5">
        <v>0.10100000000000001</v>
      </c>
      <c r="J2743" s="11" t="s">
        <v>3595</v>
      </c>
    </row>
    <row r="2744" spans="1:10" ht="13.15" customHeight="1" x14ac:dyDescent="0.25">
      <c r="A2744">
        <f t="shared" si="407"/>
        <v>2739</v>
      </c>
      <c r="B2744" t="s">
        <v>3590</v>
      </c>
      <c r="C2744" s="2">
        <v>0.39097222222222222</v>
      </c>
      <c r="D2744" s="4">
        <f t="shared" si="412"/>
        <v>0.11805555555555558</v>
      </c>
      <c r="E2744" s="6">
        <v>0.27291666666666664</v>
      </c>
      <c r="F2744" s="5">
        <f t="shared" si="413"/>
        <v>0.69804618117229122</v>
      </c>
      <c r="G2744" s="5">
        <v>0.78700000000000003</v>
      </c>
      <c r="H2744" s="4">
        <f>60.7/1440</f>
        <v>4.2152777777777782E-2</v>
      </c>
      <c r="I2744" s="5">
        <v>0.121</v>
      </c>
      <c r="J2744" s="11" t="s">
        <v>3595</v>
      </c>
    </row>
    <row r="2745" spans="1:10" ht="13.15" customHeight="1" x14ac:dyDescent="0.25">
      <c r="A2745">
        <f t="shared" si="407"/>
        <v>2740</v>
      </c>
      <c r="B2745" t="s">
        <v>3591</v>
      </c>
      <c r="C2745" s="2">
        <v>0.42569444444444443</v>
      </c>
      <c r="D2745" s="4">
        <f t="shared" si="412"/>
        <v>0.14097222222222222</v>
      </c>
      <c r="E2745" s="6">
        <v>0.28472222222222221</v>
      </c>
      <c r="F2745" s="5">
        <f t="shared" si="413"/>
        <v>0.66884176182707988</v>
      </c>
      <c r="G2745" s="5">
        <v>0.79700000000000004</v>
      </c>
      <c r="H2745" s="4">
        <f>58.6/1440</f>
        <v>4.0694444444444443E-2</v>
      </c>
      <c r="I2745" s="5">
        <v>0.114</v>
      </c>
      <c r="J2745" s="11" t="s">
        <v>3595</v>
      </c>
    </row>
    <row r="2746" spans="1:10" ht="13.15" customHeight="1" x14ac:dyDescent="0.25">
      <c r="A2746">
        <f t="shared" si="407"/>
        <v>2741</v>
      </c>
      <c r="B2746" t="s">
        <v>3592</v>
      </c>
      <c r="C2746" s="2">
        <v>0.36458333333333331</v>
      </c>
      <c r="D2746" s="4">
        <f t="shared" si="412"/>
        <v>0.10138888888888886</v>
      </c>
      <c r="E2746" s="6">
        <v>0.26319444444444445</v>
      </c>
      <c r="F2746" s="5">
        <f t="shared" si="413"/>
        <v>0.72190476190476194</v>
      </c>
      <c r="G2746" s="5">
        <v>0.77800000000000002</v>
      </c>
      <c r="H2746" s="4">
        <f>62.7/1440</f>
        <v>4.3541666666666666E-2</v>
      </c>
      <c r="I2746" s="5">
        <v>0.129</v>
      </c>
      <c r="J2746" s="11" t="s">
        <v>3595</v>
      </c>
    </row>
    <row r="2747" spans="1:10" ht="13.15" customHeight="1" x14ac:dyDescent="0.25">
      <c r="A2747">
        <f t="shared" si="407"/>
        <v>2742</v>
      </c>
      <c r="B2747" t="s">
        <v>3593</v>
      </c>
      <c r="C2747" s="2">
        <v>0.40138888888888891</v>
      </c>
      <c r="D2747" s="4">
        <f t="shared" si="412"/>
        <v>0.10902777777777778</v>
      </c>
      <c r="E2747" s="6">
        <v>0.29236111111111113</v>
      </c>
      <c r="F2747" s="5">
        <f t="shared" si="413"/>
        <v>0.72837370242214539</v>
      </c>
      <c r="G2747" s="5">
        <v>0.79500000000000004</v>
      </c>
      <c r="H2747" s="4">
        <f>65/1440</f>
        <v>4.5138888888888888E-2</v>
      </c>
      <c r="I2747" s="5">
        <v>0.123</v>
      </c>
      <c r="J2747" s="11" t="s">
        <v>3595</v>
      </c>
    </row>
    <row r="2748" spans="1:10" ht="13.15" customHeight="1" x14ac:dyDescent="0.25">
      <c r="A2748">
        <f t="shared" si="407"/>
        <v>2743</v>
      </c>
      <c r="B2748" t="s">
        <v>3598</v>
      </c>
      <c r="C2748" s="2">
        <v>0.41944444444444445</v>
      </c>
      <c r="D2748" s="4">
        <f t="shared" ref="D2748:D2756" si="414">C2748-E2748</f>
        <v>0.11597222222222225</v>
      </c>
      <c r="E2748" s="6">
        <v>0.3034722222222222</v>
      </c>
      <c r="F2748" s="5">
        <f t="shared" ref="F2748:F2756" si="415">E2748/C2748</f>
        <v>0.72350993377483441</v>
      </c>
      <c r="G2748" s="5">
        <v>0.76600000000000001</v>
      </c>
      <c r="H2748" s="4">
        <f>56.7/1440</f>
        <v>3.9375E-2</v>
      </c>
      <c r="I2748" s="5">
        <v>9.9000000000000005E-2</v>
      </c>
      <c r="J2748" s="11" t="s">
        <v>3608</v>
      </c>
    </row>
    <row r="2749" spans="1:10" ht="13.15" customHeight="1" x14ac:dyDescent="0.25">
      <c r="A2749">
        <f t="shared" si="407"/>
        <v>2744</v>
      </c>
      <c r="B2749" t="s">
        <v>3599</v>
      </c>
      <c r="C2749" s="2">
        <v>0.40763888888888888</v>
      </c>
      <c r="D2749" s="4">
        <f t="shared" si="414"/>
        <v>0.1076388888888889</v>
      </c>
      <c r="E2749" s="6">
        <v>0.3</v>
      </c>
      <c r="F2749" s="5">
        <f t="shared" si="415"/>
        <v>0.73594548551959116</v>
      </c>
      <c r="G2749" s="5">
        <v>0.79800000000000004</v>
      </c>
      <c r="H2749" s="4">
        <f>58.3/1440</f>
        <v>4.0486111111111112E-2</v>
      </c>
      <c r="I2749" s="5">
        <v>0.108</v>
      </c>
      <c r="J2749" s="11" t="s">
        <v>3608</v>
      </c>
    </row>
    <row r="2750" spans="1:10" ht="13.15" customHeight="1" x14ac:dyDescent="0.25">
      <c r="A2750">
        <f t="shared" si="407"/>
        <v>2745</v>
      </c>
      <c r="B2750" t="s">
        <v>3600</v>
      </c>
      <c r="C2750" s="2">
        <v>0.41180555555555554</v>
      </c>
      <c r="D2750" s="4">
        <f t="shared" si="414"/>
        <v>0.12569444444444444</v>
      </c>
      <c r="E2750" s="6">
        <v>0.28611111111111109</v>
      </c>
      <c r="F2750" s="5">
        <f t="shared" si="415"/>
        <v>0.69477234401349075</v>
      </c>
      <c r="G2750" s="5">
        <v>0.71199999999999997</v>
      </c>
      <c r="H2750" s="4">
        <f>51.7/1440</f>
        <v>3.5902777777777777E-2</v>
      </c>
      <c r="I2750" s="5">
        <v>8.8999999999999996E-2</v>
      </c>
      <c r="J2750" s="11" t="s">
        <v>3608</v>
      </c>
    </row>
    <row r="2751" spans="1:10" ht="13.15" customHeight="1" x14ac:dyDescent="0.25">
      <c r="A2751">
        <f t="shared" si="407"/>
        <v>2746</v>
      </c>
      <c r="B2751" t="s">
        <v>3601</v>
      </c>
      <c r="C2751" s="2">
        <v>0.39930555555555558</v>
      </c>
      <c r="D2751" s="4">
        <f t="shared" si="414"/>
        <v>0.11458333333333337</v>
      </c>
      <c r="E2751" s="6">
        <v>0.28472222222222221</v>
      </c>
      <c r="F2751" s="5">
        <f t="shared" si="415"/>
        <v>0.71304347826086945</v>
      </c>
      <c r="G2751" s="5">
        <v>0.752</v>
      </c>
      <c r="H2751" s="4">
        <f>52.8/1440</f>
        <v>3.6666666666666667E-2</v>
      </c>
      <c r="I2751" s="5">
        <v>9.7000000000000003E-2</v>
      </c>
      <c r="J2751" s="11" t="s">
        <v>3608</v>
      </c>
    </row>
    <row r="2752" spans="1:10" ht="13.15" customHeight="1" x14ac:dyDescent="0.25">
      <c r="A2752">
        <f t="shared" si="407"/>
        <v>2747</v>
      </c>
      <c r="B2752" t="s">
        <v>3602</v>
      </c>
      <c r="C2752" s="2">
        <v>0.4236111111111111</v>
      </c>
      <c r="D2752" s="4">
        <f t="shared" si="414"/>
        <v>0.11249999999999999</v>
      </c>
      <c r="E2752" s="6">
        <v>0.31111111111111112</v>
      </c>
      <c r="F2752" s="5">
        <f t="shared" si="415"/>
        <v>0.73442622950819669</v>
      </c>
      <c r="G2752" s="5">
        <v>0.72399999999999998</v>
      </c>
      <c r="H2752" s="4">
        <f>62.7/1440</f>
        <v>4.3541666666666666E-2</v>
      </c>
      <c r="I2752" s="5">
        <v>0.10100000000000001</v>
      </c>
      <c r="J2752" s="11" t="s">
        <v>3608</v>
      </c>
    </row>
    <row r="2753" spans="1:10" ht="13.15" customHeight="1" x14ac:dyDescent="0.25">
      <c r="A2753">
        <f t="shared" si="407"/>
        <v>2748</v>
      </c>
      <c r="B2753" t="s">
        <v>3603</v>
      </c>
      <c r="C2753" s="2">
        <v>0.4465277777777778</v>
      </c>
      <c r="D2753" s="4">
        <f t="shared" si="414"/>
        <v>0.12222222222222223</v>
      </c>
      <c r="E2753" s="6">
        <v>0.32430555555555557</v>
      </c>
      <c r="F2753" s="5">
        <f t="shared" si="415"/>
        <v>0.72628304821150858</v>
      </c>
      <c r="G2753" s="5">
        <v>0.8</v>
      </c>
      <c r="H2753" s="4">
        <f>54.8/1440</f>
        <v>3.8055555555555551E-2</v>
      </c>
      <c r="I2753" s="5">
        <v>9.4E-2</v>
      </c>
      <c r="J2753" s="11" t="s">
        <v>3607</v>
      </c>
    </row>
    <row r="2754" spans="1:10" ht="13.15" customHeight="1" x14ac:dyDescent="0.25">
      <c r="A2754">
        <f t="shared" si="407"/>
        <v>2749</v>
      </c>
      <c r="B2754" t="s">
        <v>3604</v>
      </c>
      <c r="C2754" s="2">
        <v>0.47013888888888888</v>
      </c>
      <c r="D2754" s="4">
        <f t="shared" si="414"/>
        <v>0.125</v>
      </c>
      <c r="E2754" s="6">
        <v>0.34513888888888888</v>
      </c>
      <c r="F2754" s="5">
        <f t="shared" si="415"/>
        <v>0.73412112259970452</v>
      </c>
      <c r="G2754" s="5">
        <v>0.79</v>
      </c>
      <c r="H2754" s="4">
        <f>54.6/1440</f>
        <v>3.7916666666666668E-2</v>
      </c>
      <c r="I2754" s="5">
        <v>8.6999999999999994E-2</v>
      </c>
      <c r="J2754" s="11" t="s">
        <v>3607</v>
      </c>
    </row>
    <row r="2755" spans="1:10" ht="13.15" customHeight="1" x14ac:dyDescent="0.25">
      <c r="A2755">
        <f t="shared" si="407"/>
        <v>2750</v>
      </c>
      <c r="B2755" t="s">
        <v>3605</v>
      </c>
      <c r="C2755" s="2">
        <v>0.39444444444444443</v>
      </c>
      <c r="D2755" s="4">
        <f t="shared" si="414"/>
        <v>0.10972222222222222</v>
      </c>
      <c r="E2755" s="6">
        <v>0.28472222222222221</v>
      </c>
      <c r="F2755" s="5">
        <f t="shared" si="415"/>
        <v>0.721830985915493</v>
      </c>
      <c r="G2755" s="5">
        <v>0.79100000000000004</v>
      </c>
      <c r="H2755" s="4">
        <f>65.1/1440</f>
        <v>4.520833333333333E-2</v>
      </c>
      <c r="I2755" s="5">
        <v>0.126</v>
      </c>
      <c r="J2755" s="11" t="s">
        <v>3607</v>
      </c>
    </row>
    <row r="2756" spans="1:10" ht="13.15" customHeight="1" x14ac:dyDescent="0.25">
      <c r="A2756">
        <f t="shared" si="407"/>
        <v>2751</v>
      </c>
      <c r="B2756" t="s">
        <v>3606</v>
      </c>
      <c r="C2756" s="2">
        <v>0.48541666666666666</v>
      </c>
      <c r="D2756" s="4">
        <f t="shared" si="414"/>
        <v>0.13055555555555554</v>
      </c>
      <c r="E2756" s="6">
        <v>0.35486111111111113</v>
      </c>
      <c r="F2756" s="5">
        <f t="shared" si="415"/>
        <v>0.73104434907010019</v>
      </c>
      <c r="G2756" s="5">
        <v>0.81499999999999995</v>
      </c>
      <c r="H2756" s="4">
        <f>61.3/1440</f>
        <v>4.2569444444444444E-2</v>
      </c>
      <c r="I2756" s="5">
        <v>9.8000000000000004E-2</v>
      </c>
      <c r="J2756" s="11" t="s">
        <v>3607</v>
      </c>
    </row>
    <row r="2757" spans="1:10" ht="13.15" customHeight="1" x14ac:dyDescent="0.25">
      <c r="A2757">
        <f t="shared" si="407"/>
        <v>2752</v>
      </c>
      <c r="B2757" t="s">
        <v>3609</v>
      </c>
      <c r="C2757" s="2">
        <v>0.36944444444444446</v>
      </c>
      <c r="D2757" s="4">
        <f t="shared" ref="D2757:D2765" si="416">C2757-E2757</f>
        <v>0.12361111111111114</v>
      </c>
      <c r="E2757" s="6">
        <v>0.24583333333333332</v>
      </c>
      <c r="F2757" s="5">
        <f t="shared" ref="F2757:F2765" si="417">E2757/C2757</f>
        <v>0.66541353383458635</v>
      </c>
      <c r="G2757" s="5">
        <v>0.81599999999999995</v>
      </c>
      <c r="H2757" s="4">
        <f>56.7/1440</f>
        <v>3.9375E-2</v>
      </c>
      <c r="I2757" s="5">
        <v>0.13</v>
      </c>
      <c r="J2757" s="11" t="s">
        <v>3619</v>
      </c>
    </row>
    <row r="2758" spans="1:10" ht="13.15" customHeight="1" x14ac:dyDescent="0.25">
      <c r="A2758">
        <f t="shared" si="407"/>
        <v>2753</v>
      </c>
      <c r="B2758" t="s">
        <v>3610</v>
      </c>
      <c r="C2758" s="2">
        <v>0.34305555555555556</v>
      </c>
      <c r="D2758" s="4">
        <f t="shared" si="416"/>
        <v>0.12986111111111112</v>
      </c>
      <c r="E2758" s="6">
        <v>0.21319444444444444</v>
      </c>
      <c r="F2758" s="5">
        <f t="shared" si="417"/>
        <v>0.62145748987854244</v>
      </c>
      <c r="G2758" s="5">
        <v>0.85199999999999998</v>
      </c>
      <c r="H2758" s="4">
        <f>57.8/1440</f>
        <v>4.0138888888888884E-2</v>
      </c>
      <c r="I2758" s="5">
        <v>0.16</v>
      </c>
      <c r="J2758" s="11" t="s">
        <v>3619</v>
      </c>
    </row>
    <row r="2759" spans="1:10" ht="13.15" customHeight="1" x14ac:dyDescent="0.25">
      <c r="A2759">
        <f t="shared" si="407"/>
        <v>2754</v>
      </c>
      <c r="B2759" t="s">
        <v>3611</v>
      </c>
      <c r="C2759" s="2">
        <v>0.36249999999999999</v>
      </c>
      <c r="D2759" s="4">
        <f t="shared" si="416"/>
        <v>0.1159722222222222</v>
      </c>
      <c r="E2759" s="6">
        <v>0.24652777777777779</v>
      </c>
      <c r="F2759" s="5">
        <f t="shared" si="417"/>
        <v>0.6800766283524905</v>
      </c>
      <c r="G2759" s="5">
        <v>0.73699999999999999</v>
      </c>
      <c r="H2759" s="4">
        <f>45.9/1440</f>
        <v>3.1875000000000001E-2</v>
      </c>
      <c r="I2759" s="5">
        <v>9.5000000000000001E-2</v>
      </c>
      <c r="J2759" s="11" t="s">
        <v>3619</v>
      </c>
    </row>
    <row r="2760" spans="1:10" ht="13.15" customHeight="1" x14ac:dyDescent="0.25">
      <c r="A2760">
        <f t="shared" si="407"/>
        <v>2755</v>
      </c>
      <c r="B2760" t="s">
        <v>3612</v>
      </c>
      <c r="C2760" s="2">
        <v>0.40277777777777779</v>
      </c>
      <c r="D2760" s="4">
        <f t="shared" si="416"/>
        <v>0.14930555555555558</v>
      </c>
      <c r="E2760" s="6">
        <v>0.25347222222222221</v>
      </c>
      <c r="F2760" s="5">
        <f t="shared" si="417"/>
        <v>0.62931034482758619</v>
      </c>
      <c r="G2760" s="5">
        <v>0.749</v>
      </c>
      <c r="H2760" s="4">
        <f>47.3/1440</f>
        <v>3.2847222222222222E-2</v>
      </c>
      <c r="I2760" s="5">
        <v>9.7000000000000003E-2</v>
      </c>
      <c r="J2760" s="11" t="s">
        <v>3619</v>
      </c>
    </row>
    <row r="2761" spans="1:10" ht="13.15" customHeight="1" x14ac:dyDescent="0.25">
      <c r="A2761">
        <f t="shared" si="407"/>
        <v>2756</v>
      </c>
      <c r="B2761" t="s">
        <v>3613</v>
      </c>
      <c r="C2761" s="2">
        <v>0.34861111111111109</v>
      </c>
      <c r="D2761" s="4">
        <f t="shared" si="416"/>
        <v>0.11458333333333331</v>
      </c>
      <c r="E2761" s="6">
        <v>0.23402777777777778</v>
      </c>
      <c r="F2761" s="5">
        <f t="shared" si="417"/>
        <v>0.67131474103585664</v>
      </c>
      <c r="G2761" s="5">
        <v>0.82099999999999995</v>
      </c>
      <c r="H2761" s="4">
        <f>60.6/1440</f>
        <v>4.2083333333333334E-2</v>
      </c>
      <c r="I2761" s="5">
        <v>0.14699999999999999</v>
      </c>
      <c r="J2761" s="11" t="s">
        <v>3619</v>
      </c>
    </row>
    <row r="2762" spans="1:10" ht="13.15" customHeight="1" x14ac:dyDescent="0.25">
      <c r="A2762">
        <f t="shared" si="407"/>
        <v>2757</v>
      </c>
      <c r="B2762" t="s">
        <v>3614</v>
      </c>
      <c r="C2762" s="2">
        <v>0.33402777777777776</v>
      </c>
      <c r="D2762" s="4">
        <f t="shared" si="416"/>
        <v>8.8194444444444436E-2</v>
      </c>
      <c r="E2762" s="6">
        <v>0.24583333333333332</v>
      </c>
      <c r="F2762" s="5">
        <f t="shared" si="417"/>
        <v>0.73596673596673601</v>
      </c>
      <c r="G2762" s="5">
        <v>0.84199999999999997</v>
      </c>
      <c r="H2762" s="4">
        <f>53.9/1440</f>
        <v>3.7430555555555557E-2</v>
      </c>
      <c r="I2762" s="5">
        <v>0.128</v>
      </c>
      <c r="J2762" s="11" t="s">
        <v>3618</v>
      </c>
    </row>
    <row r="2763" spans="1:10" ht="13.15" customHeight="1" x14ac:dyDescent="0.25">
      <c r="A2763">
        <f t="shared" si="407"/>
        <v>2758</v>
      </c>
      <c r="B2763" t="s">
        <v>3615</v>
      </c>
      <c r="C2763" s="2">
        <v>0.38819444444444445</v>
      </c>
      <c r="D2763" s="4">
        <f t="shared" si="416"/>
        <v>0.12569444444444444</v>
      </c>
      <c r="E2763" s="6">
        <v>0.26250000000000001</v>
      </c>
      <c r="F2763" s="5">
        <f t="shared" si="417"/>
        <v>0.67620751341681573</v>
      </c>
      <c r="G2763" s="5">
        <v>0.83899999999999997</v>
      </c>
      <c r="H2763" s="4">
        <f>70.8/1440</f>
        <v>4.9166666666666664E-2</v>
      </c>
      <c r="I2763" s="5">
        <v>0.157</v>
      </c>
      <c r="J2763" s="11" t="s">
        <v>3618</v>
      </c>
    </row>
    <row r="2764" spans="1:10" ht="13.15" customHeight="1" x14ac:dyDescent="0.25">
      <c r="A2764">
        <f t="shared" si="407"/>
        <v>2759</v>
      </c>
      <c r="B2764" t="s">
        <v>3616</v>
      </c>
      <c r="C2764" s="2">
        <v>0.44305555555555554</v>
      </c>
      <c r="D2764" s="4">
        <f t="shared" si="416"/>
        <v>0.12638888888888888</v>
      </c>
      <c r="E2764" s="6">
        <v>0.31666666666666665</v>
      </c>
      <c r="F2764" s="5">
        <f t="shared" si="417"/>
        <v>0.71473354231974917</v>
      </c>
      <c r="G2764" s="5">
        <v>0.80500000000000005</v>
      </c>
      <c r="H2764" s="4">
        <f>70/1440</f>
        <v>4.8611111111111112E-2</v>
      </c>
      <c r="I2764" s="5">
        <v>0.124</v>
      </c>
      <c r="J2764" s="11" t="s">
        <v>3618</v>
      </c>
    </row>
    <row r="2765" spans="1:10" ht="13.15" customHeight="1" x14ac:dyDescent="0.25">
      <c r="A2765">
        <f t="shared" si="407"/>
        <v>2760</v>
      </c>
      <c r="B2765" t="s">
        <v>3617</v>
      </c>
      <c r="C2765" s="2">
        <v>0.46666666666666667</v>
      </c>
      <c r="D2765" s="4">
        <f t="shared" si="416"/>
        <v>0.13680555555555557</v>
      </c>
      <c r="E2765" s="6">
        <v>0.3298611111111111</v>
      </c>
      <c r="F2765" s="5">
        <f t="shared" si="417"/>
        <v>0.70684523809523803</v>
      </c>
      <c r="G2765" s="5">
        <v>0.82499999999999996</v>
      </c>
      <c r="H2765" s="4">
        <f>55.5/1440</f>
        <v>3.8541666666666669E-2</v>
      </c>
      <c r="I2765" s="5">
        <v>9.6000000000000002E-2</v>
      </c>
      <c r="J2765" s="11" t="s">
        <v>3618</v>
      </c>
    </row>
    <row r="2766" spans="1:10" ht="13.15" customHeight="1" x14ac:dyDescent="0.25">
      <c r="A2766">
        <f t="shared" si="407"/>
        <v>2761</v>
      </c>
      <c r="B2766" t="s">
        <v>3620</v>
      </c>
      <c r="C2766" s="2">
        <v>0.41458333333333336</v>
      </c>
      <c r="D2766" s="4">
        <f t="shared" ref="D2766:D2775" si="418">C2766-E2766</f>
        <v>0.1166666666666667</v>
      </c>
      <c r="E2766" s="6">
        <v>0.29791666666666666</v>
      </c>
      <c r="F2766" s="5">
        <f t="shared" ref="F2766:F2775" si="419">E2766/C2766</f>
        <v>0.71859296482412049</v>
      </c>
      <c r="G2766" s="5">
        <v>1</v>
      </c>
      <c r="H2766" s="4">
        <f>81.1/1440</f>
        <v>5.6319444444444443E-2</v>
      </c>
      <c r="I2766" s="5">
        <v>0.189</v>
      </c>
      <c r="J2766" s="11" t="s">
        <v>3642</v>
      </c>
    </row>
    <row r="2767" spans="1:10" ht="13.15" customHeight="1" x14ac:dyDescent="0.25">
      <c r="A2767">
        <f t="shared" si="407"/>
        <v>2762</v>
      </c>
      <c r="B2767" t="s">
        <v>3621</v>
      </c>
      <c r="C2767" s="2">
        <v>0.43819444444444444</v>
      </c>
      <c r="D2767" s="4">
        <f t="shared" si="418"/>
        <v>8.2638888888888873E-2</v>
      </c>
      <c r="E2767" s="6">
        <v>0.35555555555555557</v>
      </c>
      <c r="F2767" s="5">
        <f t="shared" si="419"/>
        <v>0.81141045958795566</v>
      </c>
      <c r="G2767" s="5">
        <v>1</v>
      </c>
      <c r="H2767" s="4">
        <f>112.7/1440</f>
        <v>7.8263888888888897E-2</v>
      </c>
      <c r="I2767" s="5">
        <v>0.22</v>
      </c>
      <c r="J2767" s="11" t="s">
        <v>3642</v>
      </c>
    </row>
    <row r="2768" spans="1:10" ht="13.15" customHeight="1" x14ac:dyDescent="0.25">
      <c r="A2768">
        <f t="shared" si="407"/>
        <v>2763</v>
      </c>
      <c r="B2768" t="s">
        <v>3622</v>
      </c>
      <c r="C2768" s="2">
        <v>0.40763888888888888</v>
      </c>
      <c r="D2768" s="4">
        <f t="shared" si="418"/>
        <v>0.11666666666666664</v>
      </c>
      <c r="E2768" s="6">
        <v>0.29097222222222224</v>
      </c>
      <c r="F2768" s="5">
        <f t="shared" si="419"/>
        <v>0.71379897785349244</v>
      </c>
      <c r="G2768" s="5">
        <v>1</v>
      </c>
      <c r="H2768" s="4">
        <f>83.5/1440</f>
        <v>5.7986111111111113E-2</v>
      </c>
      <c r="I2768" s="5">
        <v>0.19900000000000001</v>
      </c>
      <c r="J2768" s="11" t="s">
        <v>3642</v>
      </c>
    </row>
    <row r="2769" spans="1:10" ht="13.15" customHeight="1" x14ac:dyDescent="0.25">
      <c r="A2769">
        <f t="shared" si="407"/>
        <v>2764</v>
      </c>
      <c r="B2769" t="s">
        <v>3623</v>
      </c>
      <c r="C2769" s="2">
        <v>0.4861111111111111</v>
      </c>
      <c r="D2769" s="4">
        <f t="shared" si="418"/>
        <v>0.11944444444444446</v>
      </c>
      <c r="E2769" s="6">
        <v>0.36666666666666664</v>
      </c>
      <c r="F2769" s="5">
        <f t="shared" si="419"/>
        <v>0.75428571428571423</v>
      </c>
      <c r="G2769" s="5">
        <v>1</v>
      </c>
      <c r="H2769" s="4">
        <f>83.5/1440</f>
        <v>5.7986111111111113E-2</v>
      </c>
      <c r="I2769" s="5">
        <v>0.158</v>
      </c>
      <c r="J2769" s="11" t="s">
        <v>3642</v>
      </c>
    </row>
    <row r="2770" spans="1:10" ht="13.15" customHeight="1" x14ac:dyDescent="0.25">
      <c r="A2770">
        <f t="shared" si="407"/>
        <v>2765</v>
      </c>
      <c r="B2770" t="s">
        <v>2719</v>
      </c>
      <c r="C2770" s="2">
        <v>0.48819444444444443</v>
      </c>
      <c r="D2770" s="4">
        <f t="shared" si="418"/>
        <v>0.13680555555555557</v>
      </c>
      <c r="E2770" s="6">
        <v>0.35138888888888886</v>
      </c>
      <c r="F2770" s="5">
        <f t="shared" si="419"/>
        <v>0.7197724039829303</v>
      </c>
      <c r="G2770" s="5">
        <v>0.73399999999999999</v>
      </c>
      <c r="H2770" s="4">
        <f>67.1/1440</f>
        <v>4.659722222222222E-2</v>
      </c>
      <c r="I2770" s="5">
        <v>9.7000000000000003E-2</v>
      </c>
      <c r="J2770" s="11" t="s">
        <v>3642</v>
      </c>
    </row>
    <row r="2771" spans="1:10" ht="13.15" customHeight="1" x14ac:dyDescent="0.25">
      <c r="A2771">
        <f t="shared" si="407"/>
        <v>2766</v>
      </c>
      <c r="B2771" t="s">
        <v>3624</v>
      </c>
      <c r="C2771" s="2">
        <v>0.42222222222222222</v>
      </c>
      <c r="D2771" s="4">
        <f t="shared" si="418"/>
        <v>0.10625000000000001</v>
      </c>
      <c r="E2771" s="6">
        <v>0.31597222222222221</v>
      </c>
      <c r="F2771" s="5">
        <f t="shared" si="419"/>
        <v>0.74835526315789469</v>
      </c>
      <c r="G2771" s="5">
        <v>1</v>
      </c>
      <c r="H2771" s="4">
        <f>74.55/1440</f>
        <v>5.1770833333333328E-2</v>
      </c>
      <c r="I2771" s="5">
        <v>0.16400000000000001</v>
      </c>
      <c r="J2771" s="11" t="s">
        <v>3641</v>
      </c>
    </row>
    <row r="2772" spans="1:10" ht="13.15" customHeight="1" x14ac:dyDescent="0.25">
      <c r="A2772">
        <f t="shared" si="407"/>
        <v>2767</v>
      </c>
      <c r="B2772" t="s">
        <v>3625</v>
      </c>
      <c r="C2772" s="2">
        <v>0.43333333333333335</v>
      </c>
      <c r="D2772" s="4">
        <f t="shared" si="418"/>
        <v>0.12916666666666671</v>
      </c>
      <c r="E2772" s="6">
        <v>0.30416666666666664</v>
      </c>
      <c r="F2772" s="5">
        <f t="shared" si="419"/>
        <v>0.70192307692307687</v>
      </c>
      <c r="G2772" s="5">
        <v>1</v>
      </c>
      <c r="H2772" s="4">
        <f>79.5/1440</f>
        <v>5.5208333333333331E-2</v>
      </c>
      <c r="I2772" s="5">
        <v>0.18099999999999999</v>
      </c>
      <c r="J2772" s="11" t="s">
        <v>3641</v>
      </c>
    </row>
    <row r="2773" spans="1:10" ht="13.15" customHeight="1" x14ac:dyDescent="0.25">
      <c r="A2773">
        <f t="shared" si="407"/>
        <v>2768</v>
      </c>
      <c r="B2773" t="s">
        <v>3626</v>
      </c>
      <c r="C2773" s="2">
        <v>0.38958333333333334</v>
      </c>
      <c r="D2773" s="4">
        <f t="shared" si="418"/>
        <v>8.9583333333333348E-2</v>
      </c>
      <c r="E2773" s="6">
        <v>0.3</v>
      </c>
      <c r="F2773" s="5">
        <f t="shared" si="419"/>
        <v>0.77005347593582885</v>
      </c>
      <c r="G2773" s="5">
        <v>1</v>
      </c>
      <c r="H2773" s="4">
        <f>86/1440</f>
        <v>5.9722222222222225E-2</v>
      </c>
      <c r="I2773" s="5">
        <v>0.19900000000000001</v>
      </c>
      <c r="J2773" s="11" t="s">
        <v>3641</v>
      </c>
    </row>
    <row r="2774" spans="1:10" ht="13.15" customHeight="1" x14ac:dyDescent="0.25">
      <c r="A2774">
        <f t="shared" si="407"/>
        <v>2769</v>
      </c>
      <c r="B2774" t="s">
        <v>3627</v>
      </c>
      <c r="C2774" s="2">
        <v>0.46597222222222223</v>
      </c>
      <c r="D2774" s="4">
        <f t="shared" si="418"/>
        <v>0.11458333333333337</v>
      </c>
      <c r="E2774" s="6">
        <v>0.35138888888888886</v>
      </c>
      <c r="F2774" s="5">
        <f t="shared" si="419"/>
        <v>0.75409836065573765</v>
      </c>
      <c r="G2774" s="5">
        <v>1</v>
      </c>
      <c r="H2774" s="4">
        <f>92.2/1440</f>
        <v>6.4027777777777781E-2</v>
      </c>
      <c r="I2774" s="5">
        <v>0.182</v>
      </c>
      <c r="J2774" s="11" t="s">
        <v>3641</v>
      </c>
    </row>
    <row r="2775" spans="1:10" ht="13.15" customHeight="1" x14ac:dyDescent="0.25">
      <c r="A2775">
        <f t="shared" si="407"/>
        <v>2770</v>
      </c>
      <c r="B2775" t="s">
        <v>3628</v>
      </c>
      <c r="C2775" s="2">
        <v>0.44722222222222224</v>
      </c>
      <c r="D2775" s="4">
        <f t="shared" si="418"/>
        <v>0.11597222222222225</v>
      </c>
      <c r="E2775" s="6">
        <v>0.33124999999999999</v>
      </c>
      <c r="F2775" s="5">
        <f t="shared" si="419"/>
        <v>0.74068322981366452</v>
      </c>
      <c r="G2775" s="5">
        <v>1</v>
      </c>
      <c r="H2775" s="4">
        <f>76.6/1440</f>
        <v>5.319444444444444E-2</v>
      </c>
      <c r="I2775" s="5">
        <v>0.16</v>
      </c>
      <c r="J2775" s="11" t="s">
        <v>3641</v>
      </c>
    </row>
    <row r="2776" spans="1:10" ht="13.15" customHeight="1" x14ac:dyDescent="0.25">
      <c r="A2776">
        <f t="shared" si="407"/>
        <v>2771</v>
      </c>
      <c r="B2776" t="s">
        <v>3629</v>
      </c>
      <c r="C2776" s="2">
        <v>0.44027777777777777</v>
      </c>
      <c r="D2776" s="4">
        <f t="shared" ref="D2776:D2785" si="420">C2776-E2776</f>
        <v>0.11249999999999999</v>
      </c>
      <c r="E2776" s="6">
        <v>0.32777777777777778</v>
      </c>
      <c r="F2776" s="5">
        <f t="shared" ref="F2776:F2785" si="421">E2776/C2776</f>
        <v>0.74447949526813884</v>
      </c>
      <c r="G2776" s="5">
        <v>0.79500000000000004</v>
      </c>
      <c r="H2776" s="4">
        <f>68/1440</f>
        <v>4.7222222222222221E-2</v>
      </c>
      <c r="I2776" s="5">
        <v>0.114</v>
      </c>
      <c r="J2776" s="11" t="s">
        <v>3639</v>
      </c>
    </row>
    <row r="2777" spans="1:10" ht="13.15" customHeight="1" x14ac:dyDescent="0.25">
      <c r="A2777">
        <f t="shared" si="407"/>
        <v>2772</v>
      </c>
      <c r="B2777" t="s">
        <v>3630</v>
      </c>
      <c r="C2777" s="2">
        <v>0.41249999999999998</v>
      </c>
      <c r="D2777" s="4">
        <f t="shared" si="420"/>
        <v>0.10902777777777778</v>
      </c>
      <c r="E2777" s="6">
        <v>0.3034722222222222</v>
      </c>
      <c r="F2777" s="5">
        <f t="shared" si="421"/>
        <v>0.73569023569023573</v>
      </c>
      <c r="G2777" s="5">
        <v>0.76800000000000002</v>
      </c>
      <c r="H2777" s="4">
        <f>61.4/1440</f>
        <v>4.2638888888888886E-2</v>
      </c>
      <c r="I2777" s="5">
        <v>0.108</v>
      </c>
      <c r="J2777" s="11" t="s">
        <v>3639</v>
      </c>
    </row>
    <row r="2778" spans="1:10" ht="13.15" customHeight="1" x14ac:dyDescent="0.25">
      <c r="A2778">
        <f t="shared" si="407"/>
        <v>2773</v>
      </c>
      <c r="B2778" t="s">
        <v>3631</v>
      </c>
      <c r="C2778" s="2">
        <v>0.43888888888888888</v>
      </c>
      <c r="D2778" s="4">
        <f t="shared" si="420"/>
        <v>0.10625000000000001</v>
      </c>
      <c r="E2778" s="6">
        <v>0.33263888888888887</v>
      </c>
      <c r="F2778" s="5">
        <f t="shared" si="421"/>
        <v>0.75791139240506322</v>
      </c>
      <c r="G2778" s="5">
        <v>0.80100000000000005</v>
      </c>
      <c r="H2778" s="4">
        <f>61.2/1440</f>
        <v>4.2500000000000003E-2</v>
      </c>
      <c r="I2778" s="5">
        <v>0.10199999999999999</v>
      </c>
      <c r="J2778" s="11" t="s">
        <v>3639</v>
      </c>
    </row>
    <row r="2779" spans="1:10" ht="13.15" customHeight="1" x14ac:dyDescent="0.25">
      <c r="A2779">
        <f t="shared" ref="A2779:A2842" si="422">A2778+1</f>
        <v>2774</v>
      </c>
      <c r="B2779" t="s">
        <v>3632</v>
      </c>
      <c r="C2779" s="2">
        <v>0.44791666666666669</v>
      </c>
      <c r="D2779" s="4">
        <f t="shared" si="420"/>
        <v>0.10347222222222224</v>
      </c>
      <c r="E2779" s="6">
        <v>0.34444444444444444</v>
      </c>
      <c r="F2779" s="5">
        <f t="shared" si="421"/>
        <v>0.76899224806201549</v>
      </c>
      <c r="G2779" s="5">
        <v>0.84499999999999997</v>
      </c>
      <c r="H2779" s="4">
        <f>77/1440</f>
        <v>5.347222222222222E-2</v>
      </c>
      <c r="I2779" s="5">
        <v>0.13100000000000001</v>
      </c>
      <c r="J2779" s="11" t="s">
        <v>3639</v>
      </c>
    </row>
    <row r="2780" spans="1:10" ht="13.15" customHeight="1" x14ac:dyDescent="0.25">
      <c r="A2780">
        <f t="shared" si="422"/>
        <v>2775</v>
      </c>
      <c r="B2780" t="s">
        <v>3633</v>
      </c>
      <c r="C2780" s="2">
        <v>0.50694444444444442</v>
      </c>
      <c r="D2780" s="4">
        <f t="shared" si="420"/>
        <v>0.14444444444444443</v>
      </c>
      <c r="E2780" s="6">
        <v>0.36249999999999999</v>
      </c>
      <c r="F2780" s="5">
        <f t="shared" si="421"/>
        <v>0.71506849315068499</v>
      </c>
      <c r="G2780" s="5">
        <v>0.748</v>
      </c>
      <c r="H2780" s="4">
        <f>57.4/1440</f>
        <v>3.9861111111111111E-2</v>
      </c>
      <c r="I2780" s="5">
        <v>8.2000000000000003E-2</v>
      </c>
      <c r="J2780" s="11" t="s">
        <v>3639</v>
      </c>
    </row>
    <row r="2781" spans="1:10" ht="13.15" customHeight="1" x14ac:dyDescent="0.25">
      <c r="A2781">
        <f t="shared" si="422"/>
        <v>2776</v>
      </c>
      <c r="B2781" t="s">
        <v>3634</v>
      </c>
      <c r="C2781" s="2">
        <v>0.40416666666666667</v>
      </c>
      <c r="D2781" s="4">
        <f t="shared" si="420"/>
        <v>9.5833333333333326E-2</v>
      </c>
      <c r="E2781" s="6">
        <v>0.30833333333333335</v>
      </c>
      <c r="F2781" s="5">
        <f t="shared" si="421"/>
        <v>0.7628865979381444</v>
      </c>
      <c r="G2781" s="5">
        <v>0.79600000000000004</v>
      </c>
      <c r="H2781" s="4">
        <f>62.8/1440</f>
        <v>4.3611111111111107E-2</v>
      </c>
      <c r="I2781" s="5">
        <v>0.113</v>
      </c>
      <c r="J2781" s="11" t="s">
        <v>3640</v>
      </c>
    </row>
    <row r="2782" spans="1:10" ht="13.15" customHeight="1" x14ac:dyDescent="0.25">
      <c r="A2782">
        <f t="shared" si="422"/>
        <v>2777</v>
      </c>
      <c r="B2782" t="s">
        <v>3635</v>
      </c>
      <c r="C2782" s="2">
        <v>0.39652777777777776</v>
      </c>
      <c r="D2782" s="4">
        <f t="shared" si="420"/>
        <v>0.12152777777777773</v>
      </c>
      <c r="E2782" s="6">
        <v>0.27500000000000002</v>
      </c>
      <c r="F2782" s="5">
        <f t="shared" si="421"/>
        <v>0.6935201401050789</v>
      </c>
      <c r="G2782" s="5">
        <v>0.80700000000000005</v>
      </c>
      <c r="H2782" s="4">
        <f>61.3/1440</f>
        <v>4.2569444444444444E-2</v>
      </c>
      <c r="I2782" s="5">
        <v>0.125</v>
      </c>
      <c r="J2782" s="11" t="s">
        <v>3640</v>
      </c>
    </row>
    <row r="2783" spans="1:10" ht="13.15" customHeight="1" x14ac:dyDescent="0.25">
      <c r="A2783">
        <f t="shared" si="422"/>
        <v>2778</v>
      </c>
      <c r="B2783" t="s">
        <v>3636</v>
      </c>
      <c r="C2783" s="2">
        <v>0.37986111111111109</v>
      </c>
      <c r="D2783" s="4">
        <f t="shared" si="420"/>
        <v>0.11874999999999997</v>
      </c>
      <c r="E2783" s="6">
        <v>0.26111111111111113</v>
      </c>
      <c r="F2783" s="5">
        <f t="shared" si="421"/>
        <v>0.68738574040219391</v>
      </c>
      <c r="G2783" s="5">
        <v>0.80200000000000005</v>
      </c>
      <c r="H2783" s="4">
        <f>60/1440</f>
        <v>4.1666666666666664E-2</v>
      </c>
      <c r="I2783" s="5">
        <v>0.128</v>
      </c>
      <c r="J2783" s="11" t="s">
        <v>3640</v>
      </c>
    </row>
    <row r="2784" spans="1:10" ht="13.15" customHeight="1" x14ac:dyDescent="0.25">
      <c r="A2784">
        <f t="shared" si="422"/>
        <v>2779</v>
      </c>
      <c r="B2784" t="s">
        <v>3637</v>
      </c>
      <c r="C2784" s="2">
        <v>0.41458333333333336</v>
      </c>
      <c r="D2784" s="4">
        <f t="shared" si="420"/>
        <v>0.12430555555555556</v>
      </c>
      <c r="E2784" s="6">
        <v>0.2902777777777778</v>
      </c>
      <c r="F2784" s="5">
        <f t="shared" si="421"/>
        <v>0.70016750418760465</v>
      </c>
      <c r="G2784" s="5">
        <v>0.81100000000000005</v>
      </c>
      <c r="H2784" s="4">
        <f>62.4/1440</f>
        <v>4.3333333333333335E-2</v>
      </c>
      <c r="I2784" s="5">
        <v>0.121</v>
      </c>
      <c r="J2784" s="11" t="s">
        <v>3640</v>
      </c>
    </row>
    <row r="2785" spans="1:10" ht="13.15" customHeight="1" x14ac:dyDescent="0.25">
      <c r="A2785">
        <f t="shared" si="422"/>
        <v>2780</v>
      </c>
      <c r="B2785" t="s">
        <v>3638</v>
      </c>
      <c r="C2785" s="2">
        <v>0.42291666666666666</v>
      </c>
      <c r="D2785" s="4">
        <f t="shared" si="420"/>
        <v>0.11249999999999999</v>
      </c>
      <c r="E2785" s="6">
        <v>0.31041666666666667</v>
      </c>
      <c r="F2785" s="5">
        <f t="shared" si="421"/>
        <v>0.73399014778325122</v>
      </c>
      <c r="G2785" s="5">
        <v>0.84399999999999997</v>
      </c>
      <c r="H2785" s="4">
        <f>68.5/1440</f>
        <v>4.7569444444444442E-2</v>
      </c>
      <c r="I2785" s="5">
        <v>0.129</v>
      </c>
      <c r="J2785" s="11" t="s">
        <v>3640</v>
      </c>
    </row>
    <row r="2786" spans="1:10" ht="13.15" customHeight="1" x14ac:dyDescent="0.25">
      <c r="A2786">
        <f t="shared" si="422"/>
        <v>2781</v>
      </c>
      <c r="B2786" t="s">
        <v>3643</v>
      </c>
      <c r="C2786" s="2">
        <v>0.41805555555555557</v>
      </c>
      <c r="D2786" s="4">
        <f t="shared" ref="D2786:D2794" si="423">C2786-E2786</f>
        <v>0.11180555555555555</v>
      </c>
      <c r="E2786" s="6">
        <v>0.30625000000000002</v>
      </c>
      <c r="F2786" s="5">
        <f t="shared" ref="F2786:F2794" si="424">E2786/C2786</f>
        <v>0.7325581395348838</v>
      </c>
      <c r="G2786" s="5">
        <v>0.78300000000000003</v>
      </c>
      <c r="H2786" s="4">
        <f>57.8/1440</f>
        <v>4.0138888888888884E-2</v>
      </c>
      <c r="I2786" s="5">
        <v>0.10299999999999999</v>
      </c>
      <c r="J2786" s="11" t="s">
        <v>3653</v>
      </c>
    </row>
    <row r="2787" spans="1:10" ht="13.15" customHeight="1" x14ac:dyDescent="0.25">
      <c r="A2787">
        <f t="shared" si="422"/>
        <v>2782</v>
      </c>
      <c r="B2787" t="s">
        <v>3644</v>
      </c>
      <c r="C2787" s="2">
        <v>0.42916666666666664</v>
      </c>
      <c r="D2787" s="4">
        <f t="shared" si="423"/>
        <v>0.10972222222222222</v>
      </c>
      <c r="E2787" s="6">
        <v>0.31944444444444442</v>
      </c>
      <c r="F2787" s="5">
        <f t="shared" si="424"/>
        <v>0.74433656957928807</v>
      </c>
      <c r="G2787" s="5">
        <v>0.84699999999999998</v>
      </c>
      <c r="H2787" s="4">
        <f>62.8/1440</f>
        <v>4.3611111111111107E-2</v>
      </c>
      <c r="I2787" s="5">
        <v>0.11600000000000001</v>
      </c>
      <c r="J2787" s="11" t="s">
        <v>3653</v>
      </c>
    </row>
    <row r="2788" spans="1:10" ht="13.15" customHeight="1" x14ac:dyDescent="0.25">
      <c r="A2788">
        <f t="shared" si="422"/>
        <v>2783</v>
      </c>
      <c r="B2788" t="s">
        <v>3645</v>
      </c>
      <c r="C2788" s="2">
        <v>0.39513888888888887</v>
      </c>
      <c r="D2788" s="4">
        <f t="shared" si="423"/>
        <v>0.11319444444444443</v>
      </c>
      <c r="E2788" s="6">
        <v>0.28194444444444444</v>
      </c>
      <c r="F2788" s="5">
        <f t="shared" si="424"/>
        <v>0.7135325131810194</v>
      </c>
      <c r="G2788" s="5">
        <v>0.71199999999999997</v>
      </c>
      <c r="H2788" s="4">
        <f>49.7/1440</f>
        <v>3.4513888888888893E-2</v>
      </c>
      <c r="I2788" s="5">
        <v>8.6999999999999994E-2</v>
      </c>
      <c r="J2788" s="11" t="s">
        <v>3653</v>
      </c>
    </row>
    <row r="2789" spans="1:10" ht="13.15" customHeight="1" x14ac:dyDescent="0.25">
      <c r="A2789">
        <f t="shared" si="422"/>
        <v>2784</v>
      </c>
      <c r="B2789" t="s">
        <v>3646</v>
      </c>
      <c r="C2789" s="2">
        <v>0.39861111111111114</v>
      </c>
      <c r="D2789" s="4">
        <f t="shared" si="423"/>
        <v>0.12708333333333338</v>
      </c>
      <c r="E2789" s="6">
        <v>0.27152777777777776</v>
      </c>
      <c r="F2789" s="5">
        <f t="shared" si="424"/>
        <v>0.68118466898954699</v>
      </c>
      <c r="G2789" s="5">
        <v>0.73299999999999998</v>
      </c>
      <c r="H2789" s="4">
        <f>52.5/1440</f>
        <v>3.6458333333333336E-2</v>
      </c>
      <c r="I2789" s="5">
        <v>9.8000000000000004E-2</v>
      </c>
      <c r="J2789" s="11" t="s">
        <v>3653</v>
      </c>
    </row>
    <row r="2790" spans="1:10" ht="13.15" customHeight="1" x14ac:dyDescent="0.25">
      <c r="A2790">
        <f t="shared" si="422"/>
        <v>2785</v>
      </c>
      <c r="B2790" t="s">
        <v>3647</v>
      </c>
      <c r="C2790" s="2">
        <v>0.43263888888888891</v>
      </c>
      <c r="D2790" s="4">
        <f t="shared" si="423"/>
        <v>0.10138888888888892</v>
      </c>
      <c r="E2790" s="6">
        <v>0.33124999999999999</v>
      </c>
      <c r="F2790" s="5">
        <f t="shared" si="424"/>
        <v>0.7656500802568218</v>
      </c>
      <c r="G2790" s="5">
        <v>0.78600000000000003</v>
      </c>
      <c r="H2790" s="4">
        <f>59.4/1440</f>
        <v>4.1250000000000002E-2</v>
      </c>
      <c r="I2790" s="5">
        <v>9.8000000000000004E-2</v>
      </c>
      <c r="J2790" s="11" t="s">
        <v>3653</v>
      </c>
    </row>
    <row r="2791" spans="1:10" ht="13.15" customHeight="1" x14ac:dyDescent="0.25">
      <c r="A2791">
        <f t="shared" si="422"/>
        <v>2786</v>
      </c>
      <c r="B2791" t="s">
        <v>3648</v>
      </c>
      <c r="C2791" s="2">
        <v>0.39930555555555558</v>
      </c>
      <c r="D2791" s="4">
        <f t="shared" si="423"/>
        <v>0.11319444444444449</v>
      </c>
      <c r="E2791" s="6">
        <v>0.28611111111111109</v>
      </c>
      <c r="F2791" s="5">
        <f t="shared" si="424"/>
        <v>0.71652173913043471</v>
      </c>
      <c r="G2791" s="5">
        <v>0.80900000000000005</v>
      </c>
      <c r="H2791" s="4">
        <f>67.2/1440</f>
        <v>4.6666666666666669E-2</v>
      </c>
      <c r="I2791" s="5">
        <v>0.13200000000000001</v>
      </c>
      <c r="J2791" s="11" t="s">
        <v>3652</v>
      </c>
    </row>
    <row r="2792" spans="1:10" ht="13.15" customHeight="1" x14ac:dyDescent="0.25">
      <c r="A2792">
        <f t="shared" si="422"/>
        <v>2787</v>
      </c>
      <c r="B2792" t="s">
        <v>3649</v>
      </c>
      <c r="C2792" s="2">
        <v>0.44861111111111113</v>
      </c>
      <c r="D2792" s="4">
        <f t="shared" si="423"/>
        <v>0.125</v>
      </c>
      <c r="E2792" s="6">
        <v>0.32361111111111113</v>
      </c>
      <c r="F2792" s="5">
        <f t="shared" si="424"/>
        <v>0.72136222910216719</v>
      </c>
      <c r="G2792" s="5">
        <v>0.79800000000000004</v>
      </c>
      <c r="H2792" s="4">
        <f>46.5/1440</f>
        <v>3.229166666666667E-2</v>
      </c>
      <c r="I2792" s="5">
        <v>0.08</v>
      </c>
      <c r="J2792" s="11" t="s">
        <v>3652</v>
      </c>
    </row>
    <row r="2793" spans="1:10" ht="13.15" customHeight="1" x14ac:dyDescent="0.25">
      <c r="A2793">
        <f t="shared" si="422"/>
        <v>2788</v>
      </c>
      <c r="B2793" t="s">
        <v>3650</v>
      </c>
      <c r="C2793" s="2">
        <v>0.44583333333333336</v>
      </c>
      <c r="D2793" s="4">
        <f t="shared" si="423"/>
        <v>0.11527777777777781</v>
      </c>
      <c r="E2793" s="6">
        <v>0.33055555555555555</v>
      </c>
      <c r="F2793" s="5">
        <f t="shared" si="424"/>
        <v>0.74143302180685355</v>
      </c>
      <c r="G2793" s="5">
        <v>0.80700000000000005</v>
      </c>
      <c r="H2793" s="4">
        <f>58.6/1440</f>
        <v>4.0694444444444443E-2</v>
      </c>
      <c r="I2793" s="5">
        <v>9.9000000000000005E-2</v>
      </c>
      <c r="J2793" s="11" t="s">
        <v>3652</v>
      </c>
    </row>
    <row r="2794" spans="1:10" ht="13.15" customHeight="1" x14ac:dyDescent="0.25">
      <c r="A2794">
        <f t="shared" si="422"/>
        <v>2789</v>
      </c>
      <c r="B2794" t="s">
        <v>3651</v>
      </c>
      <c r="C2794" s="2">
        <v>0.49791666666666667</v>
      </c>
      <c r="D2794" s="4">
        <f t="shared" si="423"/>
        <v>0.11805555555555558</v>
      </c>
      <c r="E2794" s="6">
        <v>0.37986111111111109</v>
      </c>
      <c r="F2794" s="5">
        <f t="shared" si="424"/>
        <v>0.76290097629009757</v>
      </c>
      <c r="G2794" s="5">
        <v>0.79500000000000004</v>
      </c>
      <c r="H2794" s="4">
        <f>60.6/1440</f>
        <v>4.2083333333333334E-2</v>
      </c>
      <c r="I2794" s="5">
        <v>8.7999999999999995E-2</v>
      </c>
      <c r="J2794" s="11" t="s">
        <v>3652</v>
      </c>
    </row>
    <row r="2795" spans="1:10" ht="13.15" customHeight="1" x14ac:dyDescent="0.25">
      <c r="A2795">
        <f t="shared" si="422"/>
        <v>2790</v>
      </c>
      <c r="B2795" t="s">
        <v>3654</v>
      </c>
      <c r="C2795" s="2">
        <v>0.42152777777777778</v>
      </c>
      <c r="D2795" s="4">
        <f t="shared" ref="D2795:D2803" si="425">C2795-E2795</f>
        <v>0.10625000000000001</v>
      </c>
      <c r="E2795" s="6">
        <v>0.31527777777777777</v>
      </c>
      <c r="F2795" s="5">
        <f t="shared" ref="F2795:F2803" si="426">E2795/C2795</f>
        <v>0.74794069192751234</v>
      </c>
      <c r="G2795" s="5">
        <v>0.77300000000000002</v>
      </c>
      <c r="H2795" s="4">
        <f>58.7/1440</f>
        <v>4.0763888888888891E-2</v>
      </c>
      <c r="I2795" s="5">
        <v>0.1</v>
      </c>
      <c r="J2795" s="11" t="s">
        <v>3664</v>
      </c>
    </row>
    <row r="2796" spans="1:10" ht="13.15" customHeight="1" x14ac:dyDescent="0.25">
      <c r="A2796">
        <f t="shared" si="422"/>
        <v>2791</v>
      </c>
      <c r="B2796" t="s">
        <v>3655</v>
      </c>
      <c r="C2796" s="2">
        <v>0.4201388888888889</v>
      </c>
      <c r="D2796" s="4">
        <f t="shared" si="425"/>
        <v>0.10625000000000001</v>
      </c>
      <c r="E2796" s="6">
        <v>0.31388888888888888</v>
      </c>
      <c r="F2796" s="5">
        <f t="shared" si="426"/>
        <v>0.7471074380165289</v>
      </c>
      <c r="G2796" s="5">
        <v>0.8</v>
      </c>
      <c r="H2796" s="4">
        <f>63/1440</f>
        <v>4.3749999999999997E-2</v>
      </c>
      <c r="I2796" s="5">
        <v>0.111</v>
      </c>
      <c r="J2796" s="11" t="s">
        <v>3664</v>
      </c>
    </row>
    <row r="2797" spans="1:10" ht="13.15" customHeight="1" x14ac:dyDescent="0.25">
      <c r="A2797">
        <f t="shared" si="422"/>
        <v>2792</v>
      </c>
      <c r="B2797" t="s">
        <v>3656</v>
      </c>
      <c r="C2797" s="2">
        <v>0.4</v>
      </c>
      <c r="D2797" s="4">
        <f t="shared" si="425"/>
        <v>0.10625000000000001</v>
      </c>
      <c r="E2797" s="6">
        <v>0.29375000000000001</v>
      </c>
      <c r="F2797" s="5">
        <f t="shared" si="426"/>
        <v>0.734375</v>
      </c>
      <c r="G2797" s="5">
        <v>0.73899999999999999</v>
      </c>
      <c r="H2797" s="4">
        <f>52.9/1440</f>
        <v>3.6736111111111108E-2</v>
      </c>
      <c r="I2797" s="5">
        <v>9.1999999999999998E-2</v>
      </c>
      <c r="J2797" s="11" t="s">
        <v>3664</v>
      </c>
    </row>
    <row r="2798" spans="1:10" ht="13.15" customHeight="1" x14ac:dyDescent="0.25">
      <c r="A2798">
        <f t="shared" si="422"/>
        <v>2793</v>
      </c>
      <c r="B2798" t="s">
        <v>3657</v>
      </c>
      <c r="C2798" s="2">
        <v>0.40486111111111112</v>
      </c>
      <c r="D2798" s="4">
        <f t="shared" si="425"/>
        <v>0.10694444444444445</v>
      </c>
      <c r="E2798" s="6">
        <v>0.29791666666666666</v>
      </c>
      <c r="F2798" s="5">
        <f t="shared" si="426"/>
        <v>0.73584905660377353</v>
      </c>
      <c r="G2798" s="5">
        <v>0.70599999999999996</v>
      </c>
      <c r="H2798" s="4">
        <f>51.9/1440</f>
        <v>3.6041666666666666E-2</v>
      </c>
      <c r="I2798" s="5">
        <v>8.5000000000000006E-2</v>
      </c>
      <c r="J2798" s="11" t="s">
        <v>3664</v>
      </c>
    </row>
    <row r="2799" spans="1:10" ht="13.15" customHeight="1" x14ac:dyDescent="0.25">
      <c r="A2799">
        <f t="shared" si="422"/>
        <v>2794</v>
      </c>
      <c r="B2799" t="s">
        <v>3658</v>
      </c>
      <c r="C2799" s="2">
        <v>0.41388888888888886</v>
      </c>
      <c r="D2799" s="4">
        <f t="shared" si="425"/>
        <v>9.8611111111111094E-2</v>
      </c>
      <c r="E2799" s="6">
        <v>0.31527777777777777</v>
      </c>
      <c r="F2799" s="5">
        <f t="shared" si="426"/>
        <v>0.76174496644295309</v>
      </c>
      <c r="G2799" s="5">
        <v>0.77700000000000002</v>
      </c>
      <c r="H2799" s="4">
        <f>57.2/1440</f>
        <v>3.9722222222222221E-2</v>
      </c>
      <c r="I2799" s="5">
        <v>9.8000000000000004E-2</v>
      </c>
      <c r="J2799" s="11" t="s">
        <v>3664</v>
      </c>
    </row>
    <row r="2800" spans="1:10" ht="13.15" customHeight="1" x14ac:dyDescent="0.25">
      <c r="A2800">
        <f t="shared" si="422"/>
        <v>2795</v>
      </c>
      <c r="B2800" t="s">
        <v>3659</v>
      </c>
      <c r="C2800" s="2">
        <v>0.4201388888888889</v>
      </c>
      <c r="D2800" s="4">
        <f t="shared" si="425"/>
        <v>0.10694444444444445</v>
      </c>
      <c r="E2800" s="6">
        <v>0.31319444444444444</v>
      </c>
      <c r="F2800" s="5">
        <f t="shared" si="426"/>
        <v>0.74545454545454548</v>
      </c>
      <c r="G2800" s="5">
        <v>0.80500000000000005</v>
      </c>
      <c r="H2800" s="4">
        <f>62.5/1440</f>
        <v>4.3402777777777776E-2</v>
      </c>
      <c r="I2800" s="5">
        <v>0.111</v>
      </c>
      <c r="J2800" s="11" t="s">
        <v>3663</v>
      </c>
    </row>
    <row r="2801" spans="1:10" ht="13.15" customHeight="1" x14ac:dyDescent="0.25">
      <c r="A2801">
        <f t="shared" si="422"/>
        <v>2796</v>
      </c>
      <c r="B2801" t="s">
        <v>3660</v>
      </c>
      <c r="C2801" s="2">
        <v>0.46736111111111112</v>
      </c>
      <c r="D2801" s="4">
        <f t="shared" si="425"/>
        <v>0.11597222222222225</v>
      </c>
      <c r="E2801" s="6">
        <v>0.35138888888888886</v>
      </c>
      <c r="F2801" s="5">
        <f t="shared" si="426"/>
        <v>0.75185735512630003</v>
      </c>
      <c r="G2801" s="5">
        <v>0.81599999999999995</v>
      </c>
      <c r="H2801" s="4">
        <f>60.8/1440</f>
        <v>4.2222222222222223E-2</v>
      </c>
      <c r="I2801" s="5">
        <v>9.8000000000000004E-2</v>
      </c>
      <c r="J2801" s="11" t="s">
        <v>3663</v>
      </c>
    </row>
    <row r="2802" spans="1:10" ht="13.15" customHeight="1" x14ac:dyDescent="0.25">
      <c r="A2802">
        <f t="shared" si="422"/>
        <v>2797</v>
      </c>
      <c r="B2802" t="s">
        <v>3661</v>
      </c>
      <c r="C2802" s="2">
        <v>0.45624999999999999</v>
      </c>
      <c r="D2802" s="4">
        <f t="shared" si="425"/>
        <v>0.11388888888888887</v>
      </c>
      <c r="E2802" s="6">
        <v>0.34236111111111112</v>
      </c>
      <c r="F2802" s="5">
        <f t="shared" si="426"/>
        <v>0.75038051750380519</v>
      </c>
      <c r="G2802" s="5">
        <v>0.77900000000000003</v>
      </c>
      <c r="H2802" s="4">
        <f>60.2/1440</f>
        <v>4.1805555555555554E-2</v>
      </c>
      <c r="I2802" s="5">
        <v>9.5000000000000001E-2</v>
      </c>
      <c r="J2802" s="11" t="s">
        <v>3663</v>
      </c>
    </row>
    <row r="2803" spans="1:10" ht="13.15" customHeight="1" x14ac:dyDescent="0.25">
      <c r="A2803">
        <f t="shared" si="422"/>
        <v>2798</v>
      </c>
      <c r="B2803" t="s">
        <v>3662</v>
      </c>
      <c r="C2803" s="2">
        <v>0.46597222222222223</v>
      </c>
      <c r="D2803" s="4">
        <f t="shared" si="425"/>
        <v>0.11180555555555555</v>
      </c>
      <c r="E2803" s="6">
        <v>0.35416666666666669</v>
      </c>
      <c r="F2803" s="5">
        <f t="shared" si="426"/>
        <v>0.76005961251862897</v>
      </c>
      <c r="G2803" s="5">
        <v>0.76100000000000001</v>
      </c>
      <c r="H2803" s="4">
        <f>62/1440</f>
        <v>4.3055555555555555E-2</v>
      </c>
      <c r="I2803" s="5">
        <v>9.1999999999999998E-2</v>
      </c>
      <c r="J2803" s="11" t="s">
        <v>3663</v>
      </c>
    </row>
    <row r="2804" spans="1:10" ht="13.15" customHeight="1" x14ac:dyDescent="0.25">
      <c r="A2804">
        <f t="shared" si="422"/>
        <v>2799</v>
      </c>
      <c r="B2804" t="s">
        <v>3665</v>
      </c>
      <c r="C2804" s="2">
        <v>0.45069444444444445</v>
      </c>
      <c r="D2804" s="4">
        <f t="shared" ref="D2804:D2823" si="427">C2804-E2804</f>
        <v>0.10208333333333336</v>
      </c>
      <c r="E2804" s="6">
        <v>0.34861111111111109</v>
      </c>
      <c r="F2804" s="5">
        <f t="shared" ref="F2804:F2823" si="428">E2804/C2804</f>
        <v>0.77349768875192604</v>
      </c>
      <c r="G2804" s="5">
        <v>0.79100000000000004</v>
      </c>
      <c r="H2804" s="4">
        <f>63.1/1440</f>
        <v>4.3819444444444446E-2</v>
      </c>
      <c r="I2804" s="5">
        <v>9.9000000000000005E-2</v>
      </c>
      <c r="J2804" s="11" t="s">
        <v>3675</v>
      </c>
    </row>
    <row r="2805" spans="1:10" ht="13.15" customHeight="1" x14ac:dyDescent="0.25">
      <c r="A2805">
        <f t="shared" si="422"/>
        <v>2800</v>
      </c>
      <c r="B2805" t="s">
        <v>3666</v>
      </c>
      <c r="C2805" s="2">
        <v>0.42708333333333331</v>
      </c>
      <c r="D2805" s="4">
        <f t="shared" si="427"/>
        <v>0.12013888888888885</v>
      </c>
      <c r="E2805" s="6">
        <v>0.30694444444444446</v>
      </c>
      <c r="F2805" s="5">
        <f t="shared" si="428"/>
        <v>0.71869918699186996</v>
      </c>
      <c r="G2805" s="5">
        <v>0.78100000000000003</v>
      </c>
      <c r="H2805" s="4">
        <f>63.1/1440</f>
        <v>4.3819444444444446E-2</v>
      </c>
      <c r="I2805" s="5">
        <v>0.111</v>
      </c>
      <c r="J2805" s="11" t="s">
        <v>3675</v>
      </c>
    </row>
    <row r="2806" spans="1:10" ht="13.15" customHeight="1" x14ac:dyDescent="0.25">
      <c r="A2806">
        <f t="shared" si="422"/>
        <v>2801</v>
      </c>
      <c r="B2806" t="s">
        <v>3667</v>
      </c>
      <c r="C2806" s="2">
        <v>0.45694444444444443</v>
      </c>
      <c r="D2806" s="4">
        <f t="shared" si="427"/>
        <v>0.14930555555555552</v>
      </c>
      <c r="E2806" s="6">
        <v>0.30763888888888891</v>
      </c>
      <c r="F2806" s="5">
        <f t="shared" si="428"/>
        <v>0.67325227963525847</v>
      </c>
      <c r="G2806" s="5">
        <v>0.77600000000000002</v>
      </c>
      <c r="H2806" s="4">
        <f>64.4/1440</f>
        <v>4.4722222222222226E-2</v>
      </c>
      <c r="I2806" s="5">
        <v>0.113</v>
      </c>
      <c r="J2806" s="11" t="s">
        <v>3675</v>
      </c>
    </row>
    <row r="2807" spans="1:10" ht="13.15" customHeight="1" x14ac:dyDescent="0.25">
      <c r="A2807">
        <f t="shared" si="422"/>
        <v>2802</v>
      </c>
      <c r="B2807" t="s">
        <v>3668</v>
      </c>
      <c r="C2807" s="2">
        <v>0.42499999999999999</v>
      </c>
      <c r="D2807" s="4">
        <f t="shared" si="427"/>
        <v>0.11805555555555552</v>
      </c>
      <c r="E2807" s="6">
        <v>0.30694444444444446</v>
      </c>
      <c r="F2807" s="5">
        <f t="shared" si="428"/>
        <v>0.72222222222222232</v>
      </c>
      <c r="G2807" s="5">
        <v>0.78600000000000003</v>
      </c>
      <c r="H2807" s="4">
        <f>61.9/1440</f>
        <v>4.2986111111111107E-2</v>
      </c>
      <c r="I2807" s="5">
        <v>0.11</v>
      </c>
      <c r="J2807" s="11" t="s">
        <v>3675</v>
      </c>
    </row>
    <row r="2808" spans="1:10" ht="13.15" customHeight="1" x14ac:dyDescent="0.25">
      <c r="A2808">
        <f t="shared" si="422"/>
        <v>2803</v>
      </c>
      <c r="B2808" t="s">
        <v>3669</v>
      </c>
      <c r="C2808" s="2">
        <v>0.47569444444444442</v>
      </c>
      <c r="D2808" s="4">
        <f t="shared" si="427"/>
        <v>0.11944444444444441</v>
      </c>
      <c r="E2808" s="6">
        <v>0.35625000000000001</v>
      </c>
      <c r="F2808" s="5">
        <f t="shared" si="428"/>
        <v>0.7489051094890512</v>
      </c>
      <c r="G2808" s="5">
        <v>0.81200000000000006</v>
      </c>
      <c r="H2808" s="4">
        <f>73.1/1440</f>
        <v>5.0763888888888886E-2</v>
      </c>
      <c r="I2808" s="5">
        <v>0.11600000000000001</v>
      </c>
      <c r="J2808" s="11" t="s">
        <v>3675</v>
      </c>
    </row>
    <row r="2809" spans="1:10" ht="13.15" customHeight="1" x14ac:dyDescent="0.25">
      <c r="A2809">
        <f t="shared" si="422"/>
        <v>2804</v>
      </c>
      <c r="B2809" t="s">
        <v>3670</v>
      </c>
      <c r="C2809" s="2">
        <v>0.44722222222222224</v>
      </c>
      <c r="D2809" s="4">
        <f t="shared" si="427"/>
        <v>0.10486111111111113</v>
      </c>
      <c r="E2809" s="6">
        <v>0.34236111111111112</v>
      </c>
      <c r="F2809" s="5">
        <f t="shared" si="428"/>
        <v>0.76552795031055898</v>
      </c>
      <c r="G2809" s="5">
        <v>0.79900000000000004</v>
      </c>
      <c r="H2809" s="4">
        <f>62.2/1440</f>
        <v>4.3194444444444445E-2</v>
      </c>
      <c r="I2809" s="5">
        <v>0.10100000000000001</v>
      </c>
      <c r="J2809" s="11" t="s">
        <v>3676</v>
      </c>
    </row>
    <row r="2810" spans="1:10" ht="13.15" customHeight="1" x14ac:dyDescent="0.25">
      <c r="A2810">
        <f t="shared" si="422"/>
        <v>2805</v>
      </c>
      <c r="B2810" t="s">
        <v>3671</v>
      </c>
      <c r="C2810" s="2">
        <v>0.40069444444444446</v>
      </c>
      <c r="D2810" s="4">
        <f t="shared" si="427"/>
        <v>0.11875000000000002</v>
      </c>
      <c r="E2810" s="6">
        <v>0.28194444444444444</v>
      </c>
      <c r="F2810" s="5">
        <f t="shared" si="428"/>
        <v>0.7036395147313691</v>
      </c>
      <c r="G2810" s="5">
        <v>0.79900000000000004</v>
      </c>
      <c r="H2810" s="4">
        <f>68.7/1440</f>
        <v>4.7708333333333339E-2</v>
      </c>
      <c r="I2810" s="5">
        <v>0.13500000000000001</v>
      </c>
      <c r="J2810" s="11" t="s">
        <v>3676</v>
      </c>
    </row>
    <row r="2811" spans="1:10" ht="13.15" customHeight="1" x14ac:dyDescent="0.25">
      <c r="A2811">
        <f t="shared" si="422"/>
        <v>2806</v>
      </c>
      <c r="B2811" t="s">
        <v>3672</v>
      </c>
      <c r="C2811" s="2">
        <v>0.37708333333333333</v>
      </c>
      <c r="D2811" s="4">
        <f t="shared" si="427"/>
        <v>0.10069444444444442</v>
      </c>
      <c r="E2811" s="6">
        <v>0.27638888888888891</v>
      </c>
      <c r="F2811" s="5">
        <f t="shared" si="428"/>
        <v>0.73296500920810315</v>
      </c>
      <c r="G2811" s="5">
        <v>0.81</v>
      </c>
      <c r="H2811" s="4">
        <f>69.4/1440</f>
        <v>4.8194444444444449E-2</v>
      </c>
      <c r="I2811" s="5">
        <v>0.14099999999999999</v>
      </c>
      <c r="J2811" s="11" t="s">
        <v>3676</v>
      </c>
    </row>
    <row r="2812" spans="1:10" ht="13.15" customHeight="1" x14ac:dyDescent="0.25">
      <c r="A2812">
        <f t="shared" si="422"/>
        <v>2807</v>
      </c>
      <c r="B2812" t="s">
        <v>3673</v>
      </c>
      <c r="C2812" s="2">
        <v>0.43194444444444446</v>
      </c>
      <c r="D2812" s="4">
        <f t="shared" si="427"/>
        <v>0.14027777777777778</v>
      </c>
      <c r="E2812" s="6">
        <v>0.29166666666666669</v>
      </c>
      <c r="F2812" s="5">
        <f t="shared" si="428"/>
        <v>0.67524115755627012</v>
      </c>
      <c r="G2812" s="5">
        <v>0.78800000000000003</v>
      </c>
      <c r="H2812" s="4">
        <f>67.9/1440</f>
        <v>4.715277777777778E-2</v>
      </c>
      <c r="I2812" s="5">
        <v>0.127</v>
      </c>
      <c r="J2812" s="11" t="s">
        <v>3676</v>
      </c>
    </row>
    <row r="2813" spans="1:10" ht="13.15" customHeight="1" x14ac:dyDescent="0.25">
      <c r="A2813">
        <f t="shared" si="422"/>
        <v>2808</v>
      </c>
      <c r="B2813" t="s">
        <v>3674</v>
      </c>
      <c r="C2813" s="2">
        <v>0.44513888888888886</v>
      </c>
      <c r="D2813" s="4">
        <f t="shared" si="427"/>
        <v>0.12152777777777773</v>
      </c>
      <c r="E2813" s="6">
        <v>0.32361111111111113</v>
      </c>
      <c r="F2813" s="5">
        <f t="shared" si="428"/>
        <v>0.72698907956318259</v>
      </c>
      <c r="G2813" s="5">
        <v>0.82199999999999995</v>
      </c>
      <c r="H2813" s="4">
        <f>70.9/1440</f>
        <v>4.9236111111111112E-2</v>
      </c>
      <c r="I2813" s="5">
        <v>0.125</v>
      </c>
      <c r="J2813" s="11" t="s">
        <v>3676</v>
      </c>
    </row>
    <row r="2814" spans="1:10" ht="13.15" customHeight="1" x14ac:dyDescent="0.25">
      <c r="A2814">
        <f t="shared" si="422"/>
        <v>2809</v>
      </c>
      <c r="B2814" t="s">
        <v>3677</v>
      </c>
      <c r="C2814" s="2">
        <v>0.5395833333333333</v>
      </c>
      <c r="D2814" s="4">
        <f t="shared" si="427"/>
        <v>0.12916666666666665</v>
      </c>
      <c r="E2814" s="6">
        <v>0.41041666666666665</v>
      </c>
      <c r="F2814" s="5">
        <f t="shared" si="428"/>
        <v>0.76061776061776065</v>
      </c>
      <c r="G2814" s="5">
        <v>0.86699999999999999</v>
      </c>
      <c r="H2814" s="4">
        <f>66.6/1440</f>
        <v>4.6249999999999999E-2</v>
      </c>
      <c r="I2814" s="5" t="s">
        <v>3689</v>
      </c>
      <c r="J2814" s="11" t="s">
        <v>3687</v>
      </c>
    </row>
    <row r="2815" spans="1:10" ht="13.15" customHeight="1" x14ac:dyDescent="0.25">
      <c r="A2815">
        <f t="shared" si="422"/>
        <v>2810</v>
      </c>
      <c r="B2815" t="s">
        <v>3678</v>
      </c>
      <c r="C2815" s="2">
        <v>0.53333333333333333</v>
      </c>
      <c r="D2815" s="4">
        <f t="shared" si="427"/>
        <v>0.10902777777777778</v>
      </c>
      <c r="E2815" s="6">
        <v>0.42430555555555555</v>
      </c>
      <c r="F2815" s="5">
        <f t="shared" si="428"/>
        <v>0.79557291666666663</v>
      </c>
      <c r="G2815" s="5">
        <v>0.83699999999999997</v>
      </c>
      <c r="H2815" s="4">
        <f>76.5/1440</f>
        <v>5.3124999999999999E-2</v>
      </c>
      <c r="I2815" s="5">
        <v>0.105</v>
      </c>
      <c r="J2815" s="11" t="s">
        <v>3687</v>
      </c>
    </row>
    <row r="2816" spans="1:10" ht="13.15" customHeight="1" x14ac:dyDescent="0.25">
      <c r="A2816">
        <f t="shared" si="422"/>
        <v>2811</v>
      </c>
      <c r="B2816" t="s">
        <v>3679</v>
      </c>
      <c r="C2816" s="2">
        <v>0.54791666666666672</v>
      </c>
      <c r="D2816" s="4">
        <f t="shared" si="427"/>
        <v>0.11805555555555558</v>
      </c>
      <c r="E2816" s="6">
        <v>0.42986111111111114</v>
      </c>
      <c r="F2816" s="5">
        <f t="shared" si="428"/>
        <v>0.78453738910012671</v>
      </c>
      <c r="G2816" s="5">
        <v>0.85499999999999998</v>
      </c>
      <c r="H2816" s="4">
        <f>69.8/1440</f>
        <v>4.8472222222222222E-2</v>
      </c>
      <c r="I2816" s="5">
        <v>9.6000000000000002E-2</v>
      </c>
      <c r="J2816" s="11" t="s">
        <v>3687</v>
      </c>
    </row>
    <row r="2817" spans="1:10" ht="13.15" customHeight="1" x14ac:dyDescent="0.25">
      <c r="A2817">
        <f t="shared" si="422"/>
        <v>2812</v>
      </c>
      <c r="B2817" t="s">
        <v>3680</v>
      </c>
      <c r="C2817" s="2">
        <v>0.52152777777777781</v>
      </c>
      <c r="D2817" s="4">
        <f t="shared" si="427"/>
        <v>0.11388888888888893</v>
      </c>
      <c r="E2817" s="6">
        <v>0.40763888888888888</v>
      </c>
      <c r="F2817" s="5">
        <f t="shared" si="428"/>
        <v>0.78162450066577893</v>
      </c>
      <c r="G2817" s="5">
        <v>0.88300000000000001</v>
      </c>
      <c r="H2817" s="4">
        <f>65.4/1440</f>
        <v>4.5416666666666668E-2</v>
      </c>
      <c r="I2817" s="5">
        <v>9.8000000000000004E-2</v>
      </c>
      <c r="J2817" s="11" t="s">
        <v>3687</v>
      </c>
    </row>
    <row r="2818" spans="1:10" ht="13.15" customHeight="1" x14ac:dyDescent="0.25">
      <c r="A2818">
        <f t="shared" si="422"/>
        <v>2813</v>
      </c>
      <c r="B2818" t="s">
        <v>3681</v>
      </c>
      <c r="C2818" s="2">
        <v>0.46458333333333335</v>
      </c>
      <c r="D2818" s="4">
        <f t="shared" si="427"/>
        <v>0.10625000000000001</v>
      </c>
      <c r="E2818" s="6">
        <v>0.35833333333333334</v>
      </c>
      <c r="F2818" s="5">
        <f t="shared" si="428"/>
        <v>0.77130044843049328</v>
      </c>
      <c r="G2818" s="5">
        <v>0.70299999999999996</v>
      </c>
      <c r="H2818" s="4">
        <f>69/1440</f>
        <v>4.791666666666667E-2</v>
      </c>
      <c r="I2818" s="5">
        <v>9.4E-2</v>
      </c>
      <c r="J2818" s="11" t="s">
        <v>3687</v>
      </c>
    </row>
    <row r="2819" spans="1:10" ht="13.15" customHeight="1" x14ac:dyDescent="0.25">
      <c r="A2819">
        <f t="shared" si="422"/>
        <v>2814</v>
      </c>
      <c r="B2819" t="s">
        <v>3682</v>
      </c>
      <c r="C2819" s="2">
        <v>0.49652777777777779</v>
      </c>
      <c r="D2819" s="4">
        <f t="shared" si="427"/>
        <v>0.11944444444444446</v>
      </c>
      <c r="E2819" s="6">
        <v>0.37708333333333333</v>
      </c>
      <c r="F2819" s="5">
        <f t="shared" si="428"/>
        <v>0.75944055944055944</v>
      </c>
      <c r="G2819" s="5">
        <v>0.83699999999999997</v>
      </c>
      <c r="H2819" s="4">
        <f>65.9/1440</f>
        <v>4.5763888888888896E-2</v>
      </c>
      <c r="I2819" s="5">
        <v>0.10100000000000001</v>
      </c>
      <c r="J2819" s="11" t="s">
        <v>3688</v>
      </c>
    </row>
    <row r="2820" spans="1:10" ht="13.15" customHeight="1" x14ac:dyDescent="0.25">
      <c r="A2820">
        <f t="shared" si="422"/>
        <v>2815</v>
      </c>
      <c r="B2820" t="s">
        <v>3683</v>
      </c>
      <c r="C2820" s="2">
        <v>0.49305555555555558</v>
      </c>
      <c r="D2820" s="4">
        <f t="shared" si="427"/>
        <v>0.12291666666666667</v>
      </c>
      <c r="E2820" s="6">
        <v>0.37013888888888891</v>
      </c>
      <c r="F2820" s="5">
        <f t="shared" si="428"/>
        <v>0.75070422535211268</v>
      </c>
      <c r="G2820" s="5">
        <v>0.89100000000000001</v>
      </c>
      <c r="H2820" s="4">
        <f>68.6/1440</f>
        <v>4.7638888888888883E-2</v>
      </c>
      <c r="I2820" s="5">
        <v>0.115</v>
      </c>
      <c r="J2820" s="11" t="s">
        <v>3688</v>
      </c>
    </row>
    <row r="2821" spans="1:10" ht="13.15" customHeight="1" x14ac:dyDescent="0.25">
      <c r="A2821">
        <f t="shared" si="422"/>
        <v>2816</v>
      </c>
      <c r="B2821" t="s">
        <v>3684</v>
      </c>
      <c r="C2821" s="2">
        <v>0.57222222222222219</v>
      </c>
      <c r="D2821" s="4">
        <f t="shared" si="427"/>
        <v>0.14583333333333331</v>
      </c>
      <c r="E2821" s="6">
        <v>0.42638888888888887</v>
      </c>
      <c r="F2821" s="5">
        <f t="shared" si="428"/>
        <v>0.74514563106796117</v>
      </c>
      <c r="G2821" s="5">
        <v>0.79500000000000004</v>
      </c>
      <c r="H2821" s="4">
        <f>53.5/1440</f>
        <v>3.7152777777777778E-2</v>
      </c>
      <c r="I2821" s="5">
        <v>6.9000000000000006E-2</v>
      </c>
      <c r="J2821" s="11" t="s">
        <v>3688</v>
      </c>
    </row>
    <row r="2822" spans="1:10" ht="13.15" customHeight="1" x14ac:dyDescent="0.25">
      <c r="A2822">
        <f t="shared" si="422"/>
        <v>2817</v>
      </c>
      <c r="B2822" t="s">
        <v>3685</v>
      </c>
      <c r="C2822" s="2">
        <v>0.55138888888888893</v>
      </c>
      <c r="D2822" s="4">
        <f t="shared" si="427"/>
        <v>0.1430555555555556</v>
      </c>
      <c r="E2822" s="6">
        <v>0.40833333333333333</v>
      </c>
      <c r="F2822" s="5">
        <f t="shared" si="428"/>
        <v>0.74055415617128462</v>
      </c>
      <c r="G2822" s="5">
        <v>0.68500000000000005</v>
      </c>
      <c r="H2822" s="4">
        <f>79.6/1440</f>
        <v>5.5277777777777773E-2</v>
      </c>
      <c r="I2822" s="5">
        <v>9.2999999999999999E-2</v>
      </c>
      <c r="J2822" s="11" t="s">
        <v>3688</v>
      </c>
    </row>
    <row r="2823" spans="1:10" ht="13.15" customHeight="1" x14ac:dyDescent="0.25">
      <c r="A2823">
        <f t="shared" si="422"/>
        <v>2818</v>
      </c>
      <c r="B2823" t="s">
        <v>3686</v>
      </c>
      <c r="C2823" s="2">
        <v>0.53333333333333333</v>
      </c>
      <c r="D2823" s="4">
        <f t="shared" si="427"/>
        <v>0.11944444444444446</v>
      </c>
      <c r="E2823" s="6">
        <v>0.41388888888888886</v>
      </c>
      <c r="F2823" s="5">
        <f t="shared" si="428"/>
        <v>0.77604166666666663</v>
      </c>
      <c r="G2823" s="5">
        <v>0.93</v>
      </c>
      <c r="H2823" s="4">
        <f>81.6/1440</f>
        <v>5.6666666666666664E-2</v>
      </c>
      <c r="I2823" s="5">
        <v>0.127</v>
      </c>
      <c r="J2823" s="11" t="s">
        <v>3688</v>
      </c>
    </row>
    <row r="2824" spans="1:10" ht="13.15" customHeight="1" x14ac:dyDescent="0.25">
      <c r="A2824">
        <f t="shared" si="422"/>
        <v>2819</v>
      </c>
      <c r="B2824" t="s">
        <v>3690</v>
      </c>
      <c r="C2824" s="2">
        <v>0.48749999999999999</v>
      </c>
      <c r="D2824" s="4">
        <f t="shared" ref="D2824:D2833" si="429">C2824-E2824</f>
        <v>0.10625000000000001</v>
      </c>
      <c r="E2824" s="6">
        <v>0.38124999999999998</v>
      </c>
      <c r="F2824" s="5">
        <f t="shared" ref="F2824:F2833" si="430">E2824/C2824</f>
        <v>0.78205128205128205</v>
      </c>
      <c r="G2824" s="5">
        <v>1</v>
      </c>
      <c r="H2824" s="4">
        <f>75.7/1440</f>
        <v>5.2569444444444446E-2</v>
      </c>
      <c r="I2824" s="5">
        <v>0.13800000000000001</v>
      </c>
      <c r="J2824" s="11" t="s">
        <v>3700</v>
      </c>
    </row>
    <row r="2825" spans="1:10" ht="13.15" customHeight="1" x14ac:dyDescent="0.25">
      <c r="A2825">
        <f t="shared" si="422"/>
        <v>2820</v>
      </c>
      <c r="B2825" t="s">
        <v>3691</v>
      </c>
      <c r="C2825" s="2">
        <v>0.41180555555555554</v>
      </c>
      <c r="D2825" s="4">
        <f t="shared" si="429"/>
        <v>8.7499999999999967E-2</v>
      </c>
      <c r="E2825" s="6">
        <v>0.32430555555555557</v>
      </c>
      <c r="F2825" s="5">
        <f t="shared" si="430"/>
        <v>0.78752107925801018</v>
      </c>
      <c r="G2825" s="5">
        <v>1</v>
      </c>
      <c r="H2825" s="4">
        <f>83.7/1440</f>
        <v>5.8125000000000003E-2</v>
      </c>
      <c r="I2825" s="5">
        <v>0.17899999999999999</v>
      </c>
      <c r="J2825" s="11" t="s">
        <v>3700</v>
      </c>
    </row>
    <row r="2826" spans="1:10" ht="13.15" customHeight="1" x14ac:dyDescent="0.25">
      <c r="A2826">
        <f t="shared" si="422"/>
        <v>2821</v>
      </c>
      <c r="B2826" t="s">
        <v>3692</v>
      </c>
      <c r="C2826" s="2">
        <v>0.51249999999999996</v>
      </c>
      <c r="D2826" s="4">
        <f t="shared" si="429"/>
        <v>0.10624999999999996</v>
      </c>
      <c r="E2826" s="6">
        <v>0.40625</v>
      </c>
      <c r="F2826" s="5">
        <f t="shared" si="430"/>
        <v>0.79268292682926833</v>
      </c>
      <c r="G2826" s="5">
        <v>1</v>
      </c>
      <c r="H2826" s="4">
        <f>84.9/1440</f>
        <v>5.8958333333333335E-2</v>
      </c>
      <c r="I2826" s="5">
        <v>0.14499999999999999</v>
      </c>
      <c r="J2826" s="11" t="s">
        <v>3700</v>
      </c>
    </row>
    <row r="2827" spans="1:10" ht="13.15" customHeight="1" x14ac:dyDescent="0.25">
      <c r="A2827">
        <f t="shared" si="422"/>
        <v>2822</v>
      </c>
      <c r="B2827" t="s">
        <v>3693</v>
      </c>
      <c r="C2827" s="2">
        <v>0.46458333333333335</v>
      </c>
      <c r="D2827" s="4">
        <f t="shared" si="429"/>
        <v>0.10347222222222224</v>
      </c>
      <c r="E2827" s="6">
        <v>0.3611111111111111</v>
      </c>
      <c r="F2827" s="5">
        <f t="shared" si="430"/>
        <v>0.77727952167414049</v>
      </c>
      <c r="G2827" s="5">
        <v>1</v>
      </c>
      <c r="H2827" s="4">
        <f>85.3/1440</f>
        <v>5.9236111111111107E-2</v>
      </c>
      <c r="I2827" s="5">
        <v>0.16400000000000001</v>
      </c>
      <c r="J2827" s="11" t="s">
        <v>3700</v>
      </c>
    </row>
    <row r="2828" spans="1:10" ht="13.15" customHeight="1" x14ac:dyDescent="0.25">
      <c r="A2828">
        <f t="shared" si="422"/>
        <v>2823</v>
      </c>
      <c r="B2828" t="s">
        <v>3694</v>
      </c>
      <c r="C2828" s="2">
        <v>0.5</v>
      </c>
      <c r="D2828" s="4">
        <f t="shared" si="429"/>
        <v>0.11944444444444446</v>
      </c>
      <c r="E2828" s="6">
        <v>0.38055555555555554</v>
      </c>
      <c r="F2828" s="5">
        <f t="shared" si="430"/>
        <v>0.76111111111111107</v>
      </c>
      <c r="G2828" s="5">
        <v>1</v>
      </c>
      <c r="H2828" s="4">
        <f>85.8/1440</f>
        <v>5.9583333333333328E-2</v>
      </c>
      <c r="I2828" s="5">
        <v>0.156</v>
      </c>
      <c r="J2828" s="11" t="s">
        <v>3700</v>
      </c>
    </row>
    <row r="2829" spans="1:10" ht="13.15" customHeight="1" x14ac:dyDescent="0.25">
      <c r="A2829">
        <f t="shared" si="422"/>
        <v>2824</v>
      </c>
      <c r="B2829" t="s">
        <v>3695</v>
      </c>
      <c r="C2829" s="2">
        <v>0.45694444444444443</v>
      </c>
      <c r="D2829" s="4">
        <f t="shared" si="429"/>
        <v>0.1076388888888889</v>
      </c>
      <c r="E2829" s="6">
        <v>0.34930555555555554</v>
      </c>
      <c r="F2829" s="5">
        <f t="shared" si="430"/>
        <v>0.76443768996960482</v>
      </c>
      <c r="G2829" s="5">
        <v>1</v>
      </c>
      <c r="H2829" s="4">
        <f>76/1440</f>
        <v>5.2777777777777778E-2</v>
      </c>
      <c r="I2829" s="5">
        <v>0.151</v>
      </c>
      <c r="J2829" s="11" t="s">
        <v>3701</v>
      </c>
    </row>
    <row r="2830" spans="1:10" ht="13.15" customHeight="1" x14ac:dyDescent="0.25">
      <c r="A2830">
        <f t="shared" si="422"/>
        <v>2825</v>
      </c>
      <c r="B2830" t="s">
        <v>3696</v>
      </c>
      <c r="C2830" s="2">
        <v>0.44027777777777777</v>
      </c>
      <c r="D2830" s="4">
        <f t="shared" si="429"/>
        <v>0.11874999999999997</v>
      </c>
      <c r="E2830" s="6">
        <v>0.3215277777777778</v>
      </c>
      <c r="F2830" s="5">
        <f t="shared" si="430"/>
        <v>0.73028391167192441</v>
      </c>
      <c r="G2830" s="5">
        <v>1</v>
      </c>
      <c r="H2830" s="4">
        <f>74.3/1440</f>
        <v>5.1597222222222218E-2</v>
      </c>
      <c r="I2830" s="5">
        <v>0.16</v>
      </c>
      <c r="J2830" s="11" t="s">
        <v>3701</v>
      </c>
    </row>
    <row r="2831" spans="1:10" ht="13.15" customHeight="1" x14ac:dyDescent="0.25">
      <c r="A2831">
        <f t="shared" si="422"/>
        <v>2826</v>
      </c>
      <c r="B2831" t="s">
        <v>3697</v>
      </c>
      <c r="C2831" s="2">
        <v>0.44791666666666669</v>
      </c>
      <c r="D2831" s="4">
        <f t="shared" si="429"/>
        <v>0.10347222222222224</v>
      </c>
      <c r="E2831" s="6">
        <v>0.34444444444444444</v>
      </c>
      <c r="F2831" s="5">
        <f t="shared" si="430"/>
        <v>0.76899224806201549</v>
      </c>
      <c r="G2831" s="5">
        <v>1</v>
      </c>
      <c r="H2831" s="4">
        <f>87.1/1440</f>
        <v>6.0486111111111109E-2</v>
      </c>
      <c r="I2831" s="5">
        <v>0.17499999999999999</v>
      </c>
      <c r="J2831" s="11" t="s">
        <v>3701</v>
      </c>
    </row>
    <row r="2832" spans="1:10" ht="13.15" customHeight="1" x14ac:dyDescent="0.25">
      <c r="A2832">
        <f t="shared" si="422"/>
        <v>2827</v>
      </c>
      <c r="B2832" t="s">
        <v>3698</v>
      </c>
      <c r="C2832" s="2">
        <v>0.48402777777777778</v>
      </c>
      <c r="D2832" s="4">
        <f t="shared" si="429"/>
        <v>0.10347222222222224</v>
      </c>
      <c r="E2832" s="6">
        <v>0.38055555555555554</v>
      </c>
      <c r="F2832" s="5">
        <f t="shared" si="430"/>
        <v>0.78622668579626964</v>
      </c>
      <c r="G2832" s="5">
        <v>1</v>
      </c>
      <c r="H2832" s="4">
        <f>89.8/1440</f>
        <v>6.236111111111111E-2</v>
      </c>
      <c r="I2832" s="5">
        <v>0.16400000000000001</v>
      </c>
      <c r="J2832" s="11" t="s">
        <v>3701</v>
      </c>
    </row>
    <row r="2833" spans="1:10" ht="13.15" customHeight="1" x14ac:dyDescent="0.25">
      <c r="A2833">
        <f t="shared" si="422"/>
        <v>2828</v>
      </c>
      <c r="B2833" t="s">
        <v>3699</v>
      </c>
      <c r="C2833" s="2">
        <v>0.42986111111111114</v>
      </c>
      <c r="D2833" s="4">
        <f t="shared" si="429"/>
        <v>0.10347222222222224</v>
      </c>
      <c r="E2833" s="6">
        <v>0.3263888888888889</v>
      </c>
      <c r="F2833" s="5">
        <f t="shared" si="430"/>
        <v>0.75928917609046842</v>
      </c>
      <c r="G2833" s="5">
        <v>1</v>
      </c>
      <c r="H2833" s="4">
        <f>88.4/1440</f>
        <v>6.1388888888888896E-2</v>
      </c>
      <c r="I2833" s="5">
        <v>0.188</v>
      </c>
      <c r="J2833" s="11" t="s">
        <v>3701</v>
      </c>
    </row>
    <row r="2834" spans="1:10" ht="13.15" customHeight="1" x14ac:dyDescent="0.25">
      <c r="A2834">
        <f t="shared" si="422"/>
        <v>2829</v>
      </c>
      <c r="B2834" t="s">
        <v>3702</v>
      </c>
      <c r="C2834" s="2">
        <v>0.49791666666666667</v>
      </c>
      <c r="D2834" s="4">
        <f t="shared" ref="D2834:D2852" si="431">C2834-E2834</f>
        <v>0.10555555555555557</v>
      </c>
      <c r="E2834" s="6">
        <v>0.3923611111111111</v>
      </c>
      <c r="F2834" s="5">
        <f t="shared" ref="F2834:F2852" si="432">E2834/C2834</f>
        <v>0.78800557880055788</v>
      </c>
      <c r="G2834" s="5">
        <v>1</v>
      </c>
      <c r="H2834" s="4">
        <f>76.8/1440</f>
        <v>5.333333333333333E-2</v>
      </c>
      <c r="I2834" s="5">
        <v>0.13600000000000001</v>
      </c>
      <c r="J2834" s="11" t="s">
        <v>3712</v>
      </c>
    </row>
    <row r="2835" spans="1:10" ht="13.15" customHeight="1" x14ac:dyDescent="0.25">
      <c r="A2835">
        <f t="shared" si="422"/>
        <v>2830</v>
      </c>
      <c r="B2835" t="s">
        <v>3703</v>
      </c>
      <c r="C2835" s="2">
        <v>0.49930555555555556</v>
      </c>
      <c r="D2835" s="4">
        <f t="shared" si="431"/>
        <v>0.10486111111111113</v>
      </c>
      <c r="E2835" s="6">
        <v>0.39444444444444443</v>
      </c>
      <c r="F2835" s="5">
        <f t="shared" si="432"/>
        <v>0.78998609179415857</v>
      </c>
      <c r="G2835" s="5">
        <v>1</v>
      </c>
      <c r="H2835" s="4">
        <f>74.2/1440</f>
        <v>5.1527777777777777E-2</v>
      </c>
      <c r="I2835" s="5">
        <v>0.13100000000000001</v>
      </c>
      <c r="J2835" s="11" t="s">
        <v>3712</v>
      </c>
    </row>
    <row r="2836" spans="1:10" ht="13.15" customHeight="1" x14ac:dyDescent="0.25">
      <c r="A2836">
        <f t="shared" si="422"/>
        <v>2831</v>
      </c>
      <c r="B2836" t="s">
        <v>3704</v>
      </c>
      <c r="C2836" s="2">
        <v>0.53819444444444442</v>
      </c>
      <c r="D2836" s="4">
        <f t="shared" si="431"/>
        <v>0.12708333333333333</v>
      </c>
      <c r="E2836" s="6">
        <v>0.41111111111111109</v>
      </c>
      <c r="F2836" s="5">
        <f t="shared" si="432"/>
        <v>0.76387096774193552</v>
      </c>
      <c r="G2836" s="5">
        <v>1</v>
      </c>
      <c r="H2836" s="4">
        <f>79.3/1440</f>
        <v>5.5069444444444442E-2</v>
      </c>
      <c r="I2836" s="5">
        <v>0.13400000000000001</v>
      </c>
      <c r="J2836" s="11" t="s">
        <v>3712</v>
      </c>
    </row>
    <row r="2837" spans="1:10" ht="13.15" customHeight="1" x14ac:dyDescent="0.25">
      <c r="A2837">
        <f t="shared" si="422"/>
        <v>2832</v>
      </c>
      <c r="B2837" t="s">
        <v>3705</v>
      </c>
      <c r="C2837" s="2">
        <v>0.49444444444444446</v>
      </c>
      <c r="D2837" s="4">
        <f t="shared" si="431"/>
        <v>0.12152777777777779</v>
      </c>
      <c r="E2837" s="6">
        <v>0.37291666666666667</v>
      </c>
      <c r="F2837" s="5">
        <f t="shared" si="432"/>
        <v>0.7542134831460674</v>
      </c>
      <c r="G2837" s="5">
        <v>1</v>
      </c>
      <c r="H2837" s="4">
        <f>77.7/1440</f>
        <v>5.3958333333333337E-2</v>
      </c>
      <c r="I2837" s="5">
        <v>0.14499999999999999</v>
      </c>
      <c r="J2837" s="11" t="s">
        <v>3712</v>
      </c>
    </row>
    <row r="2838" spans="1:10" ht="13.15" customHeight="1" x14ac:dyDescent="0.25">
      <c r="A2838">
        <f t="shared" si="422"/>
        <v>2833</v>
      </c>
      <c r="B2838" t="s">
        <v>3706</v>
      </c>
      <c r="C2838" s="2">
        <v>0.51041666666666663</v>
      </c>
      <c r="D2838" s="4">
        <f t="shared" si="431"/>
        <v>0.12152777777777773</v>
      </c>
      <c r="E2838" s="6">
        <v>0.3888888888888889</v>
      </c>
      <c r="F2838" s="5">
        <f t="shared" si="432"/>
        <v>0.76190476190476197</v>
      </c>
      <c r="G2838" s="5">
        <v>1</v>
      </c>
      <c r="H2838" s="4">
        <f>71.7/1440</f>
        <v>4.9791666666666672E-2</v>
      </c>
      <c r="I2838" s="5">
        <v>0.128</v>
      </c>
      <c r="J2838" s="11" t="s">
        <v>3712</v>
      </c>
    </row>
    <row r="2839" spans="1:10" ht="13.15" customHeight="1" x14ac:dyDescent="0.25">
      <c r="A2839">
        <f t="shared" si="422"/>
        <v>2834</v>
      </c>
      <c r="B2839" t="s">
        <v>3707</v>
      </c>
      <c r="C2839" s="2">
        <v>0.46180555555555558</v>
      </c>
      <c r="D2839" s="4">
        <f t="shared" si="431"/>
        <v>0.10416666666666669</v>
      </c>
      <c r="E2839" s="6">
        <v>0.3576388888888889</v>
      </c>
      <c r="F2839" s="5">
        <f t="shared" si="432"/>
        <v>0.77443609022556392</v>
      </c>
      <c r="G2839" s="5">
        <v>1</v>
      </c>
      <c r="H2839" s="4">
        <f>85.6/1440</f>
        <v>5.9444444444444439E-2</v>
      </c>
      <c r="I2839" s="5">
        <v>0.16600000000000001</v>
      </c>
      <c r="J2839" s="11" t="s">
        <v>3713</v>
      </c>
    </row>
    <row r="2840" spans="1:10" ht="13.15" customHeight="1" x14ac:dyDescent="0.25">
      <c r="A2840">
        <f t="shared" si="422"/>
        <v>2835</v>
      </c>
      <c r="B2840" t="s">
        <v>3708</v>
      </c>
      <c r="C2840" s="2">
        <v>0.50763888888888886</v>
      </c>
      <c r="D2840" s="4">
        <f t="shared" si="431"/>
        <v>0.10902777777777772</v>
      </c>
      <c r="E2840" s="6">
        <v>0.39861111111111114</v>
      </c>
      <c r="F2840" s="5">
        <f t="shared" si="432"/>
        <v>0.78522571819425457</v>
      </c>
      <c r="G2840" s="5">
        <v>1</v>
      </c>
      <c r="H2840" s="4">
        <f>92.3/1440</f>
        <v>6.4097222222222222E-2</v>
      </c>
      <c r="I2840" s="5">
        <v>0.161</v>
      </c>
      <c r="J2840" s="11" t="s">
        <v>3713</v>
      </c>
    </row>
    <row r="2841" spans="1:10" ht="13.15" customHeight="1" x14ac:dyDescent="0.25">
      <c r="A2841">
        <f t="shared" si="422"/>
        <v>2836</v>
      </c>
      <c r="B2841" t="s">
        <v>3709</v>
      </c>
      <c r="C2841" s="2">
        <v>0.48194444444444445</v>
      </c>
      <c r="D2841" s="4">
        <f t="shared" si="431"/>
        <v>0.11319444444444443</v>
      </c>
      <c r="E2841" s="6">
        <v>0.36875000000000002</v>
      </c>
      <c r="F2841" s="5">
        <f t="shared" si="432"/>
        <v>0.76512968299711814</v>
      </c>
      <c r="G2841" s="5">
        <v>1</v>
      </c>
      <c r="H2841" s="4">
        <f>88.2/1440</f>
        <v>6.1249999999999999E-2</v>
      </c>
      <c r="I2841" s="5">
        <v>0.16600000000000001</v>
      </c>
      <c r="J2841" s="11" t="s">
        <v>3713</v>
      </c>
    </row>
    <row r="2842" spans="1:10" ht="13.15" customHeight="1" x14ac:dyDescent="0.25">
      <c r="A2842">
        <f t="shared" si="422"/>
        <v>2837</v>
      </c>
      <c r="B2842" t="s">
        <v>3710</v>
      </c>
      <c r="C2842" s="2">
        <v>0.4548611111111111</v>
      </c>
      <c r="D2842" s="4">
        <f t="shared" si="431"/>
        <v>9.5138888888888884E-2</v>
      </c>
      <c r="E2842" s="6">
        <v>0.35972222222222222</v>
      </c>
      <c r="F2842" s="5">
        <f t="shared" si="432"/>
        <v>0.79083969465648851</v>
      </c>
      <c r="G2842" s="5">
        <v>1</v>
      </c>
      <c r="H2842" s="4">
        <f>89/1440</f>
        <v>6.1805555555555558E-2</v>
      </c>
      <c r="I2842" s="5">
        <v>0.17199999999999999</v>
      </c>
      <c r="J2842" s="11" t="s">
        <v>3713</v>
      </c>
    </row>
    <row r="2843" spans="1:10" ht="13.15" customHeight="1" x14ac:dyDescent="0.25">
      <c r="A2843">
        <f t="shared" ref="A2843:A2891" si="433">A2842+1</f>
        <v>2838</v>
      </c>
      <c r="B2843" t="s">
        <v>3711</v>
      </c>
      <c r="C2843" s="2">
        <v>0.49930555555555556</v>
      </c>
      <c r="D2843" s="4">
        <f t="shared" si="431"/>
        <v>0.10208333333333336</v>
      </c>
      <c r="E2843" s="6">
        <v>0.3972222222222222</v>
      </c>
      <c r="F2843" s="5">
        <f t="shared" si="432"/>
        <v>0.79554937413073712</v>
      </c>
      <c r="G2843" s="5">
        <v>1</v>
      </c>
      <c r="H2843" s="4">
        <f>96.4/1440</f>
        <v>6.6944444444444445E-2</v>
      </c>
      <c r="I2843" s="5">
        <v>0.16800000000000001</v>
      </c>
      <c r="J2843" s="11" t="s">
        <v>3713</v>
      </c>
    </row>
    <row r="2844" spans="1:10" ht="13.15" customHeight="1" x14ac:dyDescent="0.25">
      <c r="A2844">
        <f t="shared" si="433"/>
        <v>2839</v>
      </c>
      <c r="B2844" t="s">
        <v>3714</v>
      </c>
      <c r="C2844" s="2">
        <v>0.43055555555555558</v>
      </c>
      <c r="D2844" s="4">
        <f t="shared" si="431"/>
        <v>0.11805555555555558</v>
      </c>
      <c r="E2844" s="6">
        <v>0.3125</v>
      </c>
      <c r="F2844" s="5">
        <f t="shared" si="432"/>
        <v>0.72580645161290314</v>
      </c>
      <c r="G2844" s="5">
        <v>0.752</v>
      </c>
      <c r="H2844" s="4">
        <f>61.8/1440</f>
        <v>4.2916666666666665E-2</v>
      </c>
      <c r="I2844" s="5">
        <v>0.10299999999999999</v>
      </c>
      <c r="J2844" s="11" t="s">
        <v>3724</v>
      </c>
    </row>
    <row r="2845" spans="1:10" ht="13.15" customHeight="1" x14ac:dyDescent="0.25">
      <c r="A2845">
        <f t="shared" si="433"/>
        <v>2840</v>
      </c>
      <c r="B2845" t="s">
        <v>3715</v>
      </c>
      <c r="C2845" s="2">
        <v>0.44861111111111113</v>
      </c>
      <c r="D2845" s="4">
        <f t="shared" si="431"/>
        <v>0.12222222222222223</v>
      </c>
      <c r="E2845" s="6">
        <v>0.3263888888888889</v>
      </c>
      <c r="F2845" s="5">
        <f t="shared" si="432"/>
        <v>0.72755417956656343</v>
      </c>
      <c r="G2845" s="5">
        <v>0.81100000000000005</v>
      </c>
      <c r="H2845" s="4">
        <f>61.9/1440</f>
        <v>4.2986111111111107E-2</v>
      </c>
      <c r="I2845" s="5">
        <v>0.107</v>
      </c>
      <c r="J2845" s="11" t="s">
        <v>3724</v>
      </c>
    </row>
    <row r="2846" spans="1:10" ht="13.15" customHeight="1" x14ac:dyDescent="0.25">
      <c r="A2846">
        <f t="shared" si="433"/>
        <v>2841</v>
      </c>
      <c r="B2846" t="s">
        <v>3716</v>
      </c>
      <c r="C2846" s="2">
        <v>0.38750000000000001</v>
      </c>
      <c r="D2846" s="4">
        <f t="shared" si="431"/>
        <v>0.11319444444444443</v>
      </c>
      <c r="E2846" s="6">
        <v>0.27430555555555558</v>
      </c>
      <c r="F2846" s="5">
        <f t="shared" si="432"/>
        <v>0.70788530465949828</v>
      </c>
      <c r="G2846" s="5">
        <v>0.75600000000000001</v>
      </c>
      <c r="H2846" s="4">
        <f>59.9/1440</f>
        <v>4.1597222222222223E-2</v>
      </c>
      <c r="I2846" s="5">
        <v>0.115</v>
      </c>
      <c r="J2846" s="11" t="s">
        <v>3724</v>
      </c>
    </row>
    <row r="2847" spans="1:10" ht="13.15" customHeight="1" x14ac:dyDescent="0.25">
      <c r="A2847">
        <f t="shared" si="433"/>
        <v>2842</v>
      </c>
      <c r="B2847" t="s">
        <v>3717</v>
      </c>
      <c r="C2847" s="2">
        <v>0.37013888888888891</v>
      </c>
      <c r="D2847" s="4">
        <f t="shared" si="431"/>
        <v>0.11736111111111114</v>
      </c>
      <c r="E2847" s="6">
        <v>0.25277777777777777</v>
      </c>
      <c r="F2847" s="5">
        <f t="shared" si="432"/>
        <v>0.68292682926829262</v>
      </c>
      <c r="G2847" s="5">
        <v>0.66700000000000004</v>
      </c>
      <c r="H2847" s="4">
        <f>53.4/1440</f>
        <v>3.7083333333333329E-2</v>
      </c>
      <c r="I2847" s="5">
        <v>9.8000000000000004E-2</v>
      </c>
      <c r="J2847" s="11" t="s">
        <v>3724</v>
      </c>
    </row>
    <row r="2848" spans="1:10" ht="13.15" customHeight="1" x14ac:dyDescent="0.25">
      <c r="A2848">
        <f t="shared" si="433"/>
        <v>2843</v>
      </c>
      <c r="B2848" t="s">
        <v>3718</v>
      </c>
      <c r="C2848" s="2">
        <v>0.47986111111111113</v>
      </c>
      <c r="D2848" s="4">
        <f t="shared" si="431"/>
        <v>0.13055555555555559</v>
      </c>
      <c r="E2848" s="6">
        <v>0.34930555555555554</v>
      </c>
      <c r="F2848" s="5">
        <f t="shared" si="432"/>
        <v>0.72793053545586106</v>
      </c>
      <c r="G2848" s="5">
        <v>0.70399999999999996</v>
      </c>
      <c r="H2848" s="4">
        <f>66.4/1440</f>
        <v>4.6111111111111117E-2</v>
      </c>
      <c r="I2848" s="5">
        <v>9.2999999999999999E-2</v>
      </c>
      <c r="J2848" s="11" t="s">
        <v>3724</v>
      </c>
    </row>
    <row r="2849" spans="1:10" ht="13.15" customHeight="1" x14ac:dyDescent="0.25">
      <c r="A2849">
        <f t="shared" si="433"/>
        <v>2844</v>
      </c>
      <c r="B2849" t="s">
        <v>3719</v>
      </c>
      <c r="C2849" s="2">
        <v>0.50972222222222219</v>
      </c>
      <c r="D2849" s="4">
        <f t="shared" si="431"/>
        <v>0.16527777777777775</v>
      </c>
      <c r="E2849" s="6">
        <v>0.34444444444444444</v>
      </c>
      <c r="F2849" s="5">
        <f t="shared" si="432"/>
        <v>0.6757493188010899</v>
      </c>
      <c r="G2849" s="5">
        <v>0.80600000000000005</v>
      </c>
      <c r="H2849" s="4">
        <f>65.7/1440</f>
        <v>4.5624999999999999E-2</v>
      </c>
      <c r="I2849" s="5">
        <v>0.107</v>
      </c>
      <c r="J2849" s="11" t="s">
        <v>3723</v>
      </c>
    </row>
    <row r="2850" spans="1:10" ht="13.15" customHeight="1" x14ac:dyDescent="0.25">
      <c r="A2850">
        <f t="shared" si="433"/>
        <v>2845</v>
      </c>
      <c r="B2850" t="s">
        <v>3720</v>
      </c>
      <c r="C2850" s="2">
        <v>0.4513888888888889</v>
      </c>
      <c r="D2850" s="4">
        <f t="shared" si="431"/>
        <v>0.11319444444444443</v>
      </c>
      <c r="E2850" s="6">
        <v>0.33819444444444446</v>
      </c>
      <c r="F2850" s="5">
        <f t="shared" si="432"/>
        <v>0.74923076923076926</v>
      </c>
      <c r="G2850" s="5">
        <v>0.77500000000000002</v>
      </c>
      <c r="H2850" s="4">
        <f>66.4/1440</f>
        <v>4.6111111111111117E-2</v>
      </c>
      <c r="I2850" s="5">
        <v>0.106</v>
      </c>
      <c r="J2850" s="11" t="s">
        <v>3723</v>
      </c>
    </row>
    <row r="2851" spans="1:10" ht="13.15" customHeight="1" x14ac:dyDescent="0.25">
      <c r="A2851">
        <f t="shared" si="433"/>
        <v>2846</v>
      </c>
      <c r="B2851" t="s">
        <v>3721</v>
      </c>
      <c r="C2851" s="2">
        <v>0.45</v>
      </c>
      <c r="D2851" s="4">
        <f t="shared" si="431"/>
        <v>0.10208333333333336</v>
      </c>
      <c r="E2851" s="6">
        <v>0.34791666666666665</v>
      </c>
      <c r="F2851" s="5">
        <f t="shared" si="432"/>
        <v>0.77314814814814814</v>
      </c>
      <c r="G2851" s="5">
        <v>0.67</v>
      </c>
      <c r="H2851" s="4">
        <f>59.3/1440</f>
        <v>4.1180555555555554E-2</v>
      </c>
      <c r="I2851" s="5">
        <v>7.9000000000000001E-2</v>
      </c>
      <c r="J2851" s="11" t="s">
        <v>3723</v>
      </c>
    </row>
    <row r="2852" spans="1:10" ht="13.15" customHeight="1" x14ac:dyDescent="0.25">
      <c r="A2852">
        <f t="shared" si="433"/>
        <v>2847</v>
      </c>
      <c r="B2852" t="s">
        <v>3722</v>
      </c>
      <c r="C2852" s="2">
        <v>0.40416666666666667</v>
      </c>
      <c r="D2852" s="4">
        <f t="shared" si="431"/>
        <v>9.9305555555555536E-2</v>
      </c>
      <c r="E2852" s="6">
        <v>0.30486111111111114</v>
      </c>
      <c r="F2852" s="5">
        <f t="shared" si="432"/>
        <v>0.75429553264604821</v>
      </c>
      <c r="G2852" s="5">
        <v>0.73799999999999999</v>
      </c>
      <c r="H2852" s="4">
        <f>65.9/1440</f>
        <v>4.5763888888888896E-2</v>
      </c>
      <c r="I2852" s="5">
        <v>0.111</v>
      </c>
      <c r="J2852" s="11" t="s">
        <v>3723</v>
      </c>
    </row>
    <row r="2853" spans="1:10" ht="13.15" customHeight="1" x14ac:dyDescent="0.25">
      <c r="A2853">
        <f t="shared" si="433"/>
        <v>2848</v>
      </c>
      <c r="B2853" t="s">
        <v>3725</v>
      </c>
      <c r="C2853" s="2">
        <v>0.4152777777777778</v>
      </c>
      <c r="D2853" s="4">
        <f t="shared" ref="D2853:D2862" si="434">C2853-E2853</f>
        <v>9.9305555555555591E-2</v>
      </c>
      <c r="E2853" s="6">
        <v>0.31597222222222221</v>
      </c>
      <c r="F2853" s="5">
        <f t="shared" ref="F2853:F2862" si="435">E2853/C2853</f>
        <v>0.76086956521739124</v>
      </c>
      <c r="G2853" s="5">
        <v>0.77600000000000002</v>
      </c>
      <c r="H2853" s="4">
        <f>61.4/1440</f>
        <v>4.2638888888888886E-2</v>
      </c>
      <c r="I2853" s="5">
        <v>0.104</v>
      </c>
      <c r="J2853" s="11" t="s">
        <v>3736</v>
      </c>
    </row>
    <row r="2854" spans="1:10" ht="13.15" customHeight="1" x14ac:dyDescent="0.25">
      <c r="A2854">
        <f t="shared" si="433"/>
        <v>2849</v>
      </c>
      <c r="B2854" t="s">
        <v>3726</v>
      </c>
      <c r="C2854" s="2">
        <v>0.36458333333333331</v>
      </c>
      <c r="D2854" s="4">
        <f t="shared" si="434"/>
        <v>0.12152777777777776</v>
      </c>
      <c r="E2854" s="6">
        <v>0.24305555555555555</v>
      </c>
      <c r="F2854" s="5">
        <f t="shared" si="435"/>
        <v>0.66666666666666674</v>
      </c>
      <c r="G2854" s="5">
        <v>0.76700000000000002</v>
      </c>
      <c r="H2854" s="4">
        <f>59.4/1440</f>
        <v>4.1250000000000002E-2</v>
      </c>
      <c r="I2854" s="5">
        <v>0.13</v>
      </c>
      <c r="J2854" s="11" t="s">
        <v>3736</v>
      </c>
    </row>
    <row r="2855" spans="1:10" ht="13.15" customHeight="1" x14ac:dyDescent="0.25">
      <c r="A2855">
        <f t="shared" si="433"/>
        <v>2850</v>
      </c>
      <c r="B2855" t="s">
        <v>3727</v>
      </c>
      <c r="C2855" s="2">
        <v>0.3659722222222222</v>
      </c>
      <c r="D2855" s="4">
        <f t="shared" si="434"/>
        <v>0.12430555555555553</v>
      </c>
      <c r="E2855" s="6">
        <v>0.24166666666666667</v>
      </c>
      <c r="F2855" s="5">
        <f t="shared" si="435"/>
        <v>0.66034155597722966</v>
      </c>
      <c r="G2855" s="5">
        <v>0.76100000000000001</v>
      </c>
      <c r="H2855" s="4">
        <f>56.9/1440</f>
        <v>3.951388888888889E-2</v>
      </c>
      <c r="I2855" s="5">
        <v>0.124</v>
      </c>
      <c r="J2855" s="11" t="s">
        <v>3736</v>
      </c>
    </row>
    <row r="2856" spans="1:10" ht="13.15" customHeight="1" x14ac:dyDescent="0.25">
      <c r="A2856">
        <f t="shared" si="433"/>
        <v>2851</v>
      </c>
      <c r="B2856" t="s">
        <v>3728</v>
      </c>
      <c r="C2856" s="2">
        <v>0.34305555555555556</v>
      </c>
      <c r="D2856" s="4">
        <f t="shared" si="434"/>
        <v>0.10069444444444445</v>
      </c>
      <c r="E2856" s="6">
        <v>0.24236111111111111</v>
      </c>
      <c r="F2856" s="5">
        <f t="shared" si="435"/>
        <v>0.70647773279352222</v>
      </c>
      <c r="G2856" s="5">
        <v>0.77300000000000002</v>
      </c>
      <c r="H2856" s="4">
        <f>61.8/1440</f>
        <v>4.2916666666666665E-2</v>
      </c>
      <c r="I2856" s="5">
        <v>0.13700000000000001</v>
      </c>
      <c r="J2856" s="11" t="s">
        <v>3736</v>
      </c>
    </row>
    <row r="2857" spans="1:10" ht="13.15" customHeight="1" x14ac:dyDescent="0.25">
      <c r="A2857">
        <f t="shared" si="433"/>
        <v>2852</v>
      </c>
      <c r="B2857" t="s">
        <v>3729</v>
      </c>
      <c r="C2857" s="2">
        <v>0.40625</v>
      </c>
      <c r="D2857" s="4">
        <f t="shared" si="434"/>
        <v>0.10833333333333334</v>
      </c>
      <c r="E2857" s="6">
        <v>0.29791666666666666</v>
      </c>
      <c r="F2857" s="5">
        <f t="shared" si="435"/>
        <v>0.73333333333333328</v>
      </c>
      <c r="G2857" s="5">
        <v>0.81299999999999994</v>
      </c>
      <c r="H2857" s="4">
        <f>66.4/1440</f>
        <v>4.6111111111111117E-2</v>
      </c>
      <c r="I2857" s="5">
        <v>0.126</v>
      </c>
      <c r="J2857" s="11" t="s">
        <v>3736</v>
      </c>
    </row>
    <row r="2858" spans="1:10" ht="13.15" customHeight="1" x14ac:dyDescent="0.25">
      <c r="A2858">
        <f t="shared" si="433"/>
        <v>2853</v>
      </c>
      <c r="B2858" t="s">
        <v>3730</v>
      </c>
      <c r="C2858" s="2">
        <v>0.38680555555555557</v>
      </c>
      <c r="D2858" s="4">
        <f t="shared" si="434"/>
        <v>9.8611111111111149E-2</v>
      </c>
      <c r="E2858" s="6">
        <v>0.28819444444444442</v>
      </c>
      <c r="F2858" s="5">
        <f t="shared" si="435"/>
        <v>0.74506283662477546</v>
      </c>
      <c r="G2858" s="5">
        <v>0.70799999999999996</v>
      </c>
      <c r="H2858" s="4">
        <f>57.3/1440</f>
        <v>3.9791666666666663E-2</v>
      </c>
      <c r="I2858" s="5">
        <v>9.8000000000000004E-2</v>
      </c>
      <c r="J2858" s="11" t="s">
        <v>3735</v>
      </c>
    </row>
    <row r="2859" spans="1:10" ht="13.15" customHeight="1" x14ac:dyDescent="0.25">
      <c r="A2859">
        <f t="shared" si="433"/>
        <v>2854</v>
      </c>
      <c r="B2859" t="s">
        <v>3731</v>
      </c>
      <c r="C2859" s="2">
        <v>0.375</v>
      </c>
      <c r="D2859" s="4">
        <f t="shared" si="434"/>
        <v>0.12916666666666668</v>
      </c>
      <c r="E2859" s="6">
        <v>0.24583333333333332</v>
      </c>
      <c r="F2859" s="5">
        <f t="shared" si="435"/>
        <v>0.65555555555555556</v>
      </c>
      <c r="G2859" s="5">
        <v>0.68700000000000006</v>
      </c>
      <c r="H2859" s="4">
        <f>48.7/1440</f>
        <v>3.3819444444444444E-2</v>
      </c>
      <c r="I2859" s="5">
        <v>9.4E-2</v>
      </c>
      <c r="J2859" s="11" t="s">
        <v>3735</v>
      </c>
    </row>
    <row r="2860" spans="1:10" ht="13.15" customHeight="1" x14ac:dyDescent="0.25">
      <c r="A2860">
        <f t="shared" si="433"/>
        <v>2855</v>
      </c>
      <c r="B2860" t="s">
        <v>3732</v>
      </c>
      <c r="C2860" s="2">
        <v>0.37291666666666667</v>
      </c>
      <c r="D2860" s="4">
        <f t="shared" si="434"/>
        <v>0.12430555555555556</v>
      </c>
      <c r="E2860" s="6">
        <v>0.24861111111111112</v>
      </c>
      <c r="F2860" s="5">
        <f t="shared" si="435"/>
        <v>0.66666666666666663</v>
      </c>
      <c r="G2860" s="5">
        <v>0.67600000000000005</v>
      </c>
      <c r="H2860" s="4">
        <f>52/1440</f>
        <v>3.6111111111111108E-2</v>
      </c>
      <c r="I2860" s="5">
        <v>9.8000000000000004E-2</v>
      </c>
      <c r="J2860" s="11" t="s">
        <v>3735</v>
      </c>
    </row>
    <row r="2861" spans="1:10" ht="13.15" customHeight="1" x14ac:dyDescent="0.25">
      <c r="A2861">
        <f t="shared" si="433"/>
        <v>2856</v>
      </c>
      <c r="B2861" t="s">
        <v>3733</v>
      </c>
      <c r="C2861" s="2">
        <v>0.36736111111111114</v>
      </c>
      <c r="D2861" s="4">
        <f t="shared" si="434"/>
        <v>0.1229166666666667</v>
      </c>
      <c r="E2861" s="6">
        <v>0.24444444444444444</v>
      </c>
      <c r="F2861" s="5">
        <f t="shared" si="435"/>
        <v>0.66540642722117194</v>
      </c>
      <c r="G2861" s="5">
        <v>0.69799999999999995</v>
      </c>
      <c r="H2861" s="4">
        <f>45.7/1440</f>
        <v>3.1736111111111111E-2</v>
      </c>
      <c r="I2861" s="5">
        <v>9.0999999999999998E-2</v>
      </c>
      <c r="J2861" s="11" t="s">
        <v>3735</v>
      </c>
    </row>
    <row r="2862" spans="1:10" ht="13.15" customHeight="1" x14ac:dyDescent="0.25">
      <c r="A2862">
        <f t="shared" si="433"/>
        <v>2857</v>
      </c>
      <c r="B2862" t="s">
        <v>3734</v>
      </c>
      <c r="C2862" s="2">
        <v>0.40138888888888891</v>
      </c>
      <c r="D2862" s="4">
        <f t="shared" si="434"/>
        <v>0.11736111111111114</v>
      </c>
      <c r="E2862" s="6">
        <v>0.28402777777777777</v>
      </c>
      <c r="F2862" s="5">
        <f t="shared" si="435"/>
        <v>0.70761245674740481</v>
      </c>
      <c r="G2862" s="5">
        <v>0.752</v>
      </c>
      <c r="H2862" s="4">
        <f>58.4/1440</f>
        <v>4.0555555555555553E-2</v>
      </c>
      <c r="I2862" s="5">
        <v>0.107</v>
      </c>
      <c r="J2862" s="11" t="s">
        <v>3735</v>
      </c>
    </row>
    <row r="2863" spans="1:10" ht="13.15" customHeight="1" x14ac:dyDescent="0.25">
      <c r="A2863">
        <f t="shared" si="433"/>
        <v>2858</v>
      </c>
      <c r="B2863" t="s">
        <v>3737</v>
      </c>
      <c r="C2863" s="2">
        <v>0.47291666666666665</v>
      </c>
      <c r="D2863" s="4">
        <f t="shared" ref="D2863:D2873" si="436">C2863-E2863</f>
        <v>0.1111111111111111</v>
      </c>
      <c r="E2863" s="6">
        <v>0.36180555555555555</v>
      </c>
      <c r="F2863" s="5">
        <f t="shared" ref="F2863:F2872" si="437">E2863/C2863</f>
        <v>0.76505139500734209</v>
      </c>
      <c r="G2863" s="5">
        <v>0.85099999999999998</v>
      </c>
      <c r="H2863" s="4">
        <f>66.8/1440</f>
        <v>4.6388888888888889E-2</v>
      </c>
      <c r="I2863" s="5">
        <v>0.109</v>
      </c>
      <c r="J2863" s="11" t="s">
        <v>3748</v>
      </c>
    </row>
    <row r="2864" spans="1:10" ht="13.15" customHeight="1" x14ac:dyDescent="0.25">
      <c r="A2864">
        <f t="shared" si="433"/>
        <v>2859</v>
      </c>
      <c r="B2864" t="s">
        <v>3738</v>
      </c>
      <c r="C2864" s="2">
        <v>0.45763888888888887</v>
      </c>
      <c r="D2864" s="4">
        <f t="shared" si="436"/>
        <v>0.12013888888888885</v>
      </c>
      <c r="E2864" s="6">
        <v>0.33750000000000002</v>
      </c>
      <c r="F2864" s="5">
        <f t="shared" si="437"/>
        <v>0.73748103186646441</v>
      </c>
      <c r="G2864" s="5">
        <v>0.84099999999999997</v>
      </c>
      <c r="H2864" s="4">
        <f>62.4/1440</f>
        <v>4.3333333333333335E-2</v>
      </c>
      <c r="I2864" s="5">
        <v>0.108</v>
      </c>
      <c r="J2864" s="11" t="s">
        <v>3748</v>
      </c>
    </row>
    <row r="2865" spans="1:10" ht="13.15" customHeight="1" x14ac:dyDescent="0.25">
      <c r="A2865">
        <f t="shared" si="433"/>
        <v>2860</v>
      </c>
      <c r="B2865" t="s">
        <v>3739</v>
      </c>
      <c r="C2865" s="2">
        <v>0.44097222222222221</v>
      </c>
      <c r="D2865" s="4">
        <f t="shared" si="436"/>
        <v>0.11041666666666666</v>
      </c>
      <c r="E2865" s="6">
        <v>0.33055555555555555</v>
      </c>
      <c r="F2865" s="5">
        <f t="shared" si="437"/>
        <v>0.74960629921259847</v>
      </c>
      <c r="G2865" s="5">
        <v>0.79500000000000004</v>
      </c>
      <c r="H2865" s="4">
        <f>63.9/1440</f>
        <v>4.4374999999999998E-2</v>
      </c>
      <c r="I2865" s="5">
        <v>0.107</v>
      </c>
      <c r="J2865" s="11" t="s">
        <v>3748</v>
      </c>
    </row>
    <row r="2866" spans="1:10" ht="13.15" customHeight="1" x14ac:dyDescent="0.25">
      <c r="A2866">
        <f t="shared" si="433"/>
        <v>2861</v>
      </c>
      <c r="B2866" t="s">
        <v>3740</v>
      </c>
      <c r="C2866" s="2">
        <v>0.56874999999999998</v>
      </c>
      <c r="D2866" s="4">
        <f t="shared" si="436"/>
        <v>0.12708333333333333</v>
      </c>
      <c r="E2866" s="6">
        <v>0.44166666666666665</v>
      </c>
      <c r="F2866" s="5">
        <f t="shared" si="437"/>
        <v>0.77655677655677657</v>
      </c>
      <c r="G2866" s="5">
        <v>0.89600000000000002</v>
      </c>
      <c r="H2866" s="4">
        <f>75.2/1440</f>
        <v>5.2222222222222225E-2</v>
      </c>
      <c r="I2866" s="5">
        <v>0.106</v>
      </c>
      <c r="J2866" s="11" t="s">
        <v>3748</v>
      </c>
    </row>
    <row r="2867" spans="1:10" ht="13.15" customHeight="1" x14ac:dyDescent="0.25">
      <c r="A2867">
        <f t="shared" si="433"/>
        <v>2862</v>
      </c>
      <c r="B2867" t="s">
        <v>3741</v>
      </c>
      <c r="C2867" s="2">
        <v>0.49375000000000002</v>
      </c>
      <c r="D2867" s="4">
        <f t="shared" si="436"/>
        <v>0.1479166666666667</v>
      </c>
      <c r="E2867" s="6">
        <v>0.34583333333333333</v>
      </c>
      <c r="F2867" s="5">
        <f t="shared" si="437"/>
        <v>0.70042194092827004</v>
      </c>
      <c r="G2867" s="5">
        <v>0.78400000000000003</v>
      </c>
      <c r="H2867" s="4">
        <f>69.6/1440</f>
        <v>4.8333333333333332E-2</v>
      </c>
      <c r="I2867" s="5">
        <v>0.109</v>
      </c>
      <c r="J2867" s="11" t="s">
        <v>3748</v>
      </c>
    </row>
    <row r="2868" spans="1:10" ht="13.15" customHeight="1" x14ac:dyDescent="0.25">
      <c r="A2868">
        <f t="shared" si="433"/>
        <v>2863</v>
      </c>
      <c r="B2868" t="s">
        <v>3742</v>
      </c>
      <c r="C2868" s="2">
        <v>0.48125000000000001</v>
      </c>
      <c r="D2868" s="4">
        <f t="shared" si="436"/>
        <v>0.13055555555555559</v>
      </c>
      <c r="E2868" s="6">
        <v>0.35069444444444442</v>
      </c>
      <c r="F2868" s="5">
        <f t="shared" si="437"/>
        <v>0.72871572871572865</v>
      </c>
      <c r="G2868" s="5">
        <v>0.78600000000000003</v>
      </c>
      <c r="H2868" s="4">
        <f>53.3/1440</f>
        <v>3.7013888888888888E-2</v>
      </c>
      <c r="I2868" s="5">
        <v>8.3000000000000004E-2</v>
      </c>
      <c r="J2868" s="11" t="s">
        <v>3747</v>
      </c>
    </row>
    <row r="2869" spans="1:10" ht="13.15" customHeight="1" x14ac:dyDescent="0.25">
      <c r="A2869">
        <f t="shared" si="433"/>
        <v>2864</v>
      </c>
      <c r="B2869" t="s">
        <v>3743</v>
      </c>
      <c r="C2869" s="2">
        <v>0.46458333333333335</v>
      </c>
      <c r="D2869" s="4">
        <f t="shared" si="436"/>
        <v>0.14097222222222222</v>
      </c>
      <c r="E2869" s="6">
        <v>0.32361111111111113</v>
      </c>
      <c r="F2869" s="5">
        <f t="shared" si="437"/>
        <v>0.69656203288490282</v>
      </c>
      <c r="G2869" s="5">
        <v>0.76600000000000001</v>
      </c>
      <c r="H2869" s="4">
        <f>58.9/1440</f>
        <v>4.0902777777777774E-2</v>
      </c>
      <c r="I2869" s="5">
        <v>9.7000000000000003E-2</v>
      </c>
      <c r="J2869" s="11" t="s">
        <v>3747</v>
      </c>
    </row>
    <row r="2870" spans="1:10" ht="13.15" customHeight="1" x14ac:dyDescent="0.25">
      <c r="A2870">
        <f t="shared" si="433"/>
        <v>2865</v>
      </c>
      <c r="B2870" t="s">
        <v>3744</v>
      </c>
      <c r="C2870" s="2">
        <v>0.51041666666666663</v>
      </c>
      <c r="D2870" s="4">
        <f t="shared" si="436"/>
        <v>0.1333333333333333</v>
      </c>
      <c r="E2870" s="6">
        <v>0.37708333333333333</v>
      </c>
      <c r="F2870" s="5">
        <f t="shared" si="437"/>
        <v>0.73877551020408172</v>
      </c>
      <c r="G2870" s="5">
        <v>0.86799999999999999</v>
      </c>
      <c r="H2870" s="4">
        <f>73.2/1440</f>
        <v>5.0833333333333335E-2</v>
      </c>
      <c r="I2870" s="5">
        <v>0.11700000000000001</v>
      </c>
      <c r="J2870" s="11" t="s">
        <v>3747</v>
      </c>
    </row>
    <row r="2871" spans="1:10" ht="13.15" customHeight="1" x14ac:dyDescent="0.25">
      <c r="A2871">
        <f t="shared" si="433"/>
        <v>2866</v>
      </c>
      <c r="B2871" t="s">
        <v>3745</v>
      </c>
      <c r="C2871" s="2">
        <v>0.49305555555555558</v>
      </c>
      <c r="D2871" s="4">
        <f t="shared" si="436"/>
        <v>0.15902777777777782</v>
      </c>
      <c r="E2871" s="6">
        <v>0.33402777777777776</v>
      </c>
      <c r="F2871" s="5">
        <f t="shared" si="437"/>
        <v>0.67746478873239424</v>
      </c>
      <c r="G2871" s="5">
        <v>0.79800000000000004</v>
      </c>
      <c r="H2871" s="4">
        <f>57.2/1440</f>
        <v>3.9722222222222221E-2</v>
      </c>
      <c r="I2871" s="5">
        <v>9.5000000000000001E-2</v>
      </c>
      <c r="J2871" s="11" t="s">
        <v>3747</v>
      </c>
    </row>
    <row r="2872" spans="1:10" ht="13.15" customHeight="1" x14ac:dyDescent="0.25">
      <c r="A2872">
        <f t="shared" si="433"/>
        <v>2867</v>
      </c>
      <c r="B2872" t="s">
        <v>3746</v>
      </c>
      <c r="C2872" s="2">
        <v>0.45902777777777776</v>
      </c>
      <c r="D2872" s="4">
        <f t="shared" si="436"/>
        <v>0.10972222222222222</v>
      </c>
      <c r="E2872" s="6">
        <v>0.34930555555555554</v>
      </c>
      <c r="F2872" s="5">
        <f t="shared" si="437"/>
        <v>0.76096822995461422</v>
      </c>
      <c r="G2872" s="5">
        <v>0.82799999999999996</v>
      </c>
      <c r="H2872" s="4">
        <f>60.1/1440</f>
        <v>4.1736111111111113E-2</v>
      </c>
      <c r="I2872" s="5">
        <v>9.9000000000000005E-2</v>
      </c>
      <c r="J2872" s="11" t="s">
        <v>3747</v>
      </c>
    </row>
    <row r="2873" spans="1:10" ht="13.15" customHeight="1" x14ac:dyDescent="0.25">
      <c r="A2873">
        <f t="shared" si="433"/>
        <v>2868</v>
      </c>
      <c r="B2873" t="s">
        <v>3749</v>
      </c>
      <c r="C2873" s="2">
        <v>0.43263888888888891</v>
      </c>
      <c r="D2873" s="4">
        <f t="shared" si="436"/>
        <v>0.1076388888888889</v>
      </c>
      <c r="E2873" s="6">
        <v>0.32500000000000001</v>
      </c>
      <c r="F2873" s="5">
        <f t="shared" ref="F2873:F2882" si="438">E2873/C2873</f>
        <v>0.7512038523274478</v>
      </c>
      <c r="G2873" s="5">
        <v>1</v>
      </c>
      <c r="H2873" s="4">
        <f>73.5/1440</f>
        <v>5.1041666666666666E-2</v>
      </c>
      <c r="I2873" s="5">
        <v>0.157</v>
      </c>
      <c r="J2873" s="11" t="s">
        <v>3760</v>
      </c>
    </row>
    <row r="2874" spans="1:10" ht="13.15" customHeight="1" x14ac:dyDescent="0.25">
      <c r="A2874">
        <f t="shared" si="433"/>
        <v>2869</v>
      </c>
      <c r="B2874" t="s">
        <v>3750</v>
      </c>
      <c r="C2874" s="2">
        <v>0.49930555555555556</v>
      </c>
      <c r="D2874" s="4">
        <f t="shared" ref="D2874:D2882" si="439">C2874-E2874</f>
        <v>0.10833333333333334</v>
      </c>
      <c r="E2874" s="6">
        <v>0.39097222222222222</v>
      </c>
      <c r="F2874" s="5">
        <f t="shared" si="438"/>
        <v>0.78303198887343528</v>
      </c>
      <c r="G2874" s="5">
        <v>1</v>
      </c>
      <c r="H2874" s="4">
        <f>91.6/1440</f>
        <v>6.3611111111111104E-2</v>
      </c>
      <c r="I2874" s="5">
        <v>0.16200000000000001</v>
      </c>
      <c r="J2874" s="11" t="s">
        <v>3760</v>
      </c>
    </row>
    <row r="2875" spans="1:10" ht="13.15" customHeight="1" x14ac:dyDescent="0.25">
      <c r="A2875">
        <f t="shared" si="433"/>
        <v>2870</v>
      </c>
      <c r="B2875" t="s">
        <v>3751</v>
      </c>
      <c r="C2875" s="2">
        <v>0.40208333333333335</v>
      </c>
      <c r="D2875" s="4">
        <f t="shared" si="439"/>
        <v>0.10347222222222224</v>
      </c>
      <c r="E2875" s="6">
        <v>0.2986111111111111</v>
      </c>
      <c r="F2875" s="5">
        <f t="shared" si="438"/>
        <v>0.74265975820379959</v>
      </c>
      <c r="G2875" s="5">
        <v>1</v>
      </c>
      <c r="H2875" s="4">
        <f>75.1/1440</f>
        <v>5.2152777777777777E-2</v>
      </c>
      <c r="I2875" s="5">
        <v>0.17499999999999999</v>
      </c>
      <c r="J2875" s="11" t="s">
        <v>3760</v>
      </c>
    </row>
    <row r="2876" spans="1:10" ht="13.15" customHeight="1" x14ac:dyDescent="0.25">
      <c r="A2876">
        <f t="shared" si="433"/>
        <v>2871</v>
      </c>
      <c r="B2876" t="s">
        <v>3752</v>
      </c>
      <c r="C2876" s="2">
        <v>0.45</v>
      </c>
      <c r="D2876" s="4">
        <f t="shared" si="439"/>
        <v>0.12361111111111112</v>
      </c>
      <c r="E2876" s="6">
        <v>0.3263888888888889</v>
      </c>
      <c r="F2876" s="5">
        <f t="shared" si="438"/>
        <v>0.72530864197530864</v>
      </c>
      <c r="G2876" s="5">
        <v>1</v>
      </c>
      <c r="H2876" s="4">
        <f>73.2/1440</f>
        <v>5.0833333333333335E-2</v>
      </c>
      <c r="I2876" s="5">
        <v>0.154</v>
      </c>
      <c r="J2876" s="11" t="s">
        <v>3760</v>
      </c>
    </row>
    <row r="2877" spans="1:10" ht="13.15" customHeight="1" x14ac:dyDescent="0.25">
      <c r="A2877">
        <f t="shared" si="433"/>
        <v>2872</v>
      </c>
      <c r="B2877" t="s">
        <v>3753</v>
      </c>
      <c r="C2877" s="2">
        <v>0.43263888888888891</v>
      </c>
      <c r="D2877" s="4">
        <f t="shared" si="439"/>
        <v>0.11250000000000004</v>
      </c>
      <c r="E2877" s="6">
        <v>0.32013888888888886</v>
      </c>
      <c r="F2877" s="5">
        <f t="shared" si="438"/>
        <v>0.73996789727126799</v>
      </c>
      <c r="G2877" s="5">
        <v>1</v>
      </c>
      <c r="H2877" s="4">
        <f>72.6/1440</f>
        <v>5.0416666666666665E-2</v>
      </c>
      <c r="I2877" s="5">
        <v>0.157</v>
      </c>
      <c r="J2877" s="11" t="s">
        <v>3760</v>
      </c>
    </row>
    <row r="2878" spans="1:10" ht="13.15" customHeight="1" x14ac:dyDescent="0.25">
      <c r="A2878">
        <f t="shared" si="433"/>
        <v>2873</v>
      </c>
      <c r="B2878" t="s">
        <v>3754</v>
      </c>
      <c r="C2878" s="2">
        <v>0.44374999999999998</v>
      </c>
      <c r="D2878" s="4">
        <f t="shared" si="439"/>
        <v>0.10416666666666663</v>
      </c>
      <c r="E2878" s="6">
        <v>0.33958333333333335</v>
      </c>
      <c r="F2878" s="5">
        <f t="shared" si="438"/>
        <v>0.76525821596244137</v>
      </c>
      <c r="G2878" s="5">
        <v>1</v>
      </c>
      <c r="H2878" s="4">
        <f>70.1/1440</f>
        <v>4.8680555555555553E-2</v>
      </c>
      <c r="I2878" s="5">
        <v>0.14299999999999999</v>
      </c>
      <c r="J2878" s="11" t="s">
        <v>3759</v>
      </c>
    </row>
    <row r="2879" spans="1:10" ht="13.15" customHeight="1" x14ac:dyDescent="0.25">
      <c r="A2879">
        <f t="shared" si="433"/>
        <v>2874</v>
      </c>
      <c r="B2879" t="s">
        <v>3755</v>
      </c>
      <c r="C2879" s="2">
        <v>0.41666666666666669</v>
      </c>
      <c r="D2879" s="4">
        <f t="shared" si="439"/>
        <v>0.10694444444444445</v>
      </c>
      <c r="E2879" s="6">
        <v>0.30972222222222223</v>
      </c>
      <c r="F2879" s="5">
        <f t="shared" si="438"/>
        <v>0.74333333333333329</v>
      </c>
      <c r="G2879" s="5">
        <v>1</v>
      </c>
      <c r="H2879" s="4">
        <f>71.9/1440</f>
        <v>4.9930555555555561E-2</v>
      </c>
      <c r="I2879" s="5">
        <v>0.161</v>
      </c>
      <c r="J2879" s="11" t="s">
        <v>3759</v>
      </c>
    </row>
    <row r="2880" spans="1:10" ht="13.15" customHeight="1" x14ac:dyDescent="0.25">
      <c r="A2880">
        <f t="shared" si="433"/>
        <v>2875</v>
      </c>
      <c r="B2880" t="s">
        <v>3756</v>
      </c>
      <c r="C2880" s="2">
        <v>0.4513888888888889</v>
      </c>
      <c r="D2880" s="4">
        <f t="shared" si="439"/>
        <v>0.10625000000000001</v>
      </c>
      <c r="E2880" s="6">
        <v>0.34513888888888888</v>
      </c>
      <c r="F2880" s="5">
        <f t="shared" si="438"/>
        <v>0.76461538461538459</v>
      </c>
      <c r="G2880" s="5">
        <v>1</v>
      </c>
      <c r="H2880" s="4">
        <f>76/1440</f>
        <v>5.2777777777777778E-2</v>
      </c>
      <c r="I2880" s="5">
        <v>0.153</v>
      </c>
      <c r="J2880" s="11" t="s">
        <v>3759</v>
      </c>
    </row>
    <row r="2881" spans="1:10" ht="13.15" customHeight="1" x14ac:dyDescent="0.25">
      <c r="A2881">
        <f t="shared" si="433"/>
        <v>2876</v>
      </c>
      <c r="B2881" t="s">
        <v>3757</v>
      </c>
      <c r="C2881" s="2">
        <v>0.45763888888888887</v>
      </c>
      <c r="D2881" s="4">
        <f t="shared" si="439"/>
        <v>0.10833333333333334</v>
      </c>
      <c r="E2881" s="6">
        <v>0.34930555555555554</v>
      </c>
      <c r="F2881" s="5">
        <f t="shared" si="438"/>
        <v>0.76327769347496199</v>
      </c>
      <c r="G2881" s="5">
        <v>1</v>
      </c>
      <c r="H2881" s="4">
        <f>79.3/1440</f>
        <v>5.5069444444444442E-2</v>
      </c>
      <c r="I2881" s="5">
        <v>0.158</v>
      </c>
      <c r="J2881" s="11" t="s">
        <v>3759</v>
      </c>
    </row>
    <row r="2882" spans="1:10" ht="13.15" customHeight="1" x14ac:dyDescent="0.25">
      <c r="A2882">
        <f t="shared" si="433"/>
        <v>2877</v>
      </c>
      <c r="B2882" t="s">
        <v>3758</v>
      </c>
      <c r="C2882" s="2">
        <v>0.46319444444444446</v>
      </c>
      <c r="D2882" s="4">
        <f t="shared" si="439"/>
        <v>0.10138888888888892</v>
      </c>
      <c r="E2882" s="6">
        <v>0.36180555555555555</v>
      </c>
      <c r="F2882" s="5">
        <f t="shared" si="438"/>
        <v>0.78110944527736126</v>
      </c>
      <c r="G2882" s="5">
        <v>1</v>
      </c>
      <c r="H2882" s="4">
        <f>87.9/1440</f>
        <v>6.1041666666666668E-2</v>
      </c>
      <c r="I2882" s="5">
        <v>0.16800000000000001</v>
      </c>
      <c r="J2882" s="11" t="s">
        <v>3759</v>
      </c>
    </row>
    <row r="2883" spans="1:10" ht="13.15" customHeight="1" x14ac:dyDescent="0.25">
      <c r="A2883">
        <f t="shared" si="433"/>
        <v>2878</v>
      </c>
      <c r="B2883" t="s">
        <v>3761</v>
      </c>
      <c r="C2883" s="2">
        <v>0.41319444444444442</v>
      </c>
      <c r="D2883" s="4">
        <f t="shared" ref="D2883:D2901" si="440">C2883-E2883</f>
        <v>8.9583333333333293E-2</v>
      </c>
      <c r="E2883" s="6">
        <v>0.32361111111111113</v>
      </c>
      <c r="F2883" s="5">
        <f t="shared" ref="F2883:F2901" si="441">E2883/C2883</f>
        <v>0.78319327731092447</v>
      </c>
      <c r="G2883" s="5">
        <v>1</v>
      </c>
      <c r="H2883" s="4">
        <f>82.6/1440</f>
        <v>5.7361111111111106E-2</v>
      </c>
      <c r="I2883" s="5">
        <v>0.17699999999999999</v>
      </c>
      <c r="J2883" s="11" t="s">
        <v>3772</v>
      </c>
    </row>
    <row r="2884" spans="1:10" ht="13.15" customHeight="1" x14ac:dyDescent="0.25">
      <c r="A2884">
        <f t="shared" si="433"/>
        <v>2879</v>
      </c>
      <c r="B2884" t="s">
        <v>3762</v>
      </c>
      <c r="C2884" s="2">
        <v>0.41666666666666669</v>
      </c>
      <c r="D2884" s="4">
        <f t="shared" si="440"/>
        <v>8.8194444444444464E-2</v>
      </c>
      <c r="E2884" s="6">
        <v>0.32847222222222222</v>
      </c>
      <c r="F2884" s="5">
        <f t="shared" si="441"/>
        <v>0.78833333333333333</v>
      </c>
      <c r="G2884" s="5">
        <v>1</v>
      </c>
      <c r="H2884" s="4">
        <f>91.4/1440</f>
        <v>6.3472222222222222E-2</v>
      </c>
      <c r="I2884" s="5">
        <v>0.193</v>
      </c>
      <c r="J2884" s="11" t="s">
        <v>3772</v>
      </c>
    </row>
    <row r="2885" spans="1:10" ht="13.15" customHeight="1" x14ac:dyDescent="0.25">
      <c r="A2885">
        <f t="shared" si="433"/>
        <v>2880</v>
      </c>
      <c r="B2885" t="s">
        <v>3763</v>
      </c>
      <c r="C2885" s="2">
        <v>0.43611111111111112</v>
      </c>
      <c r="D2885" s="4">
        <f t="shared" si="440"/>
        <v>0.10208333333333336</v>
      </c>
      <c r="E2885" s="6">
        <v>0.33402777777777776</v>
      </c>
      <c r="F2885" s="5">
        <f t="shared" si="441"/>
        <v>0.76592356687898089</v>
      </c>
      <c r="G2885" s="5">
        <v>1</v>
      </c>
      <c r="H2885" s="4">
        <f>89.1/1440</f>
        <v>6.1874999999999999E-2</v>
      </c>
      <c r="I2885" s="5">
        <v>0.185</v>
      </c>
      <c r="J2885" s="11" t="s">
        <v>3772</v>
      </c>
    </row>
    <row r="2886" spans="1:10" ht="13.15" customHeight="1" x14ac:dyDescent="0.25">
      <c r="A2886">
        <f t="shared" si="433"/>
        <v>2881</v>
      </c>
      <c r="B2886" t="s">
        <v>3764</v>
      </c>
      <c r="C2886" s="2">
        <v>0.4284722222222222</v>
      </c>
      <c r="D2886" s="4">
        <f t="shared" si="440"/>
        <v>9.7916666666666652E-2</v>
      </c>
      <c r="E2886" s="6">
        <v>0.33055555555555555</v>
      </c>
      <c r="F2886" s="5">
        <f t="shared" si="441"/>
        <v>0.77147487844408436</v>
      </c>
      <c r="G2886" s="5">
        <v>1</v>
      </c>
      <c r="H2886" s="4">
        <f>84.2/1440</f>
        <v>5.8472222222222224E-2</v>
      </c>
      <c r="I2886" s="5">
        <v>0.17699999999999999</v>
      </c>
      <c r="J2886" s="11" t="s">
        <v>3772</v>
      </c>
    </row>
    <row r="2887" spans="1:10" ht="13.15" customHeight="1" x14ac:dyDescent="0.25">
      <c r="A2887">
        <f t="shared" si="433"/>
        <v>2882</v>
      </c>
      <c r="B2887" t="s">
        <v>3765</v>
      </c>
      <c r="C2887" s="2">
        <v>0.42708333333333331</v>
      </c>
      <c r="D2887" s="4">
        <f t="shared" si="440"/>
        <v>9.5138888888888884E-2</v>
      </c>
      <c r="E2887" s="6">
        <v>0.33194444444444443</v>
      </c>
      <c r="F2887" s="5">
        <f t="shared" si="441"/>
        <v>0.77723577235772356</v>
      </c>
      <c r="G2887" s="5">
        <v>1</v>
      </c>
      <c r="H2887" s="4">
        <f>102.1/1440</f>
        <v>7.0902777777777773E-2</v>
      </c>
      <c r="I2887" s="5">
        <v>0.20699999999999999</v>
      </c>
      <c r="J2887" s="11" t="s">
        <v>3772</v>
      </c>
    </row>
    <row r="2888" spans="1:10" ht="13.15" customHeight="1" x14ac:dyDescent="0.25">
      <c r="A2888">
        <f t="shared" si="433"/>
        <v>2883</v>
      </c>
      <c r="B2888" t="s">
        <v>3766</v>
      </c>
      <c r="C2888" s="2">
        <v>0.44583333333333336</v>
      </c>
      <c r="D2888" s="4">
        <f t="shared" si="440"/>
        <v>0.10069444444444448</v>
      </c>
      <c r="E2888" s="6">
        <v>0.34513888888888888</v>
      </c>
      <c r="F2888" s="5">
        <f t="shared" si="441"/>
        <v>0.77414330218068528</v>
      </c>
      <c r="G2888" s="5">
        <v>1</v>
      </c>
      <c r="H2888" s="4">
        <f>77.4/1440</f>
        <v>5.3750000000000006E-2</v>
      </c>
      <c r="I2888" s="5">
        <v>0.156</v>
      </c>
      <c r="J2888" s="11" t="s">
        <v>3771</v>
      </c>
    </row>
    <row r="2889" spans="1:10" ht="13.15" customHeight="1" x14ac:dyDescent="0.25">
      <c r="A2889">
        <f t="shared" si="433"/>
        <v>2884</v>
      </c>
      <c r="B2889" t="s">
        <v>3767</v>
      </c>
      <c r="C2889" s="2">
        <v>0.4777777777777778</v>
      </c>
      <c r="D2889" s="4">
        <f t="shared" si="440"/>
        <v>9.7916666666666707E-2</v>
      </c>
      <c r="E2889" s="6">
        <v>0.37986111111111109</v>
      </c>
      <c r="F2889" s="5">
        <f t="shared" si="441"/>
        <v>0.79505813953488369</v>
      </c>
      <c r="G2889" s="5">
        <v>1</v>
      </c>
      <c r="H2889" s="4">
        <f>97.8/1440</f>
        <v>6.7916666666666667E-2</v>
      </c>
      <c r="I2889" s="5">
        <v>0.17899999999999999</v>
      </c>
      <c r="J2889" s="11" t="s">
        <v>3771</v>
      </c>
    </row>
    <row r="2890" spans="1:10" ht="13.15" customHeight="1" x14ac:dyDescent="0.25">
      <c r="A2890">
        <f t="shared" si="433"/>
        <v>2885</v>
      </c>
      <c r="B2890" t="s">
        <v>3768</v>
      </c>
      <c r="C2890" s="2">
        <v>0.39027777777777778</v>
      </c>
      <c r="D2890" s="4">
        <f t="shared" si="440"/>
        <v>9.6527777777777768E-2</v>
      </c>
      <c r="E2890" s="6">
        <v>0.29375000000000001</v>
      </c>
      <c r="F2890" s="5">
        <f t="shared" si="441"/>
        <v>0.75266903914590755</v>
      </c>
      <c r="G2890" s="5">
        <v>1</v>
      </c>
      <c r="H2890" s="4">
        <f>76.3/1440</f>
        <v>5.2986111111111109E-2</v>
      </c>
      <c r="I2890" s="5">
        <v>0.18</v>
      </c>
      <c r="J2890" s="11" t="s">
        <v>3771</v>
      </c>
    </row>
    <row r="2891" spans="1:10" ht="13.15" customHeight="1" x14ac:dyDescent="0.25">
      <c r="A2891">
        <f t="shared" si="433"/>
        <v>2886</v>
      </c>
      <c r="B2891" t="s">
        <v>3769</v>
      </c>
      <c r="C2891" s="2">
        <v>0.41805555555555557</v>
      </c>
      <c r="D2891" s="4">
        <f t="shared" si="440"/>
        <v>0.10347222222222224</v>
      </c>
      <c r="E2891" s="6">
        <v>0.31458333333333333</v>
      </c>
      <c r="F2891" s="5">
        <f t="shared" si="441"/>
        <v>0.75249169435215946</v>
      </c>
      <c r="G2891" s="5">
        <v>1</v>
      </c>
      <c r="H2891" s="4">
        <f>76.7/1440</f>
        <v>5.3263888888888888E-2</v>
      </c>
      <c r="I2891" s="5">
        <v>0.16900000000000001</v>
      </c>
      <c r="J2891" s="11" t="s">
        <v>3771</v>
      </c>
    </row>
    <row r="2892" spans="1:10" ht="13.15" customHeight="1" x14ac:dyDescent="0.25">
      <c r="A2892">
        <f>A2891+1</f>
        <v>2887</v>
      </c>
      <c r="B2892" t="s">
        <v>3770</v>
      </c>
      <c r="C2892" s="2">
        <v>0.47986111111111113</v>
      </c>
      <c r="D2892" s="4">
        <f t="shared" si="440"/>
        <v>0.10208333333333336</v>
      </c>
      <c r="E2892" s="6">
        <v>0.37777777777777777</v>
      </c>
      <c r="F2892" s="5">
        <f t="shared" si="441"/>
        <v>0.78726483357452959</v>
      </c>
      <c r="G2892" s="5">
        <v>1</v>
      </c>
      <c r="H2892" s="4">
        <f>94.7/1440</f>
        <v>6.5763888888888886E-2</v>
      </c>
      <c r="I2892" s="5">
        <v>0.17399999999999999</v>
      </c>
      <c r="J2892" s="11" t="s">
        <v>3771</v>
      </c>
    </row>
    <row r="2893" spans="1:10" ht="13.15" customHeight="1" x14ac:dyDescent="0.25">
      <c r="A2893">
        <f t="shared" ref="A2893:A2956" si="442">A2892+1</f>
        <v>2888</v>
      </c>
      <c r="B2893" t="s">
        <v>3773</v>
      </c>
      <c r="C2893" s="2">
        <v>0.45833333333333331</v>
      </c>
      <c r="D2893" s="4">
        <f t="shared" si="440"/>
        <v>0.11388888888888887</v>
      </c>
      <c r="E2893" s="6">
        <v>0.34444444444444444</v>
      </c>
      <c r="F2893" s="5">
        <f t="shared" si="441"/>
        <v>0.75151515151515158</v>
      </c>
      <c r="G2893" s="5">
        <v>0.77400000000000002</v>
      </c>
      <c r="H2893" s="4">
        <f>61.5/1440</f>
        <v>4.2708333333333334E-2</v>
      </c>
      <c r="I2893" s="5">
        <v>9.6000000000000002E-2</v>
      </c>
      <c r="J2893" s="11" t="s">
        <v>3783</v>
      </c>
    </row>
    <row r="2894" spans="1:10" ht="13.15" customHeight="1" x14ac:dyDescent="0.25">
      <c r="A2894">
        <f t="shared" si="442"/>
        <v>2889</v>
      </c>
      <c r="B2894" t="s">
        <v>3774</v>
      </c>
      <c r="C2894" s="2">
        <v>0.47986111111111113</v>
      </c>
      <c r="D2894" s="4">
        <f t="shared" si="440"/>
        <v>0.12083333333333335</v>
      </c>
      <c r="E2894" s="6">
        <v>0.35902777777777778</v>
      </c>
      <c r="F2894" s="5">
        <f t="shared" si="441"/>
        <v>0.748191027496382</v>
      </c>
      <c r="G2894" s="5">
        <v>0.80800000000000005</v>
      </c>
      <c r="H2894" s="4">
        <f>70.1/1440</f>
        <v>4.8680555555555553E-2</v>
      </c>
      <c r="I2894" s="5">
        <v>0.11</v>
      </c>
      <c r="J2894" s="11" t="s">
        <v>3783</v>
      </c>
    </row>
    <row r="2895" spans="1:10" ht="13.15" customHeight="1" x14ac:dyDescent="0.25">
      <c r="A2895">
        <f t="shared" si="442"/>
        <v>2890</v>
      </c>
      <c r="B2895" t="s">
        <v>3775</v>
      </c>
      <c r="C2895" s="2">
        <v>0.41458333333333336</v>
      </c>
      <c r="D2895" s="4">
        <f t="shared" si="440"/>
        <v>0.11388888888888893</v>
      </c>
      <c r="E2895" s="6">
        <v>0.30069444444444443</v>
      </c>
      <c r="F2895" s="5">
        <f t="shared" si="441"/>
        <v>0.72529313232830817</v>
      </c>
      <c r="G2895" s="5">
        <v>0.73799999999999999</v>
      </c>
      <c r="H2895" s="4">
        <f>49.5/1440</f>
        <v>3.4375000000000003E-2</v>
      </c>
      <c r="I2895" s="5">
        <v>8.4000000000000005E-2</v>
      </c>
      <c r="J2895" s="11" t="s">
        <v>3783</v>
      </c>
    </row>
    <row r="2896" spans="1:10" ht="13.15" customHeight="1" x14ac:dyDescent="0.25">
      <c r="A2896">
        <f t="shared" si="442"/>
        <v>2891</v>
      </c>
      <c r="B2896" t="s">
        <v>3776</v>
      </c>
      <c r="C2896" s="2">
        <v>0.38472222222222224</v>
      </c>
      <c r="D2896" s="4">
        <f t="shared" si="440"/>
        <v>0.12291666666666667</v>
      </c>
      <c r="E2896" s="6">
        <v>0.26180555555555557</v>
      </c>
      <c r="F2896" s="5">
        <f t="shared" si="441"/>
        <v>0.68050541516245489</v>
      </c>
      <c r="G2896" s="5">
        <v>0.67500000000000004</v>
      </c>
      <c r="H2896" s="4">
        <f>59.7/1440</f>
        <v>4.1458333333333333E-2</v>
      </c>
      <c r="I2896" s="5">
        <v>0.107</v>
      </c>
      <c r="J2896" s="11" t="s">
        <v>3783</v>
      </c>
    </row>
    <row r="2897" spans="1:10" ht="13.15" customHeight="1" x14ac:dyDescent="0.25">
      <c r="A2897">
        <f t="shared" si="442"/>
        <v>2892</v>
      </c>
      <c r="B2897" t="s">
        <v>3777</v>
      </c>
      <c r="C2897" s="2">
        <v>0.38472222222222224</v>
      </c>
      <c r="D2897" s="4">
        <f t="shared" si="440"/>
        <v>8.4027777777777812E-2</v>
      </c>
      <c r="E2897" s="6">
        <v>0.30069444444444443</v>
      </c>
      <c r="F2897" s="5">
        <f t="shared" si="441"/>
        <v>0.7815884476534295</v>
      </c>
      <c r="G2897" s="5">
        <v>0.746</v>
      </c>
      <c r="H2897" s="4">
        <f>61.5/1440</f>
        <v>4.2708333333333334E-2</v>
      </c>
      <c r="I2897" s="5">
        <v>0.106</v>
      </c>
      <c r="J2897" s="11" t="s">
        <v>3783</v>
      </c>
    </row>
    <row r="2898" spans="1:10" ht="13.15" customHeight="1" x14ac:dyDescent="0.25">
      <c r="A2898">
        <f t="shared" si="442"/>
        <v>2893</v>
      </c>
      <c r="B2898" t="s">
        <v>3778</v>
      </c>
      <c r="C2898" s="2">
        <v>0.51597222222222228</v>
      </c>
      <c r="D2898" s="4">
        <f t="shared" si="440"/>
        <v>0.13819444444444451</v>
      </c>
      <c r="E2898" s="6">
        <v>0.37777777777777777</v>
      </c>
      <c r="F2898" s="5">
        <f t="shared" si="441"/>
        <v>0.73216689098250332</v>
      </c>
      <c r="G2898" s="5">
        <v>0.81299999999999994</v>
      </c>
      <c r="H2898" s="4">
        <f>62.1/1440</f>
        <v>4.3125000000000004E-2</v>
      </c>
      <c r="I2898" s="5">
        <v>9.2999999999999999E-2</v>
      </c>
      <c r="J2898" s="11" t="s">
        <v>3782</v>
      </c>
    </row>
    <row r="2899" spans="1:10" ht="13.15" customHeight="1" x14ac:dyDescent="0.25">
      <c r="A2899">
        <f t="shared" si="442"/>
        <v>2894</v>
      </c>
      <c r="B2899" t="s">
        <v>3779</v>
      </c>
      <c r="C2899" s="2">
        <v>0.51111111111111107</v>
      </c>
      <c r="D2899" s="4">
        <f t="shared" si="440"/>
        <v>0.11527777777777776</v>
      </c>
      <c r="E2899" s="6">
        <v>0.39583333333333331</v>
      </c>
      <c r="F2899" s="5">
        <f t="shared" si="441"/>
        <v>0.77445652173913049</v>
      </c>
      <c r="G2899" s="5">
        <v>0.77400000000000002</v>
      </c>
      <c r="H2899" s="4">
        <f>61.4/1440</f>
        <v>4.2638888888888886E-2</v>
      </c>
      <c r="I2899" s="5">
        <v>8.3000000000000004E-2</v>
      </c>
      <c r="J2899" s="11" t="s">
        <v>3782</v>
      </c>
    </row>
    <row r="2900" spans="1:10" ht="13.15" customHeight="1" x14ac:dyDescent="0.25">
      <c r="A2900">
        <f t="shared" si="442"/>
        <v>2895</v>
      </c>
      <c r="B2900" t="s">
        <v>3780</v>
      </c>
      <c r="C2900" s="2">
        <v>0.53611111111111109</v>
      </c>
      <c r="D2900" s="4">
        <f t="shared" si="440"/>
        <v>0.11736111111111108</v>
      </c>
      <c r="E2900" s="6">
        <v>0.41875000000000001</v>
      </c>
      <c r="F2900" s="5">
        <f t="shared" si="441"/>
        <v>0.7810880829015544</v>
      </c>
      <c r="G2900" s="5">
        <v>0.86</v>
      </c>
      <c r="H2900" s="4">
        <f>63.7/1440</f>
        <v>4.4236111111111115E-2</v>
      </c>
      <c r="I2900" s="5">
        <v>9.0999999999999998E-2</v>
      </c>
      <c r="J2900" s="11" t="s">
        <v>3782</v>
      </c>
    </row>
    <row r="2901" spans="1:10" ht="13.15" customHeight="1" x14ac:dyDescent="0.25">
      <c r="A2901">
        <f t="shared" si="442"/>
        <v>2896</v>
      </c>
      <c r="B2901" t="s">
        <v>3781</v>
      </c>
      <c r="C2901" s="2">
        <v>0.52361111111111114</v>
      </c>
      <c r="D2901" s="4">
        <f t="shared" si="440"/>
        <v>0.125</v>
      </c>
      <c r="E2901" s="6">
        <v>0.39861111111111114</v>
      </c>
      <c r="F2901" s="5">
        <f t="shared" si="441"/>
        <v>0.76127320954907163</v>
      </c>
      <c r="G2901" s="5">
        <v>0.81100000000000005</v>
      </c>
      <c r="H2901" s="4">
        <f>59.6/1440</f>
        <v>4.1388888888888892E-2</v>
      </c>
      <c r="I2901" s="5">
        <v>8.4000000000000005E-2</v>
      </c>
      <c r="J2901" s="11" t="s">
        <v>3782</v>
      </c>
    </row>
    <row r="2902" spans="1:10" ht="13.15" customHeight="1" x14ac:dyDescent="0.25">
      <c r="A2902">
        <f t="shared" si="442"/>
        <v>2897</v>
      </c>
      <c r="B2902" t="s">
        <v>3784</v>
      </c>
      <c r="C2902" s="2">
        <v>0.47708333333333336</v>
      </c>
      <c r="D2902" s="4">
        <f t="shared" ref="D2902:D2906" si="443">C2902-E2902</f>
        <v>0.13611111111111113</v>
      </c>
      <c r="E2902" s="6">
        <v>0.34097222222222223</v>
      </c>
      <c r="F2902" s="5">
        <f t="shared" ref="F2902:F2906" si="444">E2902/C2902</f>
        <v>0.71470160116448322</v>
      </c>
      <c r="G2902" s="5">
        <v>0.72799999999999998</v>
      </c>
      <c r="H2902" s="4">
        <f>55/1440</f>
        <v>3.8194444444444448E-2</v>
      </c>
      <c r="I2902" s="5">
        <v>8.1000000000000003E-2</v>
      </c>
      <c r="J2902" s="11" t="s">
        <v>3794</v>
      </c>
    </row>
    <row r="2903" spans="1:10" ht="13.15" customHeight="1" x14ac:dyDescent="0.25">
      <c r="A2903">
        <f t="shared" si="442"/>
        <v>2898</v>
      </c>
      <c r="B2903" t="s">
        <v>3785</v>
      </c>
      <c r="C2903" s="2">
        <v>0.43888888888888888</v>
      </c>
      <c r="D2903" s="4">
        <f t="shared" si="443"/>
        <v>0.12638888888888888</v>
      </c>
      <c r="E2903" s="6">
        <v>0.3125</v>
      </c>
      <c r="F2903" s="5">
        <f t="shared" si="444"/>
        <v>0.71202531645569622</v>
      </c>
      <c r="G2903" s="5">
        <v>0.78</v>
      </c>
      <c r="H2903" s="4">
        <f>56.9/1440</f>
        <v>3.951388888888889E-2</v>
      </c>
      <c r="I2903" s="5">
        <v>9.9000000000000005E-2</v>
      </c>
      <c r="J2903" s="11" t="s">
        <v>3794</v>
      </c>
    </row>
    <row r="2904" spans="1:10" ht="13.15" customHeight="1" x14ac:dyDescent="0.25">
      <c r="A2904">
        <f t="shared" si="442"/>
        <v>2899</v>
      </c>
      <c r="B2904" t="s">
        <v>3786</v>
      </c>
      <c r="C2904" s="2">
        <v>0.48333333333333334</v>
      </c>
      <c r="D2904" s="4">
        <f t="shared" si="443"/>
        <v>0.15277777777777779</v>
      </c>
      <c r="E2904" s="6">
        <v>0.33055555555555555</v>
      </c>
      <c r="F2904" s="5">
        <f t="shared" si="444"/>
        <v>0.68390804597701149</v>
      </c>
      <c r="G2904" s="5">
        <v>0.59599999999999997</v>
      </c>
      <c r="H2904" s="4">
        <f>48.8/1440</f>
        <v>3.3888888888888885E-2</v>
      </c>
      <c r="I2904" s="5">
        <v>6.0999999999999999E-2</v>
      </c>
      <c r="J2904" s="11" t="s">
        <v>3794</v>
      </c>
    </row>
    <row r="2905" spans="1:10" ht="13.15" customHeight="1" x14ac:dyDescent="0.25">
      <c r="A2905">
        <f t="shared" si="442"/>
        <v>2900</v>
      </c>
      <c r="B2905" t="s">
        <v>3787</v>
      </c>
      <c r="C2905" s="2">
        <v>0.52361111111111114</v>
      </c>
      <c r="D2905" s="4">
        <f t="shared" si="443"/>
        <v>0.18125000000000002</v>
      </c>
      <c r="E2905" s="6">
        <v>0.34236111111111112</v>
      </c>
      <c r="F2905" s="5">
        <f t="shared" si="444"/>
        <v>0.65384615384615385</v>
      </c>
      <c r="G2905" s="5">
        <v>0.59599999999999997</v>
      </c>
      <c r="H2905" s="4">
        <f>53.4/1440</f>
        <v>3.7083333333333329E-2</v>
      </c>
      <c r="I2905" s="5">
        <v>6.5000000000000002E-2</v>
      </c>
      <c r="J2905" s="11" t="s">
        <v>3794</v>
      </c>
    </row>
    <row r="2906" spans="1:10" ht="13.15" customHeight="1" x14ac:dyDescent="0.25">
      <c r="A2906">
        <f t="shared" si="442"/>
        <v>2901</v>
      </c>
      <c r="B2906" t="s">
        <v>3788</v>
      </c>
      <c r="C2906" s="2">
        <v>0.5083333333333333</v>
      </c>
      <c r="D2906" s="4">
        <f t="shared" si="443"/>
        <v>0.11180555555555555</v>
      </c>
      <c r="E2906" s="6">
        <v>0.39652777777777776</v>
      </c>
      <c r="F2906" s="5">
        <f t="shared" si="444"/>
        <v>0.7800546448087432</v>
      </c>
      <c r="G2906" s="5">
        <v>0.77500000000000002</v>
      </c>
      <c r="H2906" s="4">
        <f>50/1440</f>
        <v>3.4722222222222224E-2</v>
      </c>
      <c r="I2906" s="5">
        <v>6.8000000000000005E-2</v>
      </c>
      <c r="J2906" s="11" t="s">
        <v>3794</v>
      </c>
    </row>
    <row r="2907" spans="1:10" ht="13.15" customHeight="1" x14ac:dyDescent="0.25">
      <c r="A2907">
        <f t="shared" si="442"/>
        <v>2902</v>
      </c>
      <c r="B2907" t="s">
        <v>3789</v>
      </c>
      <c r="C2907" s="2">
        <v>0.4826388888888889</v>
      </c>
      <c r="D2907" s="4">
        <f t="shared" ref="D2907:D2910" si="445">C2907-E2907</f>
        <v>0.16944444444444445</v>
      </c>
      <c r="E2907" s="6">
        <v>0.31319444444444444</v>
      </c>
      <c r="F2907" s="5">
        <f t="shared" ref="F2907:F2910" si="446">E2907/C2907</f>
        <v>0.6489208633093525</v>
      </c>
      <c r="G2907" s="5">
        <v>0.88400000000000001</v>
      </c>
      <c r="H2907" s="4">
        <f>58.8/1440</f>
        <v>4.0833333333333333E-2</v>
      </c>
      <c r="I2907" s="5">
        <v>0.115</v>
      </c>
      <c r="J2907" s="11" t="s">
        <v>3793</v>
      </c>
    </row>
    <row r="2908" spans="1:10" ht="13.15" customHeight="1" x14ac:dyDescent="0.25">
      <c r="A2908">
        <f t="shared" si="442"/>
        <v>2903</v>
      </c>
      <c r="B2908" t="s">
        <v>3790</v>
      </c>
      <c r="C2908" s="2">
        <v>0.57430555555555551</v>
      </c>
      <c r="D2908" s="4">
        <f t="shared" si="445"/>
        <v>0.13472222222222219</v>
      </c>
      <c r="E2908" s="6">
        <v>0.43958333333333333</v>
      </c>
      <c r="F2908" s="5">
        <f t="shared" si="446"/>
        <v>0.76541717049576785</v>
      </c>
      <c r="G2908" s="5">
        <v>0.70699999999999996</v>
      </c>
      <c r="H2908" s="4">
        <f>62/1440</f>
        <v>4.3055555555555555E-2</v>
      </c>
      <c r="I2908" s="5">
        <v>6.9000000000000006E-2</v>
      </c>
      <c r="J2908" s="11" t="s">
        <v>3793</v>
      </c>
    </row>
    <row r="2909" spans="1:10" ht="13.15" customHeight="1" x14ac:dyDescent="0.25">
      <c r="A2909">
        <f t="shared" si="442"/>
        <v>2904</v>
      </c>
      <c r="B2909" t="s">
        <v>3791</v>
      </c>
      <c r="C2909" s="2">
        <v>0.5395833333333333</v>
      </c>
      <c r="D2909" s="4">
        <f t="shared" si="445"/>
        <v>0.13402777777777775</v>
      </c>
      <c r="E2909" s="6">
        <v>0.40555555555555556</v>
      </c>
      <c r="F2909" s="5">
        <f t="shared" si="446"/>
        <v>0.75160875160875162</v>
      </c>
      <c r="G2909" s="5">
        <v>0.88400000000000001</v>
      </c>
      <c r="H2909" s="4">
        <f>64.5/1440</f>
        <v>4.4791666666666667E-2</v>
      </c>
      <c r="I2909" s="5">
        <v>9.8000000000000004E-2</v>
      </c>
      <c r="J2909" s="11" t="s">
        <v>3793</v>
      </c>
    </row>
    <row r="2910" spans="1:10" ht="13.15" customHeight="1" x14ac:dyDescent="0.25">
      <c r="A2910">
        <f t="shared" si="442"/>
        <v>2905</v>
      </c>
      <c r="B2910" t="s">
        <v>3792</v>
      </c>
      <c r="C2910" s="2">
        <v>0.47222222222222221</v>
      </c>
      <c r="D2910" s="4">
        <f t="shared" si="445"/>
        <v>0.14999999999999997</v>
      </c>
      <c r="E2910" s="6">
        <v>0.32222222222222224</v>
      </c>
      <c r="F2910" s="5">
        <f t="shared" si="446"/>
        <v>0.68235294117647061</v>
      </c>
      <c r="G2910" s="5">
        <v>0.57399999999999995</v>
      </c>
      <c r="H2910" s="4">
        <f>52.2/1440</f>
        <v>3.6250000000000004E-2</v>
      </c>
      <c r="I2910" s="5">
        <v>6.4000000000000001E-2</v>
      </c>
      <c r="J2910" s="11" t="s">
        <v>3793</v>
      </c>
    </row>
    <row r="2911" spans="1:10" ht="13.15" customHeight="1" x14ac:dyDescent="0.25">
      <c r="A2911">
        <f t="shared" si="442"/>
        <v>2906</v>
      </c>
      <c r="B2911" t="s">
        <v>3795</v>
      </c>
      <c r="C2911" s="2">
        <v>0.47013888888888888</v>
      </c>
      <c r="D2911" s="4">
        <f t="shared" ref="D2911:D2929" si="447">C2911-E2911</f>
        <v>0.11527777777777776</v>
      </c>
      <c r="E2911" s="6">
        <v>0.35486111111111113</v>
      </c>
      <c r="F2911" s="5">
        <f t="shared" ref="F2911:F2929" si="448">E2911/C2911</f>
        <v>0.75480059084194984</v>
      </c>
      <c r="G2911" s="5">
        <v>0.80500000000000005</v>
      </c>
      <c r="H2911" s="4">
        <f>55.7/1440</f>
        <v>3.8680555555555558E-2</v>
      </c>
      <c r="I2911" s="5">
        <v>8.7999999999999995E-2</v>
      </c>
      <c r="J2911" s="11" t="s">
        <v>3805</v>
      </c>
    </row>
    <row r="2912" spans="1:10" ht="13.15" customHeight="1" x14ac:dyDescent="0.25">
      <c r="A2912">
        <f t="shared" si="442"/>
        <v>2907</v>
      </c>
      <c r="B2912" t="s">
        <v>3796</v>
      </c>
      <c r="C2912" s="2">
        <v>0.46180555555555558</v>
      </c>
      <c r="D2912" s="4">
        <f t="shared" si="447"/>
        <v>0.10486111111111113</v>
      </c>
      <c r="E2912" s="6">
        <v>0.35694444444444445</v>
      </c>
      <c r="F2912" s="5">
        <f t="shared" si="448"/>
        <v>0.77293233082706769</v>
      </c>
      <c r="G2912" s="5">
        <v>0.747</v>
      </c>
      <c r="H2912" s="4">
        <f>57.3/1440</f>
        <v>3.9791666666666663E-2</v>
      </c>
      <c r="I2912" s="5">
        <v>8.3000000000000004E-2</v>
      </c>
      <c r="J2912" s="11" t="s">
        <v>3805</v>
      </c>
    </row>
    <row r="2913" spans="1:10" ht="13.15" customHeight="1" x14ac:dyDescent="0.25">
      <c r="A2913">
        <f t="shared" si="442"/>
        <v>2908</v>
      </c>
      <c r="B2913" t="s">
        <v>3797</v>
      </c>
      <c r="C2913" s="2">
        <v>0.48749999999999999</v>
      </c>
      <c r="D2913" s="4">
        <f t="shared" si="447"/>
        <v>0.12916666666666665</v>
      </c>
      <c r="E2913" s="6">
        <v>0.35833333333333334</v>
      </c>
      <c r="F2913" s="5">
        <f t="shared" si="448"/>
        <v>0.7350427350427351</v>
      </c>
      <c r="G2913" s="5">
        <v>0.76400000000000001</v>
      </c>
      <c r="H2913" s="4">
        <f>49.1/1440</f>
        <v>3.4097222222222223E-2</v>
      </c>
      <c r="I2913" s="5">
        <v>7.2999999999999995E-2</v>
      </c>
      <c r="J2913" s="11" t="s">
        <v>3805</v>
      </c>
    </row>
    <row r="2914" spans="1:10" ht="13.15" customHeight="1" x14ac:dyDescent="0.25">
      <c r="A2914">
        <f t="shared" si="442"/>
        <v>2909</v>
      </c>
      <c r="B2914" t="s">
        <v>3798</v>
      </c>
      <c r="C2914" s="2">
        <v>0.36249999999999999</v>
      </c>
      <c r="D2914" s="4">
        <f t="shared" si="447"/>
        <v>0.10486111111111113</v>
      </c>
      <c r="E2914" s="6">
        <v>0.25763888888888886</v>
      </c>
      <c r="F2914" s="5">
        <f t="shared" si="448"/>
        <v>0.71072796934865901</v>
      </c>
      <c r="G2914" s="5">
        <v>0.80900000000000005</v>
      </c>
      <c r="H2914" s="4">
        <f>55.1/1440</f>
        <v>3.8263888888888889E-2</v>
      </c>
      <c r="I2914" s="5">
        <v>0.12</v>
      </c>
      <c r="J2914" s="11" t="s">
        <v>3805</v>
      </c>
    </row>
    <row r="2915" spans="1:10" ht="13.15" customHeight="1" x14ac:dyDescent="0.25">
      <c r="A2915">
        <f t="shared" si="442"/>
        <v>2910</v>
      </c>
      <c r="B2915" t="s">
        <v>3799</v>
      </c>
      <c r="C2915" s="2">
        <v>0.47222222222222221</v>
      </c>
      <c r="D2915" s="4">
        <f t="shared" si="447"/>
        <v>0.11319444444444443</v>
      </c>
      <c r="E2915" s="6">
        <v>0.35902777777777778</v>
      </c>
      <c r="F2915" s="5">
        <f t="shared" si="448"/>
        <v>0.7602941176470589</v>
      </c>
      <c r="G2915" s="5">
        <v>0.84899999999999998</v>
      </c>
      <c r="H2915" s="4">
        <f>54.5/1440</f>
        <v>3.784722222222222E-2</v>
      </c>
      <c r="I2915" s="5">
        <v>8.8999999999999996E-2</v>
      </c>
      <c r="J2915" s="11" t="s">
        <v>3805</v>
      </c>
    </row>
    <row r="2916" spans="1:10" ht="13.15" customHeight="1" x14ac:dyDescent="0.25">
      <c r="A2916">
        <f t="shared" si="442"/>
        <v>2911</v>
      </c>
      <c r="B2916" t="s">
        <v>3800</v>
      </c>
      <c r="C2916" s="2">
        <v>0.47569444444444442</v>
      </c>
      <c r="D2916" s="4">
        <f t="shared" si="447"/>
        <v>9.5833333333333326E-2</v>
      </c>
      <c r="E2916" s="6">
        <v>0.37986111111111109</v>
      </c>
      <c r="F2916" s="5">
        <f t="shared" si="448"/>
        <v>0.79854014598540146</v>
      </c>
      <c r="G2916" s="5">
        <v>0.83</v>
      </c>
      <c r="H2916" s="4">
        <f>62.3/1440</f>
        <v>4.3263888888888886E-2</v>
      </c>
      <c r="I2916" s="5">
        <v>9.4E-2</v>
      </c>
      <c r="J2916" s="11" t="s">
        <v>3804</v>
      </c>
    </row>
    <row r="2917" spans="1:10" ht="13.15" customHeight="1" x14ac:dyDescent="0.25">
      <c r="A2917">
        <f t="shared" si="442"/>
        <v>2912</v>
      </c>
      <c r="B2917" t="s">
        <v>3801</v>
      </c>
      <c r="C2917" s="2">
        <v>0.47638888888888886</v>
      </c>
      <c r="D2917" s="4">
        <f t="shared" si="447"/>
        <v>0.11805555555555552</v>
      </c>
      <c r="E2917" s="6">
        <v>0.35833333333333334</v>
      </c>
      <c r="F2917" s="5">
        <f t="shared" si="448"/>
        <v>0.75218658892128287</v>
      </c>
      <c r="G2917" s="5">
        <v>0.8</v>
      </c>
      <c r="H2917" s="4">
        <f>68.4/1440</f>
        <v>4.7500000000000001E-2</v>
      </c>
      <c r="I2917" s="5">
        <v>0.106</v>
      </c>
      <c r="J2917" s="11" t="s">
        <v>3804</v>
      </c>
    </row>
    <row r="2918" spans="1:10" ht="13.15" customHeight="1" x14ac:dyDescent="0.25">
      <c r="A2918">
        <f t="shared" si="442"/>
        <v>2913</v>
      </c>
      <c r="B2918" t="s">
        <v>3802</v>
      </c>
      <c r="C2918" s="2">
        <v>0.47708333333333336</v>
      </c>
      <c r="D2918" s="4">
        <f t="shared" si="447"/>
        <v>0.12152777777777779</v>
      </c>
      <c r="E2918" s="6">
        <v>0.35555555555555557</v>
      </c>
      <c r="F2918" s="5">
        <f t="shared" si="448"/>
        <v>0.74526928675400295</v>
      </c>
      <c r="G2918" s="5">
        <v>0.89800000000000002</v>
      </c>
      <c r="H2918" s="4">
        <f>53.3/1440</f>
        <v>3.7013888888888888E-2</v>
      </c>
      <c r="I2918" s="5">
        <v>9.2999999999999999E-2</v>
      </c>
      <c r="J2918" s="11" t="s">
        <v>3804</v>
      </c>
    </row>
    <row r="2919" spans="1:10" ht="13.15" customHeight="1" x14ac:dyDescent="0.25">
      <c r="A2919">
        <f t="shared" si="442"/>
        <v>2914</v>
      </c>
      <c r="B2919" t="s">
        <v>3803</v>
      </c>
      <c r="C2919" s="2">
        <v>0.43472222222222223</v>
      </c>
      <c r="D2919" s="4">
        <f t="shared" si="447"/>
        <v>9.5138888888888884E-2</v>
      </c>
      <c r="E2919" s="6">
        <v>0.33958333333333335</v>
      </c>
      <c r="F2919" s="5">
        <f t="shared" si="448"/>
        <v>0.78115015974440893</v>
      </c>
      <c r="G2919" s="5">
        <v>0.82199999999999995</v>
      </c>
      <c r="H2919" s="4">
        <f>57.8/1440</f>
        <v>4.0138888888888884E-2</v>
      </c>
      <c r="I2919" s="5">
        <v>9.7000000000000003E-2</v>
      </c>
      <c r="J2919" s="11" t="s">
        <v>3804</v>
      </c>
    </row>
    <row r="2920" spans="1:10" ht="13.15" customHeight="1" x14ac:dyDescent="0.25">
      <c r="A2920">
        <f t="shared" si="442"/>
        <v>2915</v>
      </c>
      <c r="B2920" t="s">
        <v>3806</v>
      </c>
      <c r="C2920" s="2">
        <v>0.3972222222222222</v>
      </c>
      <c r="D2920" s="4">
        <f t="shared" si="447"/>
        <v>0.12083333333333329</v>
      </c>
      <c r="E2920" s="6">
        <v>0.27638888888888891</v>
      </c>
      <c r="F2920" s="5">
        <f t="shared" si="448"/>
        <v>0.69580419580419584</v>
      </c>
      <c r="G2920" s="5">
        <v>0.70199999999999996</v>
      </c>
      <c r="H2920" s="4">
        <f>44.5/1440</f>
        <v>3.0902777777777779E-2</v>
      </c>
      <c r="I2920" s="5">
        <v>7.8E-2</v>
      </c>
      <c r="J2920" s="11" t="s">
        <v>3816</v>
      </c>
    </row>
    <row r="2921" spans="1:10" ht="13.15" customHeight="1" x14ac:dyDescent="0.25">
      <c r="A2921">
        <f t="shared" si="442"/>
        <v>2916</v>
      </c>
      <c r="B2921" t="s">
        <v>3807</v>
      </c>
      <c r="C2921" s="2">
        <v>0.44236111111111109</v>
      </c>
      <c r="D2921" s="4">
        <f t="shared" si="447"/>
        <v>0.11666666666666664</v>
      </c>
      <c r="E2921" s="6">
        <v>0.32569444444444445</v>
      </c>
      <c r="F2921" s="5">
        <f t="shared" si="448"/>
        <v>0.73626373626373631</v>
      </c>
      <c r="G2921" s="5">
        <v>0.66600000000000004</v>
      </c>
      <c r="H2921" s="4">
        <f>59.2/1440</f>
        <v>4.1111111111111112E-2</v>
      </c>
      <c r="I2921" s="5">
        <v>8.4000000000000005E-2</v>
      </c>
      <c r="J2921" s="11" t="s">
        <v>3816</v>
      </c>
    </row>
    <row r="2922" spans="1:10" ht="13.15" customHeight="1" x14ac:dyDescent="0.25">
      <c r="A2922">
        <f t="shared" si="442"/>
        <v>2917</v>
      </c>
      <c r="B2922" t="s">
        <v>3808</v>
      </c>
      <c r="C2922" s="2">
        <v>0.40902777777777777</v>
      </c>
      <c r="D2922" s="4">
        <f t="shared" si="447"/>
        <v>0.1111111111111111</v>
      </c>
      <c r="E2922" s="6">
        <v>0.29791666666666666</v>
      </c>
      <c r="F2922" s="5">
        <f t="shared" si="448"/>
        <v>0.72835314091680814</v>
      </c>
      <c r="G2922" s="5">
        <v>0.82299999999999995</v>
      </c>
      <c r="H2922" s="4">
        <f>59.9/1440</f>
        <v>4.1597222222222223E-2</v>
      </c>
      <c r="I2922" s="5">
        <v>0.115</v>
      </c>
      <c r="J2922" s="11" t="s">
        <v>3816</v>
      </c>
    </row>
    <row r="2923" spans="1:10" ht="13.15" customHeight="1" x14ac:dyDescent="0.25">
      <c r="A2923">
        <f t="shared" si="442"/>
        <v>2918</v>
      </c>
      <c r="B2923" t="s">
        <v>3809</v>
      </c>
      <c r="C2923" s="2">
        <v>0.45069444444444445</v>
      </c>
      <c r="D2923" s="4">
        <f t="shared" si="447"/>
        <v>0.11249999999999999</v>
      </c>
      <c r="E2923" s="6">
        <v>0.33819444444444446</v>
      </c>
      <c r="F2923" s="5">
        <f t="shared" si="448"/>
        <v>0.75038520801232667</v>
      </c>
      <c r="G2923" s="5">
        <v>0.76600000000000001</v>
      </c>
      <c r="H2923" s="4">
        <f>56.9/1440</f>
        <v>3.951388888888889E-2</v>
      </c>
      <c r="I2923" s="5">
        <v>8.8999999999999996E-2</v>
      </c>
      <c r="J2923" s="11" t="s">
        <v>3816</v>
      </c>
    </row>
    <row r="2924" spans="1:10" ht="13.15" customHeight="1" x14ac:dyDescent="0.25">
      <c r="A2924">
        <f t="shared" si="442"/>
        <v>2919</v>
      </c>
      <c r="B2924" t="s">
        <v>3810</v>
      </c>
      <c r="C2924" s="2">
        <v>0.46250000000000002</v>
      </c>
      <c r="D2924" s="4">
        <f t="shared" si="447"/>
        <v>0.10069444444444448</v>
      </c>
      <c r="E2924" s="6">
        <v>0.36180555555555555</v>
      </c>
      <c r="F2924" s="5">
        <f t="shared" si="448"/>
        <v>0.78228228228228225</v>
      </c>
      <c r="G2924" s="5">
        <v>0.80900000000000005</v>
      </c>
      <c r="H2924" s="4">
        <f>46.88/1440</f>
        <v>3.255555555555556E-2</v>
      </c>
      <c r="I2924" s="5">
        <v>7.2999999999999995E-2</v>
      </c>
      <c r="J2924" s="11" t="s">
        <v>3816</v>
      </c>
    </row>
    <row r="2925" spans="1:10" ht="13.15" customHeight="1" x14ac:dyDescent="0.25">
      <c r="A2925">
        <f t="shared" si="442"/>
        <v>2920</v>
      </c>
      <c r="B2925" t="s">
        <v>3811</v>
      </c>
      <c r="C2925" s="2">
        <v>0.37291666666666667</v>
      </c>
      <c r="D2925" s="4">
        <f t="shared" si="447"/>
        <v>0.10208333333333336</v>
      </c>
      <c r="E2925" s="6">
        <v>0.27083333333333331</v>
      </c>
      <c r="F2925" s="5">
        <f t="shared" si="448"/>
        <v>0.72625698324022336</v>
      </c>
      <c r="G2925" s="5">
        <v>0.71099999999999997</v>
      </c>
      <c r="H2925" s="4">
        <f>56.6/1440</f>
        <v>3.9305555555555559E-2</v>
      </c>
      <c r="I2925" s="5">
        <v>0.10299999999999999</v>
      </c>
      <c r="J2925" s="11" t="s">
        <v>3817</v>
      </c>
    </row>
    <row r="2926" spans="1:10" ht="13.15" customHeight="1" x14ac:dyDescent="0.25">
      <c r="A2926">
        <f t="shared" si="442"/>
        <v>2921</v>
      </c>
      <c r="B2926" t="s">
        <v>3812</v>
      </c>
      <c r="C2926" s="2">
        <v>0.37361111111111112</v>
      </c>
      <c r="D2926" s="4">
        <f t="shared" si="447"/>
        <v>0.12708333333333333</v>
      </c>
      <c r="E2926" s="6">
        <v>0.24652777777777779</v>
      </c>
      <c r="F2926" s="5">
        <f t="shared" si="448"/>
        <v>0.65985130111524171</v>
      </c>
      <c r="G2926" s="5">
        <v>0.68799999999999994</v>
      </c>
      <c r="H2926" s="4">
        <f>51.4/1440</f>
        <v>3.5694444444444445E-2</v>
      </c>
      <c r="I2926" s="5">
        <v>0.1</v>
      </c>
      <c r="J2926" s="11" t="s">
        <v>3817</v>
      </c>
    </row>
    <row r="2927" spans="1:10" ht="13.15" customHeight="1" x14ac:dyDescent="0.25">
      <c r="A2927">
        <f t="shared" si="442"/>
        <v>2922</v>
      </c>
      <c r="B2927" t="s">
        <v>3813</v>
      </c>
      <c r="C2927" s="2">
        <v>0.35416666666666669</v>
      </c>
      <c r="D2927" s="4">
        <f t="shared" si="447"/>
        <v>0.11250000000000002</v>
      </c>
      <c r="E2927" s="6">
        <v>0.24166666666666667</v>
      </c>
      <c r="F2927" s="5">
        <f t="shared" si="448"/>
        <v>0.68235294117647061</v>
      </c>
      <c r="G2927" s="5">
        <v>0.70899999999999996</v>
      </c>
      <c r="H2927" s="4">
        <f>53.1/1440</f>
        <v>3.6874999999999998E-2</v>
      </c>
      <c r="I2927" s="5">
        <v>0.108</v>
      </c>
      <c r="J2927" s="11" t="s">
        <v>3817</v>
      </c>
    </row>
    <row r="2928" spans="1:10" ht="13.15" customHeight="1" x14ac:dyDescent="0.25">
      <c r="A2928">
        <f t="shared" si="442"/>
        <v>2923</v>
      </c>
      <c r="B2928" t="s">
        <v>3814</v>
      </c>
      <c r="C2928" s="2">
        <v>0.36875000000000002</v>
      </c>
      <c r="D2928" s="4">
        <f t="shared" si="447"/>
        <v>0.11597222222222225</v>
      </c>
      <c r="E2928" s="6">
        <v>0.25277777777777777</v>
      </c>
      <c r="F2928" s="5">
        <f t="shared" si="448"/>
        <v>0.68549905838041425</v>
      </c>
      <c r="G2928" s="5">
        <v>0.66600000000000004</v>
      </c>
      <c r="H2928" s="4">
        <f>49.6/1440</f>
        <v>3.4444444444444444E-2</v>
      </c>
      <c r="I2928" s="5">
        <v>9.0999999999999998E-2</v>
      </c>
      <c r="J2928" s="11" t="s">
        <v>3817</v>
      </c>
    </row>
    <row r="2929" spans="1:10" ht="13.15" customHeight="1" x14ac:dyDescent="0.25">
      <c r="A2929">
        <f t="shared" si="442"/>
        <v>2924</v>
      </c>
      <c r="B2929" t="s">
        <v>3815</v>
      </c>
      <c r="C2929" s="2">
        <v>0.37430555555555556</v>
      </c>
      <c r="D2929" s="4">
        <f t="shared" si="447"/>
        <v>0.10902777777777778</v>
      </c>
      <c r="E2929" s="6">
        <v>0.26527777777777778</v>
      </c>
      <c r="F2929" s="5">
        <f t="shared" si="448"/>
        <v>0.70871985157699446</v>
      </c>
      <c r="G2929" s="5">
        <v>0.745</v>
      </c>
      <c r="H2929" s="4">
        <f>57.7/1440</f>
        <v>4.0069444444444449E-2</v>
      </c>
      <c r="I2929" s="5">
        <v>0.112</v>
      </c>
      <c r="J2929" s="11" t="s">
        <v>3817</v>
      </c>
    </row>
    <row r="2930" spans="1:10" ht="13.15" customHeight="1" x14ac:dyDescent="0.25">
      <c r="A2930">
        <f t="shared" si="442"/>
        <v>2925</v>
      </c>
      <c r="B2930" t="s">
        <v>3818</v>
      </c>
      <c r="C2930" s="2">
        <v>0.57777777777777772</v>
      </c>
      <c r="D2930" s="4">
        <f t="shared" ref="D2930:D2949" si="449">C2930-E2930</f>
        <v>0.1333333333333333</v>
      </c>
      <c r="E2930" s="6">
        <v>0.44444444444444442</v>
      </c>
      <c r="F2930" s="5">
        <f t="shared" ref="F2930:F2949" si="450">E2930/C2930</f>
        <v>0.76923076923076927</v>
      </c>
      <c r="G2930" s="5">
        <v>0.79600000000000004</v>
      </c>
      <c r="H2930" s="4">
        <f>64.8/1440</f>
        <v>4.4999999999999998E-2</v>
      </c>
      <c r="I2930" s="5">
        <v>0.08</v>
      </c>
      <c r="J2930" s="11" t="s">
        <v>3829</v>
      </c>
    </row>
    <row r="2931" spans="1:10" ht="13.15" customHeight="1" x14ac:dyDescent="0.25">
      <c r="A2931">
        <f t="shared" si="442"/>
        <v>2926</v>
      </c>
      <c r="B2931" t="s">
        <v>3819</v>
      </c>
      <c r="C2931" s="2">
        <v>0.56388888888888888</v>
      </c>
      <c r="D2931" s="4">
        <f t="shared" si="449"/>
        <v>0.13055555555555554</v>
      </c>
      <c r="E2931" s="6">
        <v>0.43333333333333335</v>
      </c>
      <c r="F2931" s="5">
        <f t="shared" si="450"/>
        <v>0.76847290640394095</v>
      </c>
      <c r="G2931" s="5">
        <v>0.83199999999999996</v>
      </c>
      <c r="H2931" s="4">
        <f>59.3/1440</f>
        <v>4.1180555555555554E-2</v>
      </c>
      <c r="I2931" s="5">
        <v>7.9000000000000001E-2</v>
      </c>
      <c r="J2931" s="11" t="s">
        <v>3829</v>
      </c>
    </row>
    <row r="2932" spans="1:10" ht="13.15" customHeight="1" x14ac:dyDescent="0.25">
      <c r="A2932">
        <f t="shared" si="442"/>
        <v>2927</v>
      </c>
      <c r="B2932" t="s">
        <v>3820</v>
      </c>
      <c r="C2932" s="2">
        <v>0.52777777777777779</v>
      </c>
      <c r="D2932" s="4">
        <f t="shared" si="449"/>
        <v>0.11875000000000002</v>
      </c>
      <c r="E2932" s="6">
        <v>0.40902777777777777</v>
      </c>
      <c r="F2932" s="5">
        <f t="shared" si="450"/>
        <v>0.77499999999999991</v>
      </c>
      <c r="G2932" s="5">
        <v>0.83599999999999997</v>
      </c>
      <c r="H2932" s="4">
        <f>71.1/1440</f>
        <v>4.9374999999999995E-2</v>
      </c>
      <c r="I2932" s="5">
        <v>0.10100000000000001</v>
      </c>
      <c r="J2932" s="11" t="s">
        <v>3829</v>
      </c>
    </row>
    <row r="2933" spans="1:10" ht="13.15" customHeight="1" x14ac:dyDescent="0.25">
      <c r="A2933">
        <f t="shared" si="442"/>
        <v>2928</v>
      </c>
      <c r="B2933" t="s">
        <v>3821</v>
      </c>
      <c r="C2933" s="2">
        <v>0.43888888888888888</v>
      </c>
      <c r="D2933" s="4">
        <f t="shared" si="449"/>
        <v>0.10625000000000001</v>
      </c>
      <c r="E2933" s="6">
        <v>0.33263888888888887</v>
      </c>
      <c r="F2933" s="5">
        <f t="shared" si="450"/>
        <v>0.75791139240506322</v>
      </c>
      <c r="G2933" s="5">
        <v>0.97299999999999998</v>
      </c>
      <c r="H2933" s="4">
        <f>70.3/1440</f>
        <v>4.8819444444444443E-2</v>
      </c>
      <c r="I2933" s="5">
        <v>0.14299999999999999</v>
      </c>
      <c r="J2933" s="11" t="s">
        <v>3829</v>
      </c>
    </row>
    <row r="2934" spans="1:10" ht="13.15" customHeight="1" x14ac:dyDescent="0.25">
      <c r="A2934">
        <f t="shared" si="442"/>
        <v>2929</v>
      </c>
      <c r="B2934" t="s">
        <v>3822</v>
      </c>
      <c r="C2934" s="2">
        <v>0.4</v>
      </c>
      <c r="D2934" s="4">
        <f t="shared" si="449"/>
        <v>0.1076388888888889</v>
      </c>
      <c r="E2934" s="6">
        <v>0.29236111111111113</v>
      </c>
      <c r="F2934" s="5">
        <f t="shared" si="450"/>
        <v>0.73090277777777779</v>
      </c>
      <c r="G2934" s="5">
        <v>0.72299999999999998</v>
      </c>
      <c r="H2934" s="4">
        <f>54.6/1440</f>
        <v>3.7916666666666668E-2</v>
      </c>
      <c r="I2934" s="5">
        <v>9.4E-2</v>
      </c>
      <c r="J2934" s="11" t="s">
        <v>3829</v>
      </c>
    </row>
    <row r="2935" spans="1:10" ht="13.15" customHeight="1" x14ac:dyDescent="0.25">
      <c r="A2935">
        <f t="shared" si="442"/>
        <v>2930</v>
      </c>
      <c r="B2935" t="s">
        <v>3823</v>
      </c>
      <c r="C2935" s="2">
        <v>0.37013888888888891</v>
      </c>
      <c r="D2935" s="4">
        <f t="shared" si="449"/>
        <v>0.10416666666666669</v>
      </c>
      <c r="E2935" s="6">
        <v>0.26597222222222222</v>
      </c>
      <c r="F2935" s="5">
        <f t="shared" si="450"/>
        <v>0.7185741088180112</v>
      </c>
      <c r="G2935" s="5">
        <v>0.73099999999999998</v>
      </c>
      <c r="H2935" s="4">
        <f>49.9/1440</f>
        <v>3.4652777777777775E-2</v>
      </c>
      <c r="I2935" s="5">
        <v>9.5000000000000001E-2</v>
      </c>
      <c r="J2935" s="11" t="s">
        <v>3828</v>
      </c>
    </row>
    <row r="2936" spans="1:10" ht="13.15" customHeight="1" x14ac:dyDescent="0.25">
      <c r="A2936">
        <f t="shared" si="442"/>
        <v>2931</v>
      </c>
      <c r="B2936" t="s">
        <v>3824</v>
      </c>
      <c r="C2936" s="2">
        <v>0.41666666666666669</v>
      </c>
      <c r="D2936" s="4">
        <f t="shared" si="449"/>
        <v>0.12083333333333335</v>
      </c>
      <c r="E2936" s="6">
        <v>0.29583333333333334</v>
      </c>
      <c r="F2936" s="5">
        <f t="shared" si="450"/>
        <v>0.71</v>
      </c>
      <c r="G2936" s="5">
        <v>0.76</v>
      </c>
      <c r="H2936" s="4">
        <f>65.2/1440</f>
        <v>4.5277777777777778E-2</v>
      </c>
      <c r="I2936" s="5">
        <v>0.11600000000000001</v>
      </c>
      <c r="J2936" s="11" t="s">
        <v>3828</v>
      </c>
    </row>
    <row r="2937" spans="1:10" ht="13.15" customHeight="1" x14ac:dyDescent="0.25">
      <c r="A2937">
        <f t="shared" si="442"/>
        <v>2932</v>
      </c>
      <c r="B2937" t="s">
        <v>3825</v>
      </c>
      <c r="C2937" s="2">
        <v>0.52916666666666667</v>
      </c>
      <c r="D2937" s="4">
        <f t="shared" si="449"/>
        <v>0.14444444444444443</v>
      </c>
      <c r="E2937" s="6">
        <v>0.38472222222222224</v>
      </c>
      <c r="F2937" s="5">
        <f t="shared" si="450"/>
        <v>0.72703412073490814</v>
      </c>
      <c r="G2937" s="5">
        <v>0.71199999999999997</v>
      </c>
      <c r="H2937" s="4">
        <f>50.8/1440</f>
        <v>3.5277777777777776E-2</v>
      </c>
      <c r="I2937" s="5">
        <v>6.5000000000000002E-2</v>
      </c>
      <c r="J2937" s="11" t="s">
        <v>3828</v>
      </c>
    </row>
    <row r="2938" spans="1:10" ht="13.15" customHeight="1" x14ac:dyDescent="0.25">
      <c r="A2938">
        <f t="shared" si="442"/>
        <v>2933</v>
      </c>
      <c r="B2938" t="s">
        <v>3826</v>
      </c>
      <c r="C2938" s="2">
        <v>0.36180555555555555</v>
      </c>
      <c r="D2938" s="4">
        <f t="shared" si="449"/>
        <v>9.5138888888888884E-2</v>
      </c>
      <c r="E2938" s="6">
        <v>0.26666666666666666</v>
      </c>
      <c r="F2938" s="5">
        <f t="shared" si="450"/>
        <v>0.73704414587332057</v>
      </c>
      <c r="G2938" s="5">
        <v>0.70399999999999996</v>
      </c>
      <c r="H2938" s="4">
        <f>49.5/1440</f>
        <v>3.4375000000000003E-2</v>
      </c>
      <c r="I2938" s="5">
        <v>9.0999999999999998E-2</v>
      </c>
      <c r="J2938" s="11" t="s">
        <v>3828</v>
      </c>
    </row>
    <row r="2939" spans="1:10" ht="13.15" customHeight="1" x14ac:dyDescent="0.25">
      <c r="A2939">
        <f t="shared" si="442"/>
        <v>2934</v>
      </c>
      <c r="B2939" t="s">
        <v>3827</v>
      </c>
      <c r="C2939" s="2">
        <v>0.38472222222222224</v>
      </c>
      <c r="D2939" s="4">
        <f t="shared" si="449"/>
        <v>0.11388888888888893</v>
      </c>
      <c r="E2939" s="6">
        <v>0.27083333333333331</v>
      </c>
      <c r="F2939" s="5">
        <f t="shared" si="450"/>
        <v>0.70397111913357391</v>
      </c>
      <c r="G2939" s="5">
        <v>0.68200000000000005</v>
      </c>
      <c r="H2939" s="4">
        <f>55.4/1440</f>
        <v>3.847222222222222E-2</v>
      </c>
      <c r="I2939" s="5">
        <v>9.7000000000000003E-2</v>
      </c>
      <c r="J2939" s="11" t="s">
        <v>3828</v>
      </c>
    </row>
    <row r="2940" spans="1:10" ht="13.15" customHeight="1" x14ac:dyDescent="0.25">
      <c r="A2940">
        <f t="shared" si="442"/>
        <v>2935</v>
      </c>
      <c r="B2940" t="s">
        <v>3830</v>
      </c>
      <c r="C2940" s="2">
        <v>0.38055555555555554</v>
      </c>
      <c r="D2940" s="4">
        <f t="shared" si="449"/>
        <v>0.10555555555555551</v>
      </c>
      <c r="E2940" s="6">
        <v>0.27500000000000002</v>
      </c>
      <c r="F2940" s="5">
        <f t="shared" si="450"/>
        <v>0.72262773722627749</v>
      </c>
      <c r="G2940" s="5">
        <v>1</v>
      </c>
      <c r="H2940" s="4">
        <f>70.8/1440</f>
        <v>4.9166666666666664E-2</v>
      </c>
      <c r="I2940" s="5">
        <v>0.17899999999999999</v>
      </c>
      <c r="J2940" s="11" t="s">
        <v>3841</v>
      </c>
    </row>
    <row r="2941" spans="1:10" ht="13.15" customHeight="1" x14ac:dyDescent="0.25">
      <c r="A2941">
        <f t="shared" si="442"/>
        <v>2936</v>
      </c>
      <c r="B2941" t="s">
        <v>3831</v>
      </c>
      <c r="C2941" s="2">
        <v>0.37430555555555556</v>
      </c>
      <c r="D2941" s="4">
        <f t="shared" si="449"/>
        <v>0.10625000000000001</v>
      </c>
      <c r="E2941" s="6">
        <v>0.26805555555555555</v>
      </c>
      <c r="F2941" s="5">
        <f t="shared" si="450"/>
        <v>0.71614100185528751</v>
      </c>
      <c r="G2941" s="5">
        <v>1</v>
      </c>
      <c r="H2941" s="4">
        <f>69.5/1440</f>
        <v>4.8263888888888891E-2</v>
      </c>
      <c r="I2941" s="5">
        <v>0.18</v>
      </c>
      <c r="J2941" s="11" t="s">
        <v>3841</v>
      </c>
    </row>
    <row r="2942" spans="1:10" ht="13.15" customHeight="1" x14ac:dyDescent="0.25">
      <c r="A2942">
        <f t="shared" si="442"/>
        <v>2937</v>
      </c>
      <c r="B2942" t="s">
        <v>3832</v>
      </c>
      <c r="C2942" s="2">
        <v>0.44236111111111109</v>
      </c>
      <c r="D2942" s="4">
        <f t="shared" si="449"/>
        <v>0.11041666666666666</v>
      </c>
      <c r="E2942" s="6">
        <v>0.33194444444444443</v>
      </c>
      <c r="F2942" s="5">
        <f t="shared" si="450"/>
        <v>0.75039246467817899</v>
      </c>
      <c r="G2942" s="5">
        <v>1</v>
      </c>
      <c r="H2942" s="4">
        <f>65.5/1440</f>
        <v>4.5486111111111109E-2</v>
      </c>
      <c r="I2942" s="5">
        <v>0.13700000000000001</v>
      </c>
      <c r="J2942" s="11" t="s">
        <v>3841</v>
      </c>
    </row>
    <row r="2943" spans="1:10" ht="13.15" customHeight="1" x14ac:dyDescent="0.25">
      <c r="A2943">
        <f t="shared" si="442"/>
        <v>2938</v>
      </c>
      <c r="B2943" t="s">
        <v>3833</v>
      </c>
      <c r="C2943" s="2">
        <v>0.38194444444444442</v>
      </c>
      <c r="D2943" s="4">
        <f t="shared" si="449"/>
        <v>0.13402777777777775</v>
      </c>
      <c r="E2943" s="6">
        <v>0.24791666666666667</v>
      </c>
      <c r="F2943" s="5">
        <f t="shared" si="450"/>
        <v>0.64909090909090916</v>
      </c>
      <c r="G2943" s="5">
        <v>1</v>
      </c>
      <c r="H2943" s="4">
        <f>91.5/1440</f>
        <v>6.3541666666666663E-2</v>
      </c>
      <c r="I2943" s="5">
        <v>0.25600000000000001</v>
      </c>
      <c r="J2943" s="11" t="s">
        <v>3841</v>
      </c>
    </row>
    <row r="2944" spans="1:10" ht="13.15" customHeight="1" x14ac:dyDescent="0.25">
      <c r="A2944">
        <f t="shared" si="442"/>
        <v>2939</v>
      </c>
      <c r="B2944" t="s">
        <v>3834</v>
      </c>
      <c r="C2944" s="2">
        <v>0.41666666666666669</v>
      </c>
      <c r="D2944" s="4">
        <f t="shared" si="449"/>
        <v>0.11388888888888893</v>
      </c>
      <c r="E2944" s="6">
        <v>0.30277777777777776</v>
      </c>
      <c r="F2944" s="5">
        <f t="shared" si="450"/>
        <v>0.72666666666666657</v>
      </c>
      <c r="G2944" s="5">
        <v>1</v>
      </c>
      <c r="H2944" s="4">
        <f>93.5/1440</f>
        <v>6.4930555555555561E-2</v>
      </c>
      <c r="I2944" s="5">
        <v>0.214</v>
      </c>
      <c r="J2944" s="11" t="s">
        <v>3841</v>
      </c>
    </row>
    <row r="2945" spans="1:10" ht="13.15" customHeight="1" x14ac:dyDescent="0.25">
      <c r="A2945">
        <f t="shared" si="442"/>
        <v>2940</v>
      </c>
      <c r="B2945" t="s">
        <v>3835</v>
      </c>
      <c r="C2945" s="2">
        <v>0.37083333333333335</v>
      </c>
      <c r="D2945" s="4">
        <f t="shared" si="449"/>
        <v>9.2361111111111116E-2</v>
      </c>
      <c r="E2945" s="6">
        <v>0.27847222222222223</v>
      </c>
      <c r="F2945" s="5">
        <f t="shared" si="450"/>
        <v>0.75093632958801493</v>
      </c>
      <c r="G2945" s="5">
        <v>1</v>
      </c>
      <c r="H2945" s="4">
        <f>59.7/1440</f>
        <v>4.1458333333333333E-2</v>
      </c>
      <c r="I2945" s="5">
        <v>0.14899999999999999</v>
      </c>
      <c r="J2945" s="11" t="s">
        <v>3840</v>
      </c>
    </row>
    <row r="2946" spans="1:10" ht="13.15" customHeight="1" x14ac:dyDescent="0.25">
      <c r="A2946">
        <f t="shared" si="442"/>
        <v>2941</v>
      </c>
      <c r="B2946" t="s">
        <v>3836</v>
      </c>
      <c r="C2946" s="2">
        <v>0.39374999999999999</v>
      </c>
      <c r="D2946" s="4">
        <f t="shared" si="449"/>
        <v>9.722222222222221E-2</v>
      </c>
      <c r="E2946" s="6">
        <v>0.29652777777777778</v>
      </c>
      <c r="F2946" s="5">
        <f t="shared" si="450"/>
        <v>0.75308641975308643</v>
      </c>
      <c r="G2946" s="5">
        <v>1</v>
      </c>
      <c r="H2946" s="4">
        <f>51.5/1440</f>
        <v>3.5763888888888887E-2</v>
      </c>
      <c r="I2946" s="5">
        <v>0.12</v>
      </c>
      <c r="J2946" s="11" t="s">
        <v>3840</v>
      </c>
    </row>
    <row r="2947" spans="1:10" ht="13.15" customHeight="1" x14ac:dyDescent="0.25">
      <c r="A2947">
        <f t="shared" si="442"/>
        <v>2942</v>
      </c>
      <c r="B2947" t="s">
        <v>3837</v>
      </c>
      <c r="C2947" s="2">
        <v>0.41111111111111109</v>
      </c>
      <c r="D2947" s="4">
        <f t="shared" si="449"/>
        <v>9.7916666666666652E-2</v>
      </c>
      <c r="E2947" s="6">
        <v>0.31319444444444444</v>
      </c>
      <c r="F2947" s="5">
        <f t="shared" si="450"/>
        <v>0.76182432432432434</v>
      </c>
      <c r="G2947" s="5">
        <v>1</v>
      </c>
      <c r="H2947" s="4">
        <f>62.7/1440</f>
        <v>4.3541666666666666E-2</v>
      </c>
      <c r="I2947" s="5">
        <v>0.13900000000000001</v>
      </c>
      <c r="J2947" s="11" t="s">
        <v>3840</v>
      </c>
    </row>
    <row r="2948" spans="1:10" ht="13.15" customHeight="1" x14ac:dyDescent="0.25">
      <c r="A2948">
        <f t="shared" si="442"/>
        <v>2943</v>
      </c>
      <c r="B2948" t="s">
        <v>3838</v>
      </c>
      <c r="C2948" s="2">
        <v>0.40486111111111112</v>
      </c>
      <c r="D2948" s="4">
        <f t="shared" si="449"/>
        <v>0.10555555555555557</v>
      </c>
      <c r="E2948" s="6">
        <v>0.29930555555555555</v>
      </c>
      <c r="F2948" s="5">
        <f t="shared" si="450"/>
        <v>0.73927958833619212</v>
      </c>
      <c r="G2948" s="5">
        <v>1</v>
      </c>
      <c r="H2948" s="4">
        <f>75.9/1440</f>
        <v>5.2708333333333336E-2</v>
      </c>
      <c r="I2948" s="5">
        <v>0.17599999999999999</v>
      </c>
      <c r="J2948" s="11" t="s">
        <v>3840</v>
      </c>
    </row>
    <row r="2949" spans="1:10" ht="13.15" customHeight="1" x14ac:dyDescent="0.25">
      <c r="A2949">
        <f t="shared" si="442"/>
        <v>2944</v>
      </c>
      <c r="B2949" t="s">
        <v>3839</v>
      </c>
      <c r="C2949" s="2">
        <v>0.35138888888888886</v>
      </c>
      <c r="D2949" s="4">
        <f t="shared" si="449"/>
        <v>8.4027777777777757E-2</v>
      </c>
      <c r="E2949" s="6">
        <v>0.2673611111111111</v>
      </c>
      <c r="F2949" s="5">
        <f t="shared" si="450"/>
        <v>0.76086956521739135</v>
      </c>
      <c r="G2949" s="5">
        <v>1</v>
      </c>
      <c r="H2949" s="4">
        <f>78.3/1440</f>
        <v>5.4375E-2</v>
      </c>
      <c r="I2949" s="5">
        <v>0.20300000000000001</v>
      </c>
      <c r="J2949" s="11" t="s">
        <v>3840</v>
      </c>
    </row>
    <row r="2950" spans="1:10" ht="13.15" customHeight="1" x14ac:dyDescent="0.25">
      <c r="A2950">
        <f t="shared" si="442"/>
        <v>2945</v>
      </c>
      <c r="B2950" t="s">
        <v>3842</v>
      </c>
      <c r="C2950" s="2">
        <v>0.43888888888888888</v>
      </c>
      <c r="D2950" s="4">
        <f t="shared" ref="D2950:D2958" si="451">C2950-E2950</f>
        <v>0.10972222222222222</v>
      </c>
      <c r="E2950" s="6">
        <v>0.32916666666666666</v>
      </c>
      <c r="F2950" s="5">
        <f t="shared" ref="F2950:F2958" si="452">E2950/C2950</f>
        <v>0.75</v>
      </c>
      <c r="G2950" s="5">
        <v>0.78500000000000003</v>
      </c>
      <c r="H2950" s="4">
        <f>58.6/1440</f>
        <v>4.0694444444444443E-2</v>
      </c>
      <c r="I2950" s="5">
        <v>9.7000000000000003E-2</v>
      </c>
      <c r="J2950" s="11" t="s">
        <v>3852</v>
      </c>
    </row>
    <row r="2951" spans="1:10" ht="13.15" customHeight="1" x14ac:dyDescent="0.25">
      <c r="A2951">
        <f t="shared" si="442"/>
        <v>2946</v>
      </c>
      <c r="B2951" t="s">
        <v>3843</v>
      </c>
      <c r="C2951" s="2">
        <v>0.42777777777777776</v>
      </c>
      <c r="D2951" s="4">
        <f t="shared" si="451"/>
        <v>0.11736111111111108</v>
      </c>
      <c r="E2951" s="6">
        <v>0.31041666666666667</v>
      </c>
      <c r="F2951" s="5">
        <f t="shared" si="452"/>
        <v>0.72564935064935066</v>
      </c>
      <c r="G2951" s="5">
        <v>0.77700000000000002</v>
      </c>
      <c r="H2951" s="4">
        <f>66/1440</f>
        <v>4.583333333333333E-2</v>
      </c>
      <c r="I2951" s="5">
        <v>0.115</v>
      </c>
      <c r="J2951" s="11" t="s">
        <v>3852</v>
      </c>
    </row>
    <row r="2952" spans="1:10" ht="13.15" customHeight="1" x14ac:dyDescent="0.25">
      <c r="A2952">
        <f t="shared" si="442"/>
        <v>2947</v>
      </c>
      <c r="B2952" t="s">
        <v>3844</v>
      </c>
      <c r="C2952" s="2">
        <v>0.39027777777777778</v>
      </c>
      <c r="D2952" s="4">
        <f t="shared" si="451"/>
        <v>9.2361111111111116E-2</v>
      </c>
      <c r="E2952" s="6">
        <v>0.29791666666666666</v>
      </c>
      <c r="F2952" s="5">
        <f t="shared" si="452"/>
        <v>0.76334519572953741</v>
      </c>
      <c r="G2952" s="5">
        <v>0.72199999999999998</v>
      </c>
      <c r="H2952" s="4">
        <f>54.6/1440</f>
        <v>3.7916666666666668E-2</v>
      </c>
      <c r="I2952" s="5">
        <v>9.1999999999999998E-2</v>
      </c>
      <c r="J2952" s="11" t="s">
        <v>3852</v>
      </c>
    </row>
    <row r="2953" spans="1:10" ht="13.15" customHeight="1" x14ac:dyDescent="0.25">
      <c r="A2953">
        <f t="shared" si="442"/>
        <v>2948</v>
      </c>
      <c r="B2953" t="s">
        <v>3845</v>
      </c>
      <c r="C2953" s="2">
        <v>0.43055555555555558</v>
      </c>
      <c r="D2953" s="4">
        <f t="shared" si="451"/>
        <v>0.11527777777777781</v>
      </c>
      <c r="E2953" s="6">
        <v>0.31527777777777777</v>
      </c>
      <c r="F2953" s="5">
        <f t="shared" si="452"/>
        <v>0.73225806451612896</v>
      </c>
      <c r="G2953" s="5">
        <v>0.75</v>
      </c>
      <c r="H2953" s="4">
        <f>50.3/1440</f>
        <v>3.4930555555555555E-2</v>
      </c>
      <c r="I2953" s="5">
        <v>8.3000000000000004E-2</v>
      </c>
      <c r="J2953" s="11" t="s">
        <v>3852</v>
      </c>
    </row>
    <row r="2954" spans="1:10" ht="13.15" customHeight="1" x14ac:dyDescent="0.25">
      <c r="A2954">
        <f t="shared" si="442"/>
        <v>2949</v>
      </c>
      <c r="B2954" t="s">
        <v>3846</v>
      </c>
      <c r="C2954" s="2">
        <v>0.43333333333333335</v>
      </c>
      <c r="D2954" s="4">
        <f t="shared" si="451"/>
        <v>9.5833333333333326E-2</v>
      </c>
      <c r="E2954" s="6">
        <v>0.33750000000000002</v>
      </c>
      <c r="F2954" s="5">
        <f t="shared" si="452"/>
        <v>0.77884615384615385</v>
      </c>
      <c r="G2954" s="5">
        <v>0.85499999999999998</v>
      </c>
      <c r="H2954" s="4">
        <f>52.1/1440</f>
        <v>3.6180555555555556E-2</v>
      </c>
      <c r="I2954" s="5">
        <v>9.0999999999999998E-2</v>
      </c>
      <c r="J2954" s="11" t="s">
        <v>3852</v>
      </c>
    </row>
    <row r="2955" spans="1:10" ht="13.15" customHeight="1" x14ac:dyDescent="0.25">
      <c r="A2955">
        <f t="shared" si="442"/>
        <v>2950</v>
      </c>
      <c r="B2955" t="s">
        <v>3847</v>
      </c>
      <c r="C2955" s="2">
        <v>0.55555555555555558</v>
      </c>
      <c r="D2955" s="4">
        <f t="shared" si="451"/>
        <v>0.15000000000000002</v>
      </c>
      <c r="E2955" s="6">
        <v>0.40555555555555556</v>
      </c>
      <c r="F2955" s="5">
        <f t="shared" si="452"/>
        <v>0.73</v>
      </c>
      <c r="G2955" s="5">
        <v>0.77500000000000002</v>
      </c>
      <c r="H2955" s="4">
        <f>64.2/1440</f>
        <v>4.4583333333333336E-2</v>
      </c>
      <c r="I2955" s="5">
        <v>8.5000000000000006E-2</v>
      </c>
      <c r="J2955" s="11" t="s">
        <v>3851</v>
      </c>
    </row>
    <row r="2956" spans="1:10" ht="13.15" customHeight="1" x14ac:dyDescent="0.25">
      <c r="A2956">
        <f t="shared" si="442"/>
        <v>2951</v>
      </c>
      <c r="B2956" t="s">
        <v>3848</v>
      </c>
      <c r="C2956" s="2">
        <v>0.42916666666666664</v>
      </c>
      <c r="D2956" s="4">
        <f t="shared" si="451"/>
        <v>0.11944444444444441</v>
      </c>
      <c r="E2956" s="6">
        <v>0.30972222222222223</v>
      </c>
      <c r="F2956" s="5">
        <f t="shared" si="452"/>
        <v>0.72168284789644022</v>
      </c>
      <c r="G2956" s="5">
        <v>0.84799999999999998</v>
      </c>
      <c r="H2956" s="4">
        <f>54.9/1440</f>
        <v>3.8124999999999999E-2</v>
      </c>
      <c r="I2956" s="5">
        <v>0.104</v>
      </c>
      <c r="J2956" s="11" t="s">
        <v>3851</v>
      </c>
    </row>
    <row r="2957" spans="1:10" ht="13.15" customHeight="1" x14ac:dyDescent="0.25">
      <c r="A2957">
        <f t="shared" ref="A2957:A3020" si="453">A2956+1</f>
        <v>2952</v>
      </c>
      <c r="B2957" t="s">
        <v>3849</v>
      </c>
      <c r="C2957" s="2">
        <v>0.48819444444444443</v>
      </c>
      <c r="D2957" s="4">
        <f t="shared" si="451"/>
        <v>0.11666666666666664</v>
      </c>
      <c r="E2957" s="6">
        <v>0.37152777777777779</v>
      </c>
      <c r="F2957" s="5">
        <f t="shared" si="452"/>
        <v>0.76102418207681366</v>
      </c>
      <c r="G2957" s="5">
        <v>0.80800000000000005</v>
      </c>
      <c r="H2957" s="4">
        <f>57.2/1440</f>
        <v>3.9722222222222221E-2</v>
      </c>
      <c r="I2957" s="5">
        <v>8.5999999999999993E-2</v>
      </c>
      <c r="J2957" s="11" t="s">
        <v>3851</v>
      </c>
    </row>
    <row r="2958" spans="1:10" ht="13.15" customHeight="1" x14ac:dyDescent="0.25">
      <c r="A2958">
        <f t="shared" si="453"/>
        <v>2953</v>
      </c>
      <c r="B2958" t="s">
        <v>3850</v>
      </c>
      <c r="C2958" s="2">
        <v>0.51875000000000004</v>
      </c>
      <c r="D2958" s="4">
        <f t="shared" si="451"/>
        <v>0.10625000000000007</v>
      </c>
      <c r="E2958" s="6">
        <v>0.41249999999999998</v>
      </c>
      <c r="F2958" s="5">
        <f t="shared" si="452"/>
        <v>0.79518072289156616</v>
      </c>
      <c r="G2958" s="5">
        <v>0.84399999999999997</v>
      </c>
      <c r="H2958" s="4">
        <f>63.6/1440</f>
        <v>4.4166666666666667E-2</v>
      </c>
      <c r="I2958" s="5">
        <v>0.09</v>
      </c>
      <c r="J2958" s="11" t="s">
        <v>3851</v>
      </c>
    </row>
    <row r="2959" spans="1:10" ht="13.15" customHeight="1" x14ac:dyDescent="0.25">
      <c r="A2959">
        <f t="shared" si="453"/>
        <v>2954</v>
      </c>
      <c r="B2959" t="s">
        <v>3853</v>
      </c>
      <c r="C2959" s="2">
        <v>0.4548611111111111</v>
      </c>
      <c r="D2959" s="4">
        <f t="shared" ref="D2959:D2976" si="454">C2959-E2959</f>
        <v>0.1111111111111111</v>
      </c>
      <c r="E2959" s="6">
        <v>0.34375</v>
      </c>
      <c r="F2959" s="5">
        <f t="shared" ref="F2959:F2976" si="455">E2959/C2959</f>
        <v>0.75572519083969469</v>
      </c>
      <c r="G2959" s="5">
        <v>0.80200000000000005</v>
      </c>
      <c r="H2959" s="4">
        <f>60/1440</f>
        <v>4.1666666666666664E-2</v>
      </c>
      <c r="I2959" s="5">
        <v>9.7000000000000003E-2</v>
      </c>
      <c r="J2959" s="11" t="s">
        <v>3863</v>
      </c>
    </row>
    <row r="2960" spans="1:10" ht="13.15" customHeight="1" x14ac:dyDescent="0.25">
      <c r="A2960">
        <f t="shared" si="453"/>
        <v>2955</v>
      </c>
      <c r="B2960" t="s">
        <v>3854</v>
      </c>
      <c r="C2960" s="2">
        <v>0.45624999999999999</v>
      </c>
      <c r="D2960" s="4">
        <f t="shared" si="454"/>
        <v>0.10833333333333334</v>
      </c>
      <c r="E2960" s="6">
        <v>0.34791666666666665</v>
      </c>
      <c r="F2960" s="5">
        <f t="shared" si="455"/>
        <v>0.76255707762557079</v>
      </c>
      <c r="G2960" s="5">
        <v>0.79900000000000004</v>
      </c>
      <c r="H2960" s="4">
        <f>58.7/1440</f>
        <v>4.0763888888888891E-2</v>
      </c>
      <c r="I2960" s="5">
        <v>9.4E-2</v>
      </c>
      <c r="J2960" s="11" t="s">
        <v>3863</v>
      </c>
    </row>
    <row r="2961" spans="1:10" ht="13.15" customHeight="1" x14ac:dyDescent="0.25">
      <c r="A2961">
        <f t="shared" si="453"/>
        <v>2956</v>
      </c>
      <c r="B2961" t="s">
        <v>3855</v>
      </c>
      <c r="C2961" s="2">
        <v>0.44513888888888886</v>
      </c>
      <c r="D2961" s="4">
        <f t="shared" si="454"/>
        <v>0.12083333333333329</v>
      </c>
      <c r="E2961" s="6">
        <v>0.32430555555555557</v>
      </c>
      <c r="F2961" s="5">
        <f t="shared" si="455"/>
        <v>0.72854914196567866</v>
      </c>
      <c r="G2961" s="5">
        <v>0.755</v>
      </c>
      <c r="H2961" s="4">
        <f>53.3/1440</f>
        <v>3.7013888888888888E-2</v>
      </c>
      <c r="I2961" s="5">
        <v>8.5999999999999993E-2</v>
      </c>
      <c r="J2961" s="11" t="s">
        <v>3863</v>
      </c>
    </row>
    <row r="2962" spans="1:10" ht="13.15" customHeight="1" x14ac:dyDescent="0.25">
      <c r="A2962">
        <f t="shared" si="453"/>
        <v>2957</v>
      </c>
      <c r="B2962" t="s">
        <v>3856</v>
      </c>
      <c r="C2962" s="2">
        <v>0.40833333333333333</v>
      </c>
      <c r="D2962" s="4">
        <f t="shared" si="454"/>
        <v>0.11805555555555552</v>
      </c>
      <c r="E2962" s="6">
        <v>0.2902777777777778</v>
      </c>
      <c r="F2962" s="5">
        <f t="shared" si="455"/>
        <v>0.71088435374149672</v>
      </c>
      <c r="G2962" s="5">
        <v>0.72699999999999998</v>
      </c>
      <c r="H2962" s="4">
        <f>58.9/1440</f>
        <v>4.0902777777777774E-2</v>
      </c>
      <c r="I2962" s="5">
        <v>0.10199999999999999</v>
      </c>
      <c r="J2962" s="11" t="s">
        <v>3863</v>
      </c>
    </row>
    <row r="2963" spans="1:10" ht="13.15" customHeight="1" x14ac:dyDescent="0.25">
      <c r="A2963">
        <f t="shared" si="453"/>
        <v>2958</v>
      </c>
      <c r="B2963" t="s">
        <v>3857</v>
      </c>
      <c r="C2963" s="2">
        <v>0.41458333333333336</v>
      </c>
      <c r="D2963" s="4">
        <f t="shared" si="454"/>
        <v>9.9305555555555591E-2</v>
      </c>
      <c r="E2963" s="6">
        <v>0.31527777777777777</v>
      </c>
      <c r="F2963" s="5">
        <f t="shared" si="455"/>
        <v>0.76046901172529302</v>
      </c>
      <c r="G2963" s="5">
        <v>0.79700000000000004</v>
      </c>
      <c r="H2963" s="4">
        <f>58.1/1440</f>
        <v>4.0347222222222222E-2</v>
      </c>
      <c r="I2963" s="5">
        <v>0.10199999999999999</v>
      </c>
      <c r="J2963" s="11" t="s">
        <v>3863</v>
      </c>
    </row>
    <row r="2964" spans="1:10" ht="13.15" customHeight="1" x14ac:dyDescent="0.25">
      <c r="A2964">
        <f t="shared" si="453"/>
        <v>2959</v>
      </c>
      <c r="B2964" t="s">
        <v>3858</v>
      </c>
      <c r="C2964" s="2">
        <v>0.44722222222222224</v>
      </c>
      <c r="D2964" s="4">
        <f t="shared" si="454"/>
        <v>0.10208333333333336</v>
      </c>
      <c r="E2964" s="6">
        <v>0.34513888888888888</v>
      </c>
      <c r="F2964" s="5">
        <f t="shared" si="455"/>
        <v>0.77173913043478259</v>
      </c>
      <c r="G2964" s="5">
        <v>0.89100000000000001</v>
      </c>
      <c r="H2964" s="4">
        <f>64.6/1440</f>
        <v>4.4861111111111109E-2</v>
      </c>
      <c r="I2964" s="5">
        <v>0.11600000000000001</v>
      </c>
      <c r="J2964" s="11" t="s">
        <v>3862</v>
      </c>
    </row>
    <row r="2965" spans="1:10" ht="13.15" customHeight="1" x14ac:dyDescent="0.25">
      <c r="A2965">
        <f t="shared" si="453"/>
        <v>2960</v>
      </c>
      <c r="B2965" t="s">
        <v>3859</v>
      </c>
      <c r="C2965" s="2">
        <v>0.50694444444444442</v>
      </c>
      <c r="D2965" s="4">
        <f t="shared" si="454"/>
        <v>0.12013888888888885</v>
      </c>
      <c r="E2965" s="6">
        <v>0.38680555555555557</v>
      </c>
      <c r="F2965" s="5">
        <f t="shared" si="455"/>
        <v>0.76301369863013702</v>
      </c>
      <c r="G2965" s="5">
        <v>0.83299999999999996</v>
      </c>
      <c r="H2965" s="4">
        <f>63.5/1440</f>
        <v>4.4097222222222225E-2</v>
      </c>
      <c r="I2965" s="5">
        <v>9.5000000000000001E-2</v>
      </c>
      <c r="J2965" s="11" t="s">
        <v>3862</v>
      </c>
    </row>
    <row r="2966" spans="1:10" ht="13.15" customHeight="1" x14ac:dyDescent="0.25">
      <c r="A2966">
        <f t="shared" si="453"/>
        <v>2961</v>
      </c>
      <c r="B2966" t="s">
        <v>3860</v>
      </c>
      <c r="C2966" s="2">
        <v>0.54166666666666663</v>
      </c>
      <c r="D2966" s="4">
        <f t="shared" si="454"/>
        <v>0.12499999999999994</v>
      </c>
      <c r="E2966" s="6">
        <v>0.41666666666666669</v>
      </c>
      <c r="F2966" s="5">
        <f t="shared" si="455"/>
        <v>0.76923076923076927</v>
      </c>
      <c r="G2966" s="5">
        <v>0.85199999999999998</v>
      </c>
      <c r="H2966" s="4">
        <f>71/1440</f>
        <v>4.9305555555555554E-2</v>
      </c>
      <c r="I2966" s="5">
        <v>0.10100000000000001</v>
      </c>
      <c r="J2966" s="11" t="s">
        <v>3862</v>
      </c>
    </row>
    <row r="2967" spans="1:10" ht="13.15" customHeight="1" x14ac:dyDescent="0.25">
      <c r="A2967">
        <f t="shared" si="453"/>
        <v>2962</v>
      </c>
      <c r="B2967" t="s">
        <v>3861</v>
      </c>
      <c r="C2967" s="2">
        <v>0.55833333333333335</v>
      </c>
      <c r="D2967" s="4">
        <f t="shared" si="454"/>
        <v>0.11875000000000002</v>
      </c>
      <c r="E2967" s="6">
        <v>0.43958333333333333</v>
      </c>
      <c r="F2967" s="5">
        <f t="shared" si="455"/>
        <v>0.78731343283582089</v>
      </c>
      <c r="G2967" s="5">
        <v>0.84799999999999998</v>
      </c>
      <c r="H2967" s="4">
        <f>61.4/1440</f>
        <v>4.2638888888888886E-2</v>
      </c>
      <c r="I2967" s="5">
        <v>8.2000000000000003E-2</v>
      </c>
      <c r="J2967" s="11" t="s">
        <v>3862</v>
      </c>
    </row>
    <row r="2968" spans="1:10" ht="13.15" customHeight="1" x14ac:dyDescent="0.25">
      <c r="A2968">
        <f t="shared" si="453"/>
        <v>2963</v>
      </c>
      <c r="B2968" t="s">
        <v>3866</v>
      </c>
      <c r="C2968" s="2">
        <v>0.46805555555555556</v>
      </c>
      <c r="D2968" s="4">
        <f t="shared" si="454"/>
        <v>0.1159722222222222</v>
      </c>
      <c r="E2968" s="6">
        <v>0.35208333333333336</v>
      </c>
      <c r="F2968" s="5">
        <f t="shared" si="455"/>
        <v>0.75222551928783388</v>
      </c>
      <c r="G2968" s="5">
        <v>0.80200000000000005</v>
      </c>
      <c r="H2968" s="4">
        <f>58.7/1440</f>
        <v>4.0763888888888891E-2</v>
      </c>
      <c r="I2968" s="5">
        <v>9.2999999999999999E-2</v>
      </c>
      <c r="J2968" s="11" t="s">
        <v>3864</v>
      </c>
    </row>
    <row r="2969" spans="1:10" ht="13.15" customHeight="1" x14ac:dyDescent="0.25">
      <c r="A2969">
        <f t="shared" si="453"/>
        <v>2964</v>
      </c>
      <c r="B2969" t="s">
        <v>3867</v>
      </c>
      <c r="C2969" s="2">
        <v>0.47499999999999998</v>
      </c>
      <c r="D2969" s="4">
        <f t="shared" si="454"/>
        <v>0.11736111111111108</v>
      </c>
      <c r="E2969" s="6">
        <v>0.3576388888888889</v>
      </c>
      <c r="F2969" s="5">
        <f t="shared" si="455"/>
        <v>0.75292397660818722</v>
      </c>
      <c r="G2969" s="5">
        <v>0.83299999999999996</v>
      </c>
      <c r="H2969" s="4">
        <f>65.4/1440</f>
        <v>4.5416666666666668E-2</v>
      </c>
      <c r="I2969" s="5">
        <v>0.106</v>
      </c>
      <c r="J2969" s="11" t="s">
        <v>3864</v>
      </c>
    </row>
    <row r="2970" spans="1:10" ht="13.15" customHeight="1" x14ac:dyDescent="0.25">
      <c r="A2970">
        <f t="shared" si="453"/>
        <v>2965</v>
      </c>
      <c r="B2970" t="s">
        <v>3868</v>
      </c>
      <c r="C2970" s="2">
        <v>0.38958333333333334</v>
      </c>
      <c r="D2970" s="4">
        <f t="shared" si="454"/>
        <v>0.10069444444444448</v>
      </c>
      <c r="E2970" s="6">
        <v>0.28888888888888886</v>
      </c>
      <c r="F2970" s="5">
        <f t="shared" si="455"/>
        <v>0.7415329768270944</v>
      </c>
      <c r="G2970" s="5">
        <v>0.76300000000000001</v>
      </c>
      <c r="H2970" s="4">
        <f>51.4/1440</f>
        <v>3.5694444444444445E-2</v>
      </c>
      <c r="I2970" s="5">
        <v>9.4E-2</v>
      </c>
      <c r="J2970" s="11" t="s">
        <v>3864</v>
      </c>
    </row>
    <row r="2971" spans="1:10" ht="13.15" customHeight="1" x14ac:dyDescent="0.25">
      <c r="A2971">
        <f t="shared" si="453"/>
        <v>2966</v>
      </c>
      <c r="B2971" t="s">
        <v>3869</v>
      </c>
      <c r="C2971" s="2">
        <v>0.46597222222222223</v>
      </c>
      <c r="D2971" s="4">
        <f t="shared" si="454"/>
        <v>0.14513888888888887</v>
      </c>
      <c r="E2971" s="6">
        <v>0.32083333333333336</v>
      </c>
      <c r="F2971" s="5">
        <f t="shared" si="455"/>
        <v>0.68852459016393441</v>
      </c>
      <c r="G2971" s="5">
        <v>0.79700000000000004</v>
      </c>
      <c r="H2971" s="4">
        <f>50.8/1440</f>
        <v>3.5277777777777776E-2</v>
      </c>
      <c r="I2971" s="5">
        <v>8.7999999999999995E-2</v>
      </c>
      <c r="J2971" s="11" t="s">
        <v>3864</v>
      </c>
    </row>
    <row r="2972" spans="1:10" ht="13.15" customHeight="1" x14ac:dyDescent="0.25">
      <c r="A2972">
        <f t="shared" si="453"/>
        <v>2967</v>
      </c>
      <c r="B2972" t="s">
        <v>3870</v>
      </c>
      <c r="C2972" s="2">
        <v>0.48194444444444445</v>
      </c>
      <c r="D2972" s="4">
        <f t="shared" si="454"/>
        <v>9.722222222222221E-2</v>
      </c>
      <c r="E2972" s="6">
        <v>0.38472222222222224</v>
      </c>
      <c r="F2972" s="5">
        <f t="shared" si="455"/>
        <v>0.79827089337175794</v>
      </c>
      <c r="G2972" s="5">
        <v>0.77600000000000002</v>
      </c>
      <c r="H2972" s="4">
        <f>56.2/1440</f>
        <v>3.9027777777777779E-2</v>
      </c>
      <c r="I2972" s="5">
        <v>7.9000000000000001E-2</v>
      </c>
      <c r="J2972" s="11" t="s">
        <v>3864</v>
      </c>
    </row>
    <row r="2973" spans="1:10" ht="13.15" customHeight="1" x14ac:dyDescent="0.25">
      <c r="A2973">
        <f t="shared" si="453"/>
        <v>2968</v>
      </c>
      <c r="B2973" t="s">
        <v>3871</v>
      </c>
      <c r="C2973" s="2">
        <v>0.52500000000000002</v>
      </c>
      <c r="D2973" s="4">
        <f t="shared" si="454"/>
        <v>0.1388888888888889</v>
      </c>
      <c r="E2973" s="6">
        <v>0.38611111111111113</v>
      </c>
      <c r="F2973" s="5">
        <f t="shared" si="455"/>
        <v>0.73544973544973546</v>
      </c>
      <c r="G2973" s="5">
        <v>0.83399999999999996</v>
      </c>
      <c r="H2973" s="4">
        <f>56.4/1440</f>
        <v>3.9166666666666669E-2</v>
      </c>
      <c r="I2973" s="5">
        <v>8.5000000000000006E-2</v>
      </c>
      <c r="J2973" s="11" t="s">
        <v>3865</v>
      </c>
    </row>
    <row r="2974" spans="1:10" ht="13.15" customHeight="1" x14ac:dyDescent="0.25">
      <c r="A2974">
        <f t="shared" si="453"/>
        <v>2969</v>
      </c>
      <c r="B2974" t="s">
        <v>3872</v>
      </c>
      <c r="C2974" s="2">
        <v>0.50972222222222219</v>
      </c>
      <c r="D2974" s="4">
        <f t="shared" si="454"/>
        <v>0.1333333333333333</v>
      </c>
      <c r="E2974" s="6">
        <v>0.37638888888888888</v>
      </c>
      <c r="F2974" s="5">
        <f t="shared" si="455"/>
        <v>0.73841961852861038</v>
      </c>
      <c r="G2974" s="5">
        <v>0.80500000000000005</v>
      </c>
      <c r="H2974" s="4">
        <f>66.1/1440</f>
        <v>4.5902777777777772E-2</v>
      </c>
      <c r="I2974" s="5">
        <v>9.8000000000000004E-2</v>
      </c>
      <c r="J2974" s="11" t="s">
        <v>3865</v>
      </c>
    </row>
    <row r="2975" spans="1:10" ht="13.15" customHeight="1" x14ac:dyDescent="0.25">
      <c r="A2975">
        <f t="shared" si="453"/>
        <v>2970</v>
      </c>
      <c r="B2975" t="s">
        <v>3873</v>
      </c>
      <c r="C2975" s="2">
        <v>0.53194444444444444</v>
      </c>
      <c r="D2975" s="4">
        <f t="shared" si="454"/>
        <v>0.11527777777777776</v>
      </c>
      <c r="E2975" s="6">
        <v>0.41666666666666669</v>
      </c>
      <c r="F2975" s="5">
        <f t="shared" si="455"/>
        <v>0.78328981723237601</v>
      </c>
      <c r="G2975" s="5">
        <v>0.85199999999999998</v>
      </c>
      <c r="H2975" s="4">
        <f>64.1/1440</f>
        <v>4.4513888888888888E-2</v>
      </c>
      <c r="I2975" s="5">
        <v>9.0999999999999998E-2</v>
      </c>
      <c r="J2975" s="11" t="s">
        <v>3865</v>
      </c>
    </row>
    <row r="2976" spans="1:10" ht="13.15" customHeight="1" x14ac:dyDescent="0.25">
      <c r="A2976">
        <f t="shared" si="453"/>
        <v>2971</v>
      </c>
      <c r="B2976" t="s">
        <v>3874</v>
      </c>
      <c r="C2976" s="2">
        <v>0.48958333333333331</v>
      </c>
      <c r="D2976" s="4">
        <f t="shared" si="454"/>
        <v>0.1159722222222222</v>
      </c>
      <c r="E2976" s="6">
        <v>0.37361111111111112</v>
      </c>
      <c r="F2976" s="5">
        <f t="shared" si="455"/>
        <v>0.76312056737588652</v>
      </c>
      <c r="G2976" s="5">
        <v>0.754</v>
      </c>
      <c r="H2976" s="4">
        <f>54.6/1440</f>
        <v>3.7916666666666668E-2</v>
      </c>
      <c r="I2976" s="5">
        <v>7.5999999999999998E-2</v>
      </c>
      <c r="J2976" s="11" t="s">
        <v>3865</v>
      </c>
    </row>
    <row r="2977" spans="1:10" ht="13.15" customHeight="1" x14ac:dyDescent="0.25">
      <c r="A2977">
        <f t="shared" si="453"/>
        <v>2972</v>
      </c>
      <c r="B2977" t="s">
        <v>3877</v>
      </c>
      <c r="C2977" s="2">
        <v>0.41805555555555557</v>
      </c>
      <c r="D2977" s="4">
        <f t="shared" ref="D2977:D2985" si="456">C2977-E2977</f>
        <v>0.13958333333333334</v>
      </c>
      <c r="E2977" s="6">
        <v>0.27847222222222223</v>
      </c>
      <c r="F2977" s="5">
        <f t="shared" ref="F2977:F2985" si="457">E2977/C2977</f>
        <v>0.66611295681063121</v>
      </c>
      <c r="G2977" s="5">
        <v>0.751</v>
      </c>
      <c r="H2977" s="4">
        <f>58.4/1440</f>
        <v>4.0555555555555553E-2</v>
      </c>
      <c r="I2977" s="5">
        <v>0.109</v>
      </c>
      <c r="J2977" s="11" t="s">
        <v>3876</v>
      </c>
    </row>
    <row r="2978" spans="1:10" ht="13.15" customHeight="1" x14ac:dyDescent="0.25">
      <c r="A2978">
        <f t="shared" si="453"/>
        <v>2973</v>
      </c>
      <c r="B2978" t="s">
        <v>3878</v>
      </c>
      <c r="C2978" s="2">
        <v>0.41458333333333336</v>
      </c>
      <c r="D2978" s="4">
        <f t="shared" si="456"/>
        <v>0.14722222222222225</v>
      </c>
      <c r="E2978" s="6">
        <v>0.2673611111111111</v>
      </c>
      <c r="F2978" s="5">
        <f t="shared" si="457"/>
        <v>0.64489112227805689</v>
      </c>
      <c r="G2978" s="5">
        <v>0.72</v>
      </c>
      <c r="H2978" s="4">
        <f>61/1440</f>
        <v>4.2361111111111113E-2</v>
      </c>
      <c r="I2978" s="5">
        <v>0.114</v>
      </c>
      <c r="J2978" s="11" t="s">
        <v>3876</v>
      </c>
    </row>
    <row r="2979" spans="1:10" ht="13.15" customHeight="1" x14ac:dyDescent="0.25">
      <c r="A2979">
        <f t="shared" si="453"/>
        <v>2974</v>
      </c>
      <c r="B2979" t="s">
        <v>3879</v>
      </c>
      <c r="C2979" s="2">
        <v>0.43194444444444446</v>
      </c>
      <c r="D2979" s="4">
        <f t="shared" si="456"/>
        <v>0.14375000000000004</v>
      </c>
      <c r="E2979" s="6">
        <v>0.28819444444444442</v>
      </c>
      <c r="F2979" s="5">
        <f t="shared" si="457"/>
        <v>0.66720257234726676</v>
      </c>
      <c r="G2979" s="5">
        <v>0.69899999999999995</v>
      </c>
      <c r="H2979" s="4">
        <f>61.9/1440</f>
        <v>4.2986111111111107E-2</v>
      </c>
      <c r="I2979" s="5">
        <v>0.104</v>
      </c>
      <c r="J2979" s="11" t="s">
        <v>3876</v>
      </c>
    </row>
    <row r="2980" spans="1:10" ht="13.15" customHeight="1" x14ac:dyDescent="0.25">
      <c r="A2980">
        <f t="shared" si="453"/>
        <v>2975</v>
      </c>
      <c r="B2980" t="s">
        <v>3880</v>
      </c>
      <c r="C2980" s="2">
        <v>0.39305555555555555</v>
      </c>
      <c r="D2980" s="4">
        <f t="shared" si="456"/>
        <v>0.14097222222222222</v>
      </c>
      <c r="E2980" s="6">
        <v>0.25208333333333333</v>
      </c>
      <c r="F2980" s="5">
        <f t="shared" si="457"/>
        <v>0.64134275618374559</v>
      </c>
      <c r="G2980" s="5">
        <v>0.69299999999999995</v>
      </c>
      <c r="H2980" s="4">
        <f>54.8/1440</f>
        <v>3.8055555555555551E-2</v>
      </c>
      <c r="I2980" s="5">
        <v>0.104</v>
      </c>
      <c r="J2980" s="11" t="s">
        <v>3876</v>
      </c>
    </row>
    <row r="2981" spans="1:10" ht="13.15" customHeight="1" x14ac:dyDescent="0.25">
      <c r="A2981">
        <f t="shared" si="453"/>
        <v>2976</v>
      </c>
      <c r="B2981" t="s">
        <v>3881</v>
      </c>
      <c r="C2981" s="2">
        <v>0.44097222222222221</v>
      </c>
      <c r="D2981" s="4">
        <f t="shared" si="456"/>
        <v>0.13611111111111107</v>
      </c>
      <c r="E2981" s="6">
        <v>0.30486111111111114</v>
      </c>
      <c r="F2981" s="5">
        <f t="shared" si="457"/>
        <v>0.69133858267716541</v>
      </c>
      <c r="G2981" s="5">
        <v>0.83599999999999997</v>
      </c>
      <c r="H2981" s="4">
        <f>52.5/1440</f>
        <v>3.6458333333333336E-2</v>
      </c>
      <c r="I2981" s="5">
        <v>0.1</v>
      </c>
      <c r="J2981" s="11" t="s">
        <v>3876</v>
      </c>
    </row>
    <row r="2982" spans="1:10" ht="13.15" customHeight="1" x14ac:dyDescent="0.25">
      <c r="A2982">
        <f t="shared" si="453"/>
        <v>2977</v>
      </c>
      <c r="B2982" t="s">
        <v>3882</v>
      </c>
      <c r="C2982" s="2">
        <v>0.38750000000000001</v>
      </c>
      <c r="D2982" s="4">
        <f t="shared" si="456"/>
        <v>0.13125000000000003</v>
      </c>
      <c r="E2982" s="6">
        <v>0.25624999999999998</v>
      </c>
      <c r="F2982" s="5">
        <f t="shared" si="457"/>
        <v>0.66129032258064513</v>
      </c>
      <c r="G2982" s="5">
        <v>0.79</v>
      </c>
      <c r="H2982" s="4">
        <f>64.6/1440</f>
        <v>4.4861111111111109E-2</v>
      </c>
      <c r="I2982" s="5">
        <v>0.13800000000000001</v>
      </c>
      <c r="J2982" s="11" t="s">
        <v>3875</v>
      </c>
    </row>
    <row r="2983" spans="1:10" ht="13.15" customHeight="1" x14ac:dyDescent="0.25">
      <c r="A2983">
        <f t="shared" si="453"/>
        <v>2978</v>
      </c>
      <c r="B2983" t="s">
        <v>3883</v>
      </c>
      <c r="C2983" s="2">
        <v>0.41458333333333336</v>
      </c>
      <c r="D2983" s="4">
        <f t="shared" si="456"/>
        <v>0.12013888888888891</v>
      </c>
      <c r="E2983" s="6">
        <v>0.29444444444444445</v>
      </c>
      <c r="F2983" s="5">
        <f t="shared" si="457"/>
        <v>0.7102177554438861</v>
      </c>
      <c r="G2983" s="5">
        <v>0.79100000000000004</v>
      </c>
      <c r="H2983" s="4">
        <f>58.6/1440</f>
        <v>4.0694444444444443E-2</v>
      </c>
      <c r="I2983" s="5">
        <v>0.109</v>
      </c>
      <c r="J2983" s="11" t="s">
        <v>3875</v>
      </c>
    </row>
    <row r="2984" spans="1:10" ht="13.15" customHeight="1" x14ac:dyDescent="0.25">
      <c r="A2984">
        <f t="shared" si="453"/>
        <v>2979</v>
      </c>
      <c r="B2984" t="s">
        <v>3884</v>
      </c>
      <c r="C2984" s="2">
        <v>0.43888888888888888</v>
      </c>
      <c r="D2984" s="4">
        <f t="shared" si="456"/>
        <v>0.13402777777777775</v>
      </c>
      <c r="E2984" s="6">
        <v>0.30486111111111114</v>
      </c>
      <c r="F2984" s="5">
        <f t="shared" si="457"/>
        <v>0.694620253164557</v>
      </c>
      <c r="G2984" s="5">
        <v>0.75900000000000001</v>
      </c>
      <c r="H2984" s="4">
        <f>48.1/1440</f>
        <v>3.3402777777777781E-2</v>
      </c>
      <c r="I2984" s="5">
        <v>8.3000000000000004E-2</v>
      </c>
      <c r="J2984" s="11" t="s">
        <v>3875</v>
      </c>
    </row>
    <row r="2985" spans="1:10" ht="13.15" customHeight="1" x14ac:dyDescent="0.25">
      <c r="A2985">
        <f t="shared" si="453"/>
        <v>2980</v>
      </c>
      <c r="B2985" t="s">
        <v>3885</v>
      </c>
      <c r="C2985" s="2">
        <v>0.47569444444444442</v>
      </c>
      <c r="D2985" s="4">
        <f t="shared" si="456"/>
        <v>0.12986111111111109</v>
      </c>
      <c r="E2985" s="6">
        <v>0.34583333333333333</v>
      </c>
      <c r="F2985" s="5">
        <f t="shared" si="457"/>
        <v>0.72700729927007302</v>
      </c>
      <c r="G2985" s="5">
        <v>0.83899999999999997</v>
      </c>
      <c r="H2985" s="4">
        <f>56.1/1440</f>
        <v>3.8958333333333331E-2</v>
      </c>
      <c r="I2985" s="5">
        <v>9.5000000000000001E-2</v>
      </c>
      <c r="J2985" s="11" t="s">
        <v>3875</v>
      </c>
    </row>
    <row r="2986" spans="1:10" ht="13.15" customHeight="1" x14ac:dyDescent="0.25">
      <c r="A2986">
        <f t="shared" si="453"/>
        <v>2981</v>
      </c>
      <c r="B2986" t="s">
        <v>3886</v>
      </c>
      <c r="C2986" s="2">
        <v>0.35</v>
      </c>
      <c r="D2986" s="4">
        <f t="shared" ref="D2986:D2994" si="458">C2986-E2986</f>
        <v>9.6527777777777768E-2</v>
      </c>
      <c r="E2986" s="6">
        <v>0.25347222222222221</v>
      </c>
      <c r="F2986" s="5">
        <f t="shared" ref="F2986:F2994" si="459">E2986/C2986</f>
        <v>0.72420634920634919</v>
      </c>
      <c r="G2986" s="5">
        <v>0.71099999999999997</v>
      </c>
      <c r="H2986" s="4">
        <f>54.8/1440</f>
        <v>3.8055555555555551E-2</v>
      </c>
      <c r="I2986" s="5">
        <v>0.107</v>
      </c>
      <c r="J2986" s="11" t="s">
        <v>3896</v>
      </c>
    </row>
    <row r="2987" spans="1:10" ht="13.15" customHeight="1" x14ac:dyDescent="0.25">
      <c r="A2987">
        <f t="shared" si="453"/>
        <v>2982</v>
      </c>
      <c r="B2987" t="s">
        <v>3887</v>
      </c>
      <c r="C2987" s="2">
        <v>0.35138888888888886</v>
      </c>
      <c r="D2987" s="4">
        <f t="shared" si="458"/>
        <v>9.5833333333333326E-2</v>
      </c>
      <c r="E2987" s="6">
        <v>0.25555555555555554</v>
      </c>
      <c r="F2987" s="5">
        <f t="shared" si="459"/>
        <v>0.72727272727272729</v>
      </c>
      <c r="G2987" s="5">
        <v>0.72899999999999998</v>
      </c>
      <c r="H2987" s="4">
        <f>53.4/1440</f>
        <v>3.7083333333333329E-2</v>
      </c>
      <c r="I2987" s="5">
        <v>0.106</v>
      </c>
      <c r="J2987" s="11" t="s">
        <v>3896</v>
      </c>
    </row>
    <row r="2988" spans="1:10" ht="13.15" customHeight="1" x14ac:dyDescent="0.25">
      <c r="A2988">
        <f t="shared" si="453"/>
        <v>2983</v>
      </c>
      <c r="B2988" t="s">
        <v>3888</v>
      </c>
      <c r="C2988" s="2">
        <v>0.33541666666666664</v>
      </c>
      <c r="D2988" s="4">
        <f t="shared" si="458"/>
        <v>0.10138888888888886</v>
      </c>
      <c r="E2988" s="6">
        <v>0.23402777777777778</v>
      </c>
      <c r="F2988" s="5">
        <f t="shared" si="459"/>
        <v>0.6977225672877847</v>
      </c>
      <c r="G2988" s="5">
        <v>0.66800000000000004</v>
      </c>
      <c r="H2988" s="4">
        <f>55/1440</f>
        <v>3.8194444444444448E-2</v>
      </c>
      <c r="I2988" s="5">
        <v>0.109</v>
      </c>
      <c r="J2988" s="11" t="s">
        <v>3896</v>
      </c>
    </row>
    <row r="2989" spans="1:10" ht="13.15" customHeight="1" x14ac:dyDescent="0.25">
      <c r="A2989">
        <f t="shared" si="453"/>
        <v>2984</v>
      </c>
      <c r="B2989" t="s">
        <v>3889</v>
      </c>
      <c r="C2989" s="2">
        <v>0.33819444444444446</v>
      </c>
      <c r="D2989" s="4">
        <f t="shared" si="458"/>
        <v>9.6527777777777796E-2</v>
      </c>
      <c r="E2989" s="6">
        <v>0.24166666666666667</v>
      </c>
      <c r="F2989" s="5">
        <f t="shared" si="459"/>
        <v>0.71457905544147837</v>
      </c>
      <c r="G2989" s="5">
        <v>0.65200000000000002</v>
      </c>
      <c r="H2989" s="4">
        <f>51.6/1440</f>
        <v>3.5833333333333335E-2</v>
      </c>
      <c r="I2989" s="5">
        <v>9.7000000000000003E-2</v>
      </c>
      <c r="J2989" s="11" t="s">
        <v>3896</v>
      </c>
    </row>
    <row r="2990" spans="1:10" ht="13.15" customHeight="1" x14ac:dyDescent="0.25">
      <c r="A2990">
        <f t="shared" si="453"/>
        <v>2985</v>
      </c>
      <c r="B2990" t="s">
        <v>3890</v>
      </c>
      <c r="C2990" s="2">
        <v>0.36805555555555558</v>
      </c>
      <c r="D2990" s="4">
        <f t="shared" si="458"/>
        <v>9.4444444444444442E-2</v>
      </c>
      <c r="E2990" s="6">
        <v>0.27361111111111114</v>
      </c>
      <c r="F2990" s="5">
        <f t="shared" si="459"/>
        <v>0.7433962264150944</v>
      </c>
      <c r="G2990" s="5">
        <v>0.73799999999999999</v>
      </c>
      <c r="H2990" s="4">
        <f>56.2/1440</f>
        <v>3.9027777777777779E-2</v>
      </c>
      <c r="I2990" s="5">
        <v>0.105</v>
      </c>
      <c r="J2990" s="11" t="s">
        <v>3896</v>
      </c>
    </row>
    <row r="2991" spans="1:10" ht="13.15" customHeight="1" x14ac:dyDescent="0.25">
      <c r="A2991">
        <f t="shared" si="453"/>
        <v>2986</v>
      </c>
      <c r="B2991" t="s">
        <v>3891</v>
      </c>
      <c r="C2991" s="2">
        <v>0.3347222222222222</v>
      </c>
      <c r="D2991" s="4">
        <f t="shared" si="458"/>
        <v>9.0277777777777762E-2</v>
      </c>
      <c r="E2991" s="6">
        <v>0.24444444444444444</v>
      </c>
      <c r="F2991" s="5">
        <f t="shared" si="459"/>
        <v>0.73029045643153534</v>
      </c>
      <c r="G2991" s="5">
        <v>0.76300000000000001</v>
      </c>
      <c r="H2991" s="4">
        <f>57.5/1440</f>
        <v>3.9930555555555552E-2</v>
      </c>
      <c r="I2991" s="5">
        <v>0.125</v>
      </c>
      <c r="J2991" s="11" t="s">
        <v>3895</v>
      </c>
    </row>
    <row r="2992" spans="1:10" ht="13.15" customHeight="1" x14ac:dyDescent="0.25">
      <c r="A2992">
        <f t="shared" si="453"/>
        <v>2987</v>
      </c>
      <c r="B2992" t="s">
        <v>3892</v>
      </c>
      <c r="C2992" s="2">
        <v>0.36805555555555558</v>
      </c>
      <c r="D2992" s="4">
        <f t="shared" si="458"/>
        <v>0.10208333333333336</v>
      </c>
      <c r="E2992" s="6">
        <v>0.26597222222222222</v>
      </c>
      <c r="F2992" s="5">
        <f t="shared" si="459"/>
        <v>0.72264150943396221</v>
      </c>
      <c r="G2992" s="5">
        <v>0.73699999999999999</v>
      </c>
      <c r="H2992" s="4">
        <f>54.6/1440</f>
        <v>3.7916666666666668E-2</v>
      </c>
      <c r="I2992" s="5">
        <v>0.105</v>
      </c>
      <c r="J2992" s="11" t="s">
        <v>3895</v>
      </c>
    </row>
    <row r="2993" spans="1:10" ht="13.15" customHeight="1" x14ac:dyDescent="0.25">
      <c r="A2993">
        <f t="shared" si="453"/>
        <v>2988</v>
      </c>
      <c r="B2993" t="s">
        <v>3893</v>
      </c>
      <c r="C2993" s="2">
        <v>0.37638888888888888</v>
      </c>
      <c r="D2993" s="4">
        <f t="shared" si="458"/>
        <v>0.10416666666666669</v>
      </c>
      <c r="E2993" s="6">
        <v>0.2722222222222222</v>
      </c>
      <c r="F2993" s="5">
        <f t="shared" si="459"/>
        <v>0.7232472324723247</v>
      </c>
      <c r="G2993" s="5">
        <v>0.74199999999999999</v>
      </c>
      <c r="H2993" s="4">
        <f>55/1440</f>
        <v>3.8194444444444448E-2</v>
      </c>
      <c r="I2993" s="5">
        <v>0.104</v>
      </c>
      <c r="J2993" s="11" t="s">
        <v>3895</v>
      </c>
    </row>
    <row r="2994" spans="1:10" ht="13.15" customHeight="1" x14ac:dyDescent="0.25">
      <c r="A2994">
        <f t="shared" si="453"/>
        <v>2989</v>
      </c>
      <c r="B2994" t="s">
        <v>3894</v>
      </c>
      <c r="C2994" s="2">
        <v>0.3923611111111111</v>
      </c>
      <c r="D2994" s="4">
        <f t="shared" si="458"/>
        <v>0.10347222222222224</v>
      </c>
      <c r="E2994" s="6">
        <v>0.28888888888888886</v>
      </c>
      <c r="F2994" s="5">
        <f t="shared" si="459"/>
        <v>0.73628318584070795</v>
      </c>
      <c r="G2994" s="5">
        <v>0.72399999999999998</v>
      </c>
      <c r="H2994" s="4">
        <f>57.5/1440</f>
        <v>3.9930555555555552E-2</v>
      </c>
      <c r="I2994" s="5">
        <v>0.1</v>
      </c>
      <c r="J2994" s="11" t="s">
        <v>3895</v>
      </c>
    </row>
    <row r="2995" spans="1:10" ht="13.15" customHeight="1" x14ac:dyDescent="0.25">
      <c r="A2995">
        <f t="shared" si="453"/>
        <v>2990</v>
      </c>
      <c r="B2995" t="s">
        <v>3897</v>
      </c>
      <c r="C2995" s="2">
        <v>0.47013888888888888</v>
      </c>
      <c r="D2995" s="4">
        <f t="shared" ref="D2995:D3002" si="460">C2995-E2995</f>
        <v>0.1159722222222222</v>
      </c>
      <c r="E2995" s="6">
        <v>0.35416666666666669</v>
      </c>
      <c r="F2995" s="5">
        <f t="shared" ref="F2995:F3002" si="461">E2995/C2995</f>
        <v>0.75332348596750376</v>
      </c>
      <c r="G2995" s="5">
        <v>0.79300000000000004</v>
      </c>
      <c r="H2995" s="4">
        <f>60.4/1440</f>
        <v>4.1944444444444444E-2</v>
      </c>
      <c r="I2995" s="5">
        <v>9.4E-2</v>
      </c>
      <c r="J2995" s="11" t="s">
        <v>3907</v>
      </c>
    </row>
    <row r="2996" spans="1:10" ht="13.15" customHeight="1" x14ac:dyDescent="0.25">
      <c r="A2996">
        <f t="shared" si="453"/>
        <v>2991</v>
      </c>
      <c r="B2996" t="s">
        <v>3898</v>
      </c>
      <c r="C2996" s="2">
        <v>0.46666666666666667</v>
      </c>
      <c r="D2996" s="4">
        <f t="shared" si="460"/>
        <v>0.11249999999999999</v>
      </c>
      <c r="E2996" s="6">
        <v>0.35416666666666669</v>
      </c>
      <c r="F2996" s="5">
        <f t="shared" si="461"/>
        <v>0.75892857142857151</v>
      </c>
      <c r="G2996" s="5">
        <v>0.83299999999999996</v>
      </c>
      <c r="H2996" s="4">
        <f>59.8/1440</f>
        <v>4.1527777777777775E-2</v>
      </c>
      <c r="I2996" s="5">
        <v>9.8000000000000004E-2</v>
      </c>
      <c r="J2996" s="11" t="s">
        <v>3907</v>
      </c>
    </row>
    <row r="2997" spans="1:10" ht="13.15" customHeight="1" x14ac:dyDescent="0.25">
      <c r="A2997">
        <f t="shared" si="453"/>
        <v>2992</v>
      </c>
      <c r="B2997" t="s">
        <v>3899</v>
      </c>
      <c r="C2997" s="2">
        <v>0.42569444444444443</v>
      </c>
      <c r="D2997" s="4">
        <f t="shared" si="460"/>
        <v>0.10694444444444445</v>
      </c>
      <c r="E2997" s="6">
        <v>0.31874999999999998</v>
      </c>
      <c r="F2997" s="5">
        <f t="shared" si="461"/>
        <v>0.74877650897226755</v>
      </c>
      <c r="G2997" s="5">
        <v>0.69899999999999995</v>
      </c>
      <c r="H2997" s="4">
        <f>54.5/1440</f>
        <v>3.784722222222222E-2</v>
      </c>
      <c r="I2997" s="5">
        <v>8.3000000000000004E-2</v>
      </c>
      <c r="J2997" s="11" t="s">
        <v>3907</v>
      </c>
    </row>
    <row r="2998" spans="1:10" ht="13.15" customHeight="1" x14ac:dyDescent="0.25">
      <c r="A2998">
        <f t="shared" si="453"/>
        <v>2993</v>
      </c>
      <c r="B2998" t="s">
        <v>3900</v>
      </c>
      <c r="C2998" s="2">
        <v>0.42152777777777778</v>
      </c>
      <c r="D2998" s="4">
        <f t="shared" si="460"/>
        <v>0.1159722222222222</v>
      </c>
      <c r="E2998" s="6">
        <v>0.30555555555555558</v>
      </c>
      <c r="F2998" s="5">
        <f t="shared" si="461"/>
        <v>0.72487644151565078</v>
      </c>
      <c r="G2998" s="5">
        <v>0.73899999999999999</v>
      </c>
      <c r="H2998" s="4">
        <f>63.4/1440</f>
        <v>4.4027777777777777E-2</v>
      </c>
      <c r="I2998" s="5">
        <v>0.106</v>
      </c>
      <c r="J2998" s="11" t="s">
        <v>3907</v>
      </c>
    </row>
    <row r="2999" spans="1:10" ht="13.15" customHeight="1" x14ac:dyDescent="0.25">
      <c r="A2999">
        <f t="shared" si="453"/>
        <v>2994</v>
      </c>
      <c r="B2999" t="s">
        <v>3901</v>
      </c>
      <c r="C2999" s="2">
        <v>0.46875</v>
      </c>
      <c r="D2999" s="4">
        <f t="shared" si="460"/>
        <v>0.1159722222222222</v>
      </c>
      <c r="E2999" s="6">
        <v>0.3527777777777778</v>
      </c>
      <c r="F2999" s="5">
        <f t="shared" si="461"/>
        <v>0.75259259259259259</v>
      </c>
      <c r="G2999" s="5">
        <v>0.78900000000000003</v>
      </c>
      <c r="H2999" s="4">
        <f>59.3/1440</f>
        <v>4.1180555555555554E-2</v>
      </c>
      <c r="I2999" s="5">
        <v>9.1999999999999998E-2</v>
      </c>
      <c r="J2999" s="11" t="s">
        <v>3907</v>
      </c>
    </row>
    <row r="3000" spans="1:10" ht="13.15" customHeight="1" x14ac:dyDescent="0.25">
      <c r="A3000">
        <f t="shared" si="453"/>
        <v>2995</v>
      </c>
      <c r="B3000" t="s">
        <v>3902</v>
      </c>
      <c r="C3000" s="2">
        <v>0.59791666666666665</v>
      </c>
      <c r="D3000" s="4">
        <f t="shared" si="460"/>
        <v>0.15208333333333329</v>
      </c>
      <c r="E3000" s="6">
        <v>0.44583333333333336</v>
      </c>
      <c r="F3000" s="5">
        <f t="shared" si="461"/>
        <v>0.74564459930313598</v>
      </c>
      <c r="G3000" s="5">
        <v>0.85899999999999999</v>
      </c>
      <c r="H3000" s="4">
        <f>62.8/1440</f>
        <v>4.3611111111111107E-2</v>
      </c>
      <c r="I3000" s="5">
        <v>8.4000000000000005E-2</v>
      </c>
      <c r="J3000" s="11" t="s">
        <v>3906</v>
      </c>
    </row>
    <row r="3001" spans="1:10" ht="13.15" customHeight="1" x14ac:dyDescent="0.25">
      <c r="A3001">
        <f t="shared" si="453"/>
        <v>2996</v>
      </c>
      <c r="B3001" t="s">
        <v>3903</v>
      </c>
      <c r="C3001" s="2">
        <v>0.44444444444444442</v>
      </c>
      <c r="D3001" s="4">
        <f t="shared" si="460"/>
        <v>9.9999999999999978E-2</v>
      </c>
      <c r="E3001" s="6">
        <v>0.34444444444444444</v>
      </c>
      <c r="F3001" s="5">
        <f t="shared" si="461"/>
        <v>0.77500000000000002</v>
      </c>
      <c r="G3001" s="5">
        <v>0.90300000000000002</v>
      </c>
      <c r="H3001" s="4">
        <f>65.9/1440</f>
        <v>4.5763888888888896E-2</v>
      </c>
      <c r="I3001" s="5">
        <v>0.12</v>
      </c>
      <c r="J3001" s="11" t="s">
        <v>3906</v>
      </c>
    </row>
    <row r="3002" spans="1:10" ht="13.15" customHeight="1" x14ac:dyDescent="0.25">
      <c r="A3002">
        <f t="shared" si="453"/>
        <v>2997</v>
      </c>
      <c r="B3002" t="s">
        <v>3904</v>
      </c>
      <c r="C3002" s="2">
        <v>0.48958333333333331</v>
      </c>
      <c r="D3002" s="4">
        <f t="shared" si="460"/>
        <v>0.13541666666666663</v>
      </c>
      <c r="E3002" s="6">
        <v>0.35416666666666669</v>
      </c>
      <c r="F3002" s="5">
        <f t="shared" si="461"/>
        <v>0.72340425531914898</v>
      </c>
      <c r="G3002" s="5">
        <v>0.78700000000000003</v>
      </c>
      <c r="H3002" s="4">
        <f>58.2/1440</f>
        <v>4.041666666666667E-2</v>
      </c>
      <c r="I3002" s="5">
        <v>0.09</v>
      </c>
      <c r="J3002" s="11" t="s">
        <v>3906</v>
      </c>
    </row>
    <row r="3003" spans="1:10" ht="13.15" customHeight="1" x14ac:dyDescent="0.25">
      <c r="A3003">
        <f t="shared" si="453"/>
        <v>2998</v>
      </c>
      <c r="B3003" t="s">
        <v>3905</v>
      </c>
      <c r="C3003" s="2">
        <v>0.54236111111111107</v>
      </c>
      <c r="D3003" s="4">
        <f>C3003-E3003</f>
        <v>0.1159722222222222</v>
      </c>
      <c r="E3003" s="6">
        <v>0.42638888888888887</v>
      </c>
      <c r="F3003" s="5">
        <f>E3003/C3003</f>
        <v>0.78617157490396927</v>
      </c>
      <c r="G3003" s="5">
        <v>0.79</v>
      </c>
      <c r="H3003" s="4">
        <f>63.5/1440</f>
        <v>4.4097222222222225E-2</v>
      </c>
      <c r="I3003" s="5">
        <v>8.2000000000000003E-2</v>
      </c>
      <c r="J3003" s="11" t="s">
        <v>3906</v>
      </c>
    </row>
    <row r="3004" spans="1:10" ht="13.15" customHeight="1" x14ac:dyDescent="0.25">
      <c r="A3004">
        <f t="shared" si="453"/>
        <v>2999</v>
      </c>
      <c r="B3004" t="s">
        <v>3908</v>
      </c>
      <c r="C3004" s="2">
        <v>0.52986111111111112</v>
      </c>
      <c r="D3004" s="4">
        <f t="shared" ref="D3004:D3012" si="462">C3004-E3004</f>
        <v>0.12847222222222221</v>
      </c>
      <c r="E3004" s="6">
        <v>0.40138888888888891</v>
      </c>
      <c r="F3004" s="5">
        <f t="shared" ref="F3004:F3012" si="463">E3004/C3004</f>
        <v>0.75753604193971169</v>
      </c>
      <c r="G3004" s="5">
        <v>0.78600000000000003</v>
      </c>
      <c r="H3004" s="4">
        <f>54.9/1440</f>
        <v>3.8124999999999999E-2</v>
      </c>
      <c r="I3004" s="5">
        <v>7.3999999999999996E-2</v>
      </c>
      <c r="J3004" s="11" t="s">
        <v>3917</v>
      </c>
    </row>
    <row r="3005" spans="1:10" ht="13.15" customHeight="1" x14ac:dyDescent="0.25">
      <c r="A3005">
        <f t="shared" si="453"/>
        <v>3000</v>
      </c>
      <c r="B3005" t="s">
        <v>3909</v>
      </c>
      <c r="C3005" s="2">
        <v>0.56319444444444444</v>
      </c>
      <c r="D3005" s="4">
        <f t="shared" si="462"/>
        <v>0.15347222222222223</v>
      </c>
      <c r="E3005" s="6">
        <v>0.40972222222222221</v>
      </c>
      <c r="F3005" s="5">
        <f t="shared" si="463"/>
        <v>0.72749691738594324</v>
      </c>
      <c r="G3005" s="5">
        <v>0.79700000000000004</v>
      </c>
      <c r="H3005" s="4">
        <f>46.9/1440</f>
        <v>3.2569444444444443E-2</v>
      </c>
      <c r="I3005" s="5">
        <v>6.3E-2</v>
      </c>
      <c r="J3005" s="11" t="s">
        <v>3917</v>
      </c>
    </row>
    <row r="3006" spans="1:10" ht="13.15" customHeight="1" x14ac:dyDescent="0.25">
      <c r="A3006">
        <f t="shared" si="453"/>
        <v>3001</v>
      </c>
      <c r="B3006" t="s">
        <v>3910</v>
      </c>
      <c r="C3006" s="2">
        <v>0.40347222222222223</v>
      </c>
      <c r="D3006" s="4">
        <f t="shared" si="462"/>
        <v>8.6111111111111138E-2</v>
      </c>
      <c r="E3006" s="6">
        <v>0.31736111111111109</v>
      </c>
      <c r="F3006" s="5">
        <f t="shared" si="463"/>
        <v>0.78657487091222023</v>
      </c>
      <c r="G3006" s="5">
        <v>0.81499999999999995</v>
      </c>
      <c r="H3006" s="4">
        <f>42.4/1440</f>
        <v>2.9444444444444443E-2</v>
      </c>
      <c r="I3006" s="5">
        <v>7.5999999999999998E-2</v>
      </c>
      <c r="J3006" s="11" t="s">
        <v>3917</v>
      </c>
    </row>
    <row r="3007" spans="1:10" ht="13.15" customHeight="1" x14ac:dyDescent="0.25">
      <c r="A3007">
        <f t="shared" si="453"/>
        <v>3002</v>
      </c>
      <c r="B3007" t="s">
        <v>3911</v>
      </c>
      <c r="C3007" s="2">
        <v>0.54236111111111107</v>
      </c>
      <c r="D3007" s="4">
        <f t="shared" si="462"/>
        <v>0.1159722222222222</v>
      </c>
      <c r="E3007" s="6">
        <v>0.42638888888888887</v>
      </c>
      <c r="F3007" s="5">
        <f t="shared" si="463"/>
        <v>0.78617157490396927</v>
      </c>
      <c r="G3007" s="5">
        <v>0.79</v>
      </c>
      <c r="H3007" s="4">
        <f t="shared" ref="H3007" si="464">63.5/1440</f>
        <v>4.4097222222222225E-2</v>
      </c>
      <c r="I3007" s="5">
        <v>8.2000000000000003E-2</v>
      </c>
      <c r="J3007" s="11" t="s">
        <v>3917</v>
      </c>
    </row>
    <row r="3008" spans="1:10" ht="13.15" customHeight="1" x14ac:dyDescent="0.25">
      <c r="A3008">
        <f t="shared" si="453"/>
        <v>3003</v>
      </c>
      <c r="B3008" t="s">
        <v>3912</v>
      </c>
      <c r="C3008" s="2">
        <v>0.52638888888888891</v>
      </c>
      <c r="D3008" s="4">
        <f t="shared" si="462"/>
        <v>0.1076388888888889</v>
      </c>
      <c r="E3008" s="6">
        <v>0.41875000000000001</v>
      </c>
      <c r="F3008" s="5">
        <f t="shared" si="463"/>
        <v>0.79551451187335087</v>
      </c>
      <c r="G3008" s="5">
        <v>0.88700000000000001</v>
      </c>
      <c r="H3008" s="4">
        <f>51.2/1440</f>
        <v>3.5555555555555556E-2</v>
      </c>
      <c r="I3008" s="5">
        <v>7.4999999999999997E-2</v>
      </c>
      <c r="J3008" s="11" t="s">
        <v>3917</v>
      </c>
    </row>
    <row r="3009" spans="1:10" ht="13.15" customHeight="1" x14ac:dyDescent="0.25">
      <c r="A3009">
        <f t="shared" si="453"/>
        <v>3004</v>
      </c>
      <c r="B3009" t="s">
        <v>3913</v>
      </c>
      <c r="C3009" s="2">
        <v>0.59583333333333333</v>
      </c>
      <c r="D3009" s="4">
        <f t="shared" si="462"/>
        <v>0.15694444444444444</v>
      </c>
      <c r="E3009" s="6">
        <v>0.43888888888888888</v>
      </c>
      <c r="F3009" s="5">
        <f t="shared" si="463"/>
        <v>0.73659673659673663</v>
      </c>
      <c r="G3009" s="5">
        <v>0.8</v>
      </c>
      <c r="H3009" s="4">
        <f>75.2/1440</f>
        <v>5.2222222222222225E-2</v>
      </c>
      <c r="I3009" s="5">
        <v>9.5000000000000001E-2</v>
      </c>
      <c r="J3009" s="11" t="s">
        <v>3918</v>
      </c>
    </row>
    <row r="3010" spans="1:10" ht="13.15" customHeight="1" x14ac:dyDescent="0.25">
      <c r="A3010">
        <f t="shared" si="453"/>
        <v>3005</v>
      </c>
      <c r="B3010" t="s">
        <v>3914</v>
      </c>
      <c r="C3010" s="2">
        <v>0.55277777777777781</v>
      </c>
      <c r="D3010" s="4">
        <f t="shared" si="462"/>
        <v>0.16388888888888892</v>
      </c>
      <c r="E3010" s="6">
        <v>0.3888888888888889</v>
      </c>
      <c r="F3010" s="5">
        <f t="shared" si="463"/>
        <v>0.70351758793969843</v>
      </c>
      <c r="G3010" s="5">
        <v>0.625</v>
      </c>
      <c r="H3010" s="4">
        <f>47.6/1440</f>
        <v>3.3055555555555553E-2</v>
      </c>
      <c r="I3010" s="5">
        <v>5.2999999999999999E-2</v>
      </c>
      <c r="J3010" s="11" t="s">
        <v>3918</v>
      </c>
    </row>
    <row r="3011" spans="1:10" ht="13.15" customHeight="1" x14ac:dyDescent="0.25">
      <c r="A3011">
        <f t="shared" si="453"/>
        <v>3006</v>
      </c>
      <c r="B3011" t="s">
        <v>3915</v>
      </c>
      <c r="C3011" s="2">
        <v>0.52500000000000002</v>
      </c>
      <c r="D3011" s="4">
        <f t="shared" si="462"/>
        <v>9.8611111111111149E-2</v>
      </c>
      <c r="E3011" s="6">
        <v>0.42638888888888887</v>
      </c>
      <c r="F3011" s="5">
        <f t="shared" si="463"/>
        <v>0.8121693121693121</v>
      </c>
      <c r="G3011" s="5">
        <v>0.89900000000000002</v>
      </c>
      <c r="H3011" s="4">
        <f>68/1440</f>
        <v>4.7222222222222221E-2</v>
      </c>
      <c r="I3011" s="5">
        <v>9.9000000000000005E-2</v>
      </c>
      <c r="J3011" s="11" t="s">
        <v>3918</v>
      </c>
    </row>
    <row r="3012" spans="1:10" ht="13.15" customHeight="1" x14ac:dyDescent="0.25">
      <c r="A3012">
        <f t="shared" si="453"/>
        <v>3007</v>
      </c>
      <c r="B3012" t="s">
        <v>3916</v>
      </c>
      <c r="C3012" s="2">
        <v>0.54722222222222228</v>
      </c>
      <c r="D3012" s="4">
        <f t="shared" si="462"/>
        <v>0.12361111111111117</v>
      </c>
      <c r="E3012" s="6">
        <v>0.4236111111111111</v>
      </c>
      <c r="F3012" s="5">
        <f t="shared" si="463"/>
        <v>0.77411167512690349</v>
      </c>
      <c r="G3012" s="5">
        <v>0.82699999999999996</v>
      </c>
      <c r="H3012" s="4">
        <f>60.4/1440</f>
        <v>4.1944444444444444E-2</v>
      </c>
      <c r="I3012" s="5">
        <v>8.2000000000000003E-2</v>
      </c>
      <c r="J3012" s="11" t="s">
        <v>3918</v>
      </c>
    </row>
    <row r="3013" spans="1:10" ht="13.15" customHeight="1" x14ac:dyDescent="0.25">
      <c r="A3013">
        <f t="shared" si="453"/>
        <v>3008</v>
      </c>
      <c r="B3013" t="s">
        <v>3919</v>
      </c>
      <c r="C3013" s="2">
        <v>0.5131944444444444</v>
      </c>
      <c r="D3013" s="4">
        <f t="shared" ref="D3013:D3021" si="465">C3013-E3013</f>
        <v>0.11736111111111108</v>
      </c>
      <c r="E3013" s="6">
        <v>0.39583333333333331</v>
      </c>
      <c r="F3013" s="5">
        <f t="shared" ref="F3013:F3021" si="466">E3013/C3013</f>
        <v>0.77131258457374829</v>
      </c>
      <c r="G3013" s="5">
        <v>0.81499999999999995</v>
      </c>
      <c r="H3013" s="4">
        <f>70.3/1440</f>
        <v>4.8819444444444443E-2</v>
      </c>
      <c r="I3013" s="5">
        <v>0.10100000000000001</v>
      </c>
      <c r="J3013" s="11" t="s">
        <v>3929</v>
      </c>
    </row>
    <row r="3014" spans="1:10" ht="13.15" customHeight="1" x14ac:dyDescent="0.25">
      <c r="A3014">
        <f t="shared" si="453"/>
        <v>3009</v>
      </c>
      <c r="B3014" t="s">
        <v>3920</v>
      </c>
      <c r="C3014" s="2">
        <v>0.45069444444444445</v>
      </c>
      <c r="D3014" s="4">
        <f t="shared" si="465"/>
        <v>0.12222222222222223</v>
      </c>
      <c r="E3014" s="6">
        <v>0.32847222222222222</v>
      </c>
      <c r="F3014" s="5">
        <f t="shared" si="466"/>
        <v>0.72881355932203384</v>
      </c>
      <c r="G3014" s="5">
        <v>0.78400000000000003</v>
      </c>
      <c r="H3014" s="4">
        <f>77.1/1440</f>
        <v>5.3541666666666661E-2</v>
      </c>
      <c r="I3014" s="5">
        <v>0.128</v>
      </c>
      <c r="J3014" s="11" t="s">
        <v>3929</v>
      </c>
    </row>
    <row r="3015" spans="1:10" ht="13.15" customHeight="1" x14ac:dyDescent="0.25">
      <c r="A3015">
        <f t="shared" si="453"/>
        <v>3010</v>
      </c>
      <c r="B3015" t="s">
        <v>3921</v>
      </c>
      <c r="C3015" s="2">
        <v>0.4201388888888889</v>
      </c>
      <c r="D3015" s="4">
        <f t="shared" si="465"/>
        <v>7.7083333333333337E-2</v>
      </c>
      <c r="E3015" s="6">
        <v>0.34305555555555556</v>
      </c>
      <c r="F3015" s="5">
        <f t="shared" si="466"/>
        <v>0.8165289256198347</v>
      </c>
      <c r="G3015" s="5">
        <v>0.77900000000000003</v>
      </c>
      <c r="H3015" s="4">
        <f>56/1440</f>
        <v>3.888888888888889E-2</v>
      </c>
      <c r="I3015" s="5">
        <v>8.7999999999999995E-2</v>
      </c>
      <c r="J3015" s="11" t="s">
        <v>3929</v>
      </c>
    </row>
    <row r="3016" spans="1:10" ht="13.15" customHeight="1" x14ac:dyDescent="0.25">
      <c r="A3016">
        <f t="shared" si="453"/>
        <v>3011</v>
      </c>
      <c r="B3016" t="s">
        <v>3922</v>
      </c>
      <c r="C3016" s="2">
        <v>0.47152777777777777</v>
      </c>
      <c r="D3016" s="4">
        <f t="shared" si="465"/>
        <v>0.14027777777777778</v>
      </c>
      <c r="E3016" s="6">
        <v>0.33124999999999999</v>
      </c>
      <c r="F3016" s="5">
        <f t="shared" si="466"/>
        <v>0.70250368188512513</v>
      </c>
      <c r="G3016" s="5">
        <v>0.79700000000000004</v>
      </c>
      <c r="H3016" s="4">
        <f>67.6/1440</f>
        <v>4.6944444444444441E-2</v>
      </c>
      <c r="I3016" s="5">
        <v>0.113</v>
      </c>
      <c r="J3016" s="11" t="s">
        <v>3929</v>
      </c>
    </row>
    <row r="3017" spans="1:10" ht="13.15" customHeight="1" x14ac:dyDescent="0.25">
      <c r="A3017">
        <f t="shared" si="453"/>
        <v>3012</v>
      </c>
      <c r="B3017" t="s">
        <v>3923</v>
      </c>
      <c r="C3017" s="2">
        <v>0.40208333333333335</v>
      </c>
      <c r="D3017" s="4">
        <f t="shared" si="465"/>
        <v>8.0555555555555547E-2</v>
      </c>
      <c r="E3017" s="6">
        <v>0.3215277777777778</v>
      </c>
      <c r="F3017" s="5">
        <f t="shared" si="466"/>
        <v>0.79965457685664942</v>
      </c>
      <c r="G3017" s="5">
        <v>0.87</v>
      </c>
      <c r="H3017" s="4">
        <f>64.6/1440</f>
        <v>4.4861111111111109E-2</v>
      </c>
      <c r="I3017" s="5">
        <v>0.121</v>
      </c>
      <c r="J3017" s="11" t="s">
        <v>3929</v>
      </c>
    </row>
    <row r="3018" spans="1:10" ht="13.15" customHeight="1" x14ac:dyDescent="0.25">
      <c r="A3018">
        <f t="shared" si="453"/>
        <v>3013</v>
      </c>
      <c r="B3018" t="s">
        <v>3924</v>
      </c>
      <c r="C3018" s="2">
        <v>0.51666666666666672</v>
      </c>
      <c r="D3018" s="4">
        <f t="shared" si="465"/>
        <v>0.10416666666666674</v>
      </c>
      <c r="E3018" s="6">
        <v>0.41249999999999998</v>
      </c>
      <c r="F3018" s="5">
        <f t="shared" si="466"/>
        <v>0.79838709677419339</v>
      </c>
      <c r="G3018" s="5">
        <v>0.80600000000000005</v>
      </c>
      <c r="H3018" s="4">
        <f>69.1/1440</f>
        <v>4.7986111111111104E-2</v>
      </c>
      <c r="I3018" s="5">
        <v>9.4E-2</v>
      </c>
      <c r="J3018" s="11" t="s">
        <v>3928</v>
      </c>
    </row>
    <row r="3019" spans="1:10" ht="13.15" customHeight="1" x14ac:dyDescent="0.25">
      <c r="A3019">
        <f t="shared" si="453"/>
        <v>3014</v>
      </c>
      <c r="B3019" t="s">
        <v>3925</v>
      </c>
      <c r="C3019" s="2">
        <v>0.56944444444444442</v>
      </c>
      <c r="D3019" s="4">
        <f t="shared" si="465"/>
        <v>0.14166666666666666</v>
      </c>
      <c r="E3019" s="6">
        <v>0.42777777777777776</v>
      </c>
      <c r="F3019" s="5">
        <f t="shared" si="466"/>
        <v>0.75121951219512195</v>
      </c>
      <c r="G3019" s="5">
        <v>0.84199999999999997</v>
      </c>
      <c r="H3019" s="4">
        <f>81.9/1440</f>
        <v>5.6875000000000002E-2</v>
      </c>
      <c r="I3019" s="5">
        <v>0.112</v>
      </c>
      <c r="J3019" s="11" t="s">
        <v>3928</v>
      </c>
    </row>
    <row r="3020" spans="1:10" ht="13.15" customHeight="1" x14ac:dyDescent="0.25">
      <c r="A3020">
        <f t="shared" si="453"/>
        <v>3015</v>
      </c>
      <c r="B3020" t="s">
        <v>3926</v>
      </c>
      <c r="C3020" s="2">
        <v>0.56180555555555556</v>
      </c>
      <c r="D3020" s="4">
        <f t="shared" si="465"/>
        <v>0.13611111111111113</v>
      </c>
      <c r="E3020" s="6">
        <v>0.42569444444444443</v>
      </c>
      <c r="F3020" s="5">
        <f t="shared" si="466"/>
        <v>0.75772558714462301</v>
      </c>
      <c r="G3020" s="5">
        <v>0.91700000000000004</v>
      </c>
      <c r="H3020" s="4">
        <f>62.5/1440</f>
        <v>4.3402777777777776E-2</v>
      </c>
      <c r="I3020" s="5">
        <v>9.2999999999999999E-2</v>
      </c>
      <c r="J3020" s="11" t="s">
        <v>3928</v>
      </c>
    </row>
    <row r="3021" spans="1:10" ht="13.15" customHeight="1" x14ac:dyDescent="0.25">
      <c r="A3021">
        <f t="shared" ref="A3021:A3085" si="467">A3020+1</f>
        <v>3016</v>
      </c>
      <c r="B3021" t="s">
        <v>3927</v>
      </c>
      <c r="C3021" s="2">
        <v>0.57986111111111116</v>
      </c>
      <c r="D3021" s="4">
        <f t="shared" si="465"/>
        <v>0.13680555555555562</v>
      </c>
      <c r="E3021" s="6">
        <v>0.44305555555555554</v>
      </c>
      <c r="F3021" s="5">
        <f t="shared" si="466"/>
        <v>0.76407185628742502</v>
      </c>
      <c r="G3021" s="5">
        <v>0.82399999999999995</v>
      </c>
      <c r="H3021" s="4">
        <f>67.5/1440</f>
        <v>4.6875E-2</v>
      </c>
      <c r="I3021" s="5">
        <v>8.6999999999999994E-2</v>
      </c>
      <c r="J3021" s="11" t="s">
        <v>3928</v>
      </c>
    </row>
    <row r="3022" spans="1:10" ht="13.15" customHeight="1" x14ac:dyDescent="0.25">
      <c r="A3022">
        <f t="shared" si="467"/>
        <v>3017</v>
      </c>
      <c r="B3022" t="s">
        <v>3930</v>
      </c>
      <c r="C3022" s="2">
        <v>0.4597222222222222</v>
      </c>
      <c r="D3022" s="4">
        <f t="shared" ref="D3022:D3030" si="468">C3022-E3022</f>
        <v>0.12291666666666662</v>
      </c>
      <c r="E3022" s="6">
        <v>0.33680555555555558</v>
      </c>
      <c r="F3022" s="5">
        <f t="shared" ref="F3022:F3030" si="469">E3022/C3022</f>
        <v>0.73262839879154085</v>
      </c>
      <c r="G3022" s="5">
        <v>0.80400000000000005</v>
      </c>
      <c r="H3022" s="4">
        <f>61.1/1440</f>
        <v>4.2430555555555555E-2</v>
      </c>
      <c r="I3022" s="5">
        <v>0.10100000000000001</v>
      </c>
      <c r="J3022" s="11" t="s">
        <v>3940</v>
      </c>
    </row>
    <row r="3023" spans="1:10" ht="13.15" customHeight="1" x14ac:dyDescent="0.25">
      <c r="A3023">
        <f t="shared" si="467"/>
        <v>3018</v>
      </c>
      <c r="B3023" t="s">
        <v>3931</v>
      </c>
      <c r="C3023" s="2">
        <v>0.43888888888888888</v>
      </c>
      <c r="D3023" s="4">
        <f t="shared" si="468"/>
        <v>0.11736111111111108</v>
      </c>
      <c r="E3023" s="6">
        <v>0.3215277777777778</v>
      </c>
      <c r="F3023" s="5">
        <f t="shared" si="469"/>
        <v>0.73259493670886078</v>
      </c>
      <c r="G3023" s="5">
        <v>0.79600000000000004</v>
      </c>
      <c r="H3023" s="4">
        <f>66.5/1440</f>
        <v>4.6180555555555558E-2</v>
      </c>
      <c r="I3023" s="5">
        <v>0.114</v>
      </c>
      <c r="J3023" s="11" t="s">
        <v>3940</v>
      </c>
    </row>
    <row r="3024" spans="1:10" ht="13.15" customHeight="1" x14ac:dyDescent="0.25">
      <c r="A3024">
        <f t="shared" si="467"/>
        <v>3019</v>
      </c>
      <c r="B3024" t="s">
        <v>3932</v>
      </c>
      <c r="C3024" s="2">
        <v>0.46388888888888891</v>
      </c>
      <c r="D3024" s="4">
        <f t="shared" si="468"/>
        <v>0.11527777777777781</v>
      </c>
      <c r="E3024" s="6">
        <v>0.34861111111111109</v>
      </c>
      <c r="F3024" s="5">
        <f t="shared" si="469"/>
        <v>0.75149700598802394</v>
      </c>
      <c r="G3024" s="5">
        <v>0.79500000000000004</v>
      </c>
      <c r="H3024" s="4">
        <f>71.6/1440</f>
        <v>4.9722222222222216E-2</v>
      </c>
      <c r="I3024" s="5">
        <v>0.113</v>
      </c>
      <c r="J3024" s="11" t="s">
        <v>3940</v>
      </c>
    </row>
    <row r="3025" spans="1:10" ht="13.15" customHeight="1" x14ac:dyDescent="0.25">
      <c r="A3025">
        <f t="shared" si="467"/>
        <v>3020</v>
      </c>
      <c r="B3025" t="s">
        <v>3933</v>
      </c>
      <c r="C3025" s="2">
        <v>0.39583333333333331</v>
      </c>
      <c r="D3025" s="4">
        <f t="shared" si="468"/>
        <v>0.11736111111111108</v>
      </c>
      <c r="E3025" s="6">
        <v>0.27847222222222223</v>
      </c>
      <c r="F3025" s="5">
        <f t="shared" si="469"/>
        <v>0.70350877192982464</v>
      </c>
      <c r="G3025" s="5">
        <v>0.75600000000000001</v>
      </c>
      <c r="H3025" s="4">
        <f>48.5/1440</f>
        <v>3.3680555555555554E-2</v>
      </c>
      <c r="I3025" s="5">
        <v>9.0999999999999998E-2</v>
      </c>
      <c r="J3025" s="11" t="s">
        <v>3940</v>
      </c>
    </row>
    <row r="3026" spans="1:10" ht="13.15" customHeight="1" x14ac:dyDescent="0.25">
      <c r="A3026">
        <f t="shared" si="467"/>
        <v>3021</v>
      </c>
      <c r="B3026" t="s">
        <v>3934</v>
      </c>
      <c r="C3026" s="2">
        <v>0.51736111111111116</v>
      </c>
      <c r="D3026" s="4">
        <f t="shared" si="468"/>
        <v>0.10902777777777783</v>
      </c>
      <c r="E3026" s="6">
        <v>0.40833333333333333</v>
      </c>
      <c r="F3026" s="5">
        <f t="shared" si="469"/>
        <v>0.78926174496644286</v>
      </c>
      <c r="G3026" s="5">
        <v>0.82899999999999996</v>
      </c>
      <c r="H3026" s="4">
        <f>68.1/1440</f>
        <v>4.7291666666666662E-2</v>
      </c>
      <c r="I3026" s="5">
        <v>9.6000000000000002E-2</v>
      </c>
      <c r="J3026" s="11" t="s">
        <v>3940</v>
      </c>
    </row>
    <row r="3027" spans="1:10" ht="13.15" customHeight="1" x14ac:dyDescent="0.25">
      <c r="A3027">
        <f t="shared" si="467"/>
        <v>3022</v>
      </c>
      <c r="B3027" t="s">
        <v>3935</v>
      </c>
      <c r="C3027" s="2">
        <v>0.49930555555555556</v>
      </c>
      <c r="D3027" s="4">
        <f t="shared" si="468"/>
        <v>0.15138888888888891</v>
      </c>
      <c r="E3027" s="6">
        <v>0.34791666666666665</v>
      </c>
      <c r="F3027" s="5">
        <f t="shared" si="469"/>
        <v>0.69680111265646727</v>
      </c>
      <c r="G3027" s="5">
        <v>0.81200000000000006</v>
      </c>
      <c r="H3027" s="4">
        <f>52/1440</f>
        <v>3.6111111111111108E-2</v>
      </c>
      <c r="I3027" s="5">
        <v>8.4000000000000005E-2</v>
      </c>
      <c r="J3027" s="11" t="s">
        <v>3939</v>
      </c>
    </row>
    <row r="3028" spans="1:10" ht="13.15" customHeight="1" x14ac:dyDescent="0.25">
      <c r="A3028">
        <f t="shared" si="467"/>
        <v>3023</v>
      </c>
      <c r="B3028" t="s">
        <v>3936</v>
      </c>
      <c r="C3028" s="2">
        <v>0.49166666666666664</v>
      </c>
      <c r="D3028" s="4">
        <f t="shared" si="468"/>
        <v>0.16805555555555551</v>
      </c>
      <c r="E3028" s="6">
        <v>0.32361111111111113</v>
      </c>
      <c r="F3028" s="5">
        <f t="shared" si="469"/>
        <v>0.65819209039548032</v>
      </c>
      <c r="G3028" s="5">
        <v>0.84099999999999997</v>
      </c>
      <c r="H3028" s="4">
        <f>53.6/1440</f>
        <v>3.7222222222222226E-2</v>
      </c>
      <c r="I3028" s="5">
        <v>9.7000000000000003E-2</v>
      </c>
      <c r="J3028" s="11" t="s">
        <v>3939</v>
      </c>
    </row>
    <row r="3029" spans="1:10" ht="13.15" customHeight="1" x14ac:dyDescent="0.25">
      <c r="A3029">
        <f t="shared" si="467"/>
        <v>3024</v>
      </c>
      <c r="B3029" t="s">
        <v>3937</v>
      </c>
      <c r="C3029" s="2">
        <v>0.54027777777777775</v>
      </c>
      <c r="D3029" s="4">
        <f t="shared" si="468"/>
        <v>0.15138888888888885</v>
      </c>
      <c r="E3029" s="6">
        <v>0.3888888888888889</v>
      </c>
      <c r="F3029" s="5">
        <f t="shared" si="469"/>
        <v>0.71979434447300772</v>
      </c>
      <c r="G3029" s="5">
        <v>0.8</v>
      </c>
      <c r="H3029" s="4">
        <f>65.5/1440</f>
        <v>4.5486111111111109E-2</v>
      </c>
      <c r="I3029" s="5">
        <v>9.2999999999999999E-2</v>
      </c>
      <c r="J3029" s="11" t="s">
        <v>3939</v>
      </c>
    </row>
    <row r="3030" spans="1:10" ht="13.15" customHeight="1" x14ac:dyDescent="0.25">
      <c r="A3030">
        <f t="shared" si="467"/>
        <v>3025</v>
      </c>
      <c r="B3030" t="s">
        <v>3938</v>
      </c>
      <c r="C3030" s="2">
        <v>0.56111111111111112</v>
      </c>
      <c r="D3030" s="4">
        <f t="shared" si="468"/>
        <v>0.13958333333333334</v>
      </c>
      <c r="E3030" s="6">
        <v>0.42152777777777778</v>
      </c>
      <c r="F3030" s="5">
        <f t="shared" si="469"/>
        <v>0.75123762376237624</v>
      </c>
      <c r="G3030" s="5">
        <v>0.874</v>
      </c>
      <c r="H3030" s="4">
        <f>58.1/1440</f>
        <v>4.0347222222222222E-2</v>
      </c>
      <c r="I3030" s="5">
        <v>8.4000000000000005E-2</v>
      </c>
      <c r="J3030" s="11" t="s">
        <v>3939</v>
      </c>
    </row>
    <row r="3031" spans="1:10" ht="13.15" customHeight="1" x14ac:dyDescent="0.25">
      <c r="A3031">
        <f t="shared" si="467"/>
        <v>3026</v>
      </c>
      <c r="B3031" t="s">
        <v>3941</v>
      </c>
      <c r="C3031" s="2">
        <v>0.49166666666666664</v>
      </c>
      <c r="D3031" s="4">
        <f t="shared" ref="D3031:D3039" si="470">C3031-E3031</f>
        <v>0.1069444444444444</v>
      </c>
      <c r="E3031" s="6">
        <v>0.38472222222222224</v>
      </c>
      <c r="F3031" s="5">
        <f t="shared" ref="F3031:F3039" si="471">E3031/C3031</f>
        <v>0.78248587570621475</v>
      </c>
      <c r="G3031" s="5">
        <v>0.81799999999999995</v>
      </c>
      <c r="H3031" s="4">
        <f>58.6/1440</f>
        <v>4.0694444444444443E-2</v>
      </c>
      <c r="I3031" s="5">
        <v>8.5999999999999993E-2</v>
      </c>
      <c r="J3031" s="11" t="s">
        <v>3951</v>
      </c>
    </row>
    <row r="3032" spans="1:10" ht="13.15" customHeight="1" x14ac:dyDescent="0.25">
      <c r="A3032">
        <f t="shared" si="467"/>
        <v>3027</v>
      </c>
      <c r="B3032" t="s">
        <v>3942</v>
      </c>
      <c r="C3032" s="2">
        <v>0.54583333333333328</v>
      </c>
      <c r="D3032" s="4">
        <f t="shared" si="470"/>
        <v>0.1465277777777777</v>
      </c>
      <c r="E3032" s="6">
        <v>0.39930555555555558</v>
      </c>
      <c r="F3032" s="5">
        <f t="shared" si="471"/>
        <v>0.7315521628498729</v>
      </c>
      <c r="G3032" s="5">
        <v>0.83799999999999997</v>
      </c>
      <c r="H3032" s="4">
        <f>53.8/1440</f>
        <v>3.7361111111111109E-2</v>
      </c>
      <c r="I3032" s="5">
        <v>7.8E-2</v>
      </c>
      <c r="J3032" s="11" t="s">
        <v>3951</v>
      </c>
    </row>
    <row r="3033" spans="1:10" ht="13.15" customHeight="1" x14ac:dyDescent="0.25">
      <c r="A3033">
        <f t="shared" si="467"/>
        <v>3028</v>
      </c>
      <c r="B3033" t="s">
        <v>3943</v>
      </c>
      <c r="C3033" s="2">
        <v>0.46666666666666667</v>
      </c>
      <c r="D3033" s="4">
        <f t="shared" si="470"/>
        <v>0.13194444444444448</v>
      </c>
      <c r="E3033" s="6">
        <v>0.3347222222222222</v>
      </c>
      <c r="F3033" s="5">
        <f t="shared" si="471"/>
        <v>0.71726190476190466</v>
      </c>
      <c r="G3033" s="5">
        <v>0.83899999999999997</v>
      </c>
      <c r="H3033" s="4">
        <f>58.3/1440</f>
        <v>4.0486111111111112E-2</v>
      </c>
      <c r="I3033" s="5">
        <v>9.7000000000000003E-2</v>
      </c>
      <c r="J3033" s="11" t="s">
        <v>3951</v>
      </c>
    </row>
    <row r="3034" spans="1:10" ht="13.15" customHeight="1" x14ac:dyDescent="0.25">
      <c r="A3034">
        <f t="shared" si="467"/>
        <v>3029</v>
      </c>
      <c r="B3034" t="s">
        <v>3944</v>
      </c>
      <c r="C3034" s="2">
        <v>0.44791666666666669</v>
      </c>
      <c r="D3034" s="4">
        <f t="shared" si="470"/>
        <v>0.10625000000000001</v>
      </c>
      <c r="E3034" s="6">
        <v>0.34166666666666667</v>
      </c>
      <c r="F3034" s="5">
        <f t="shared" si="471"/>
        <v>0.76279069767441854</v>
      </c>
      <c r="G3034" s="5">
        <v>0.85199999999999998</v>
      </c>
      <c r="H3034" s="4">
        <f>61.3/1440</f>
        <v>4.2569444444444444E-2</v>
      </c>
      <c r="I3034" s="5">
        <v>0.106</v>
      </c>
      <c r="J3034" s="11" t="s">
        <v>3951</v>
      </c>
    </row>
    <row r="3035" spans="1:10" ht="13.15" customHeight="1" x14ac:dyDescent="0.25">
      <c r="A3035">
        <f t="shared" si="467"/>
        <v>3030</v>
      </c>
      <c r="B3035" t="s">
        <v>3945</v>
      </c>
      <c r="C3035" s="2">
        <v>0.45</v>
      </c>
      <c r="D3035" s="4">
        <f t="shared" si="470"/>
        <v>8.7500000000000022E-2</v>
      </c>
      <c r="E3035" s="6">
        <v>0.36249999999999999</v>
      </c>
      <c r="F3035" s="5">
        <f t="shared" si="471"/>
        <v>0.80555555555555547</v>
      </c>
      <c r="G3035" s="5">
        <v>0.751</v>
      </c>
      <c r="H3035" s="4">
        <f>47.3/1440</f>
        <v>3.2847222222222222E-2</v>
      </c>
      <c r="I3035" s="5">
        <v>6.8000000000000005E-2</v>
      </c>
      <c r="J3035" s="11" t="s">
        <v>3951</v>
      </c>
    </row>
    <row r="3036" spans="1:10" ht="13.15" customHeight="1" x14ac:dyDescent="0.25">
      <c r="A3036">
        <f t="shared" si="467"/>
        <v>3031</v>
      </c>
      <c r="B3036" t="s">
        <v>3946</v>
      </c>
      <c r="C3036" s="2">
        <v>0.46875</v>
      </c>
      <c r="D3036" s="4">
        <f t="shared" si="470"/>
        <v>8.9583333333333348E-2</v>
      </c>
      <c r="E3036" s="6">
        <v>0.37916666666666665</v>
      </c>
      <c r="F3036" s="5">
        <f t="shared" si="471"/>
        <v>0.80888888888888888</v>
      </c>
      <c r="G3036" s="5">
        <v>0.81599999999999995</v>
      </c>
      <c r="H3036" s="4">
        <f>74.4/1440</f>
        <v>5.1666666666666673E-2</v>
      </c>
      <c r="I3036" s="5">
        <v>0.111</v>
      </c>
      <c r="J3036" s="11" t="s">
        <v>3950</v>
      </c>
    </row>
    <row r="3037" spans="1:10" ht="13.15" customHeight="1" x14ac:dyDescent="0.25">
      <c r="A3037">
        <f t="shared" si="467"/>
        <v>3032</v>
      </c>
      <c r="B3037" t="s">
        <v>3947</v>
      </c>
      <c r="C3037" s="2">
        <v>0.46666666666666667</v>
      </c>
      <c r="D3037" s="4">
        <f t="shared" si="470"/>
        <v>0.12430555555555556</v>
      </c>
      <c r="E3037" s="6">
        <v>0.34236111111111112</v>
      </c>
      <c r="F3037" s="5">
        <f t="shared" si="471"/>
        <v>0.73363095238095233</v>
      </c>
      <c r="G3037" s="5">
        <v>0.85499999999999998</v>
      </c>
      <c r="H3037" s="4">
        <f>44.7/1440</f>
        <v>3.1041666666666669E-2</v>
      </c>
      <c r="I3037" s="5">
        <v>7.6999999999999999E-2</v>
      </c>
      <c r="J3037" s="11" t="s">
        <v>3950</v>
      </c>
    </row>
    <row r="3038" spans="1:10" ht="13.15" customHeight="1" x14ac:dyDescent="0.25">
      <c r="A3038">
        <f t="shared" si="467"/>
        <v>3033</v>
      </c>
      <c r="B3038" t="s">
        <v>3948</v>
      </c>
      <c r="C3038" s="2">
        <v>0.52430555555555558</v>
      </c>
      <c r="D3038" s="4">
        <f t="shared" si="470"/>
        <v>0.10138888888888892</v>
      </c>
      <c r="E3038" s="6">
        <v>0.42291666666666666</v>
      </c>
      <c r="F3038" s="5">
        <f t="shared" si="471"/>
        <v>0.80662251655629136</v>
      </c>
      <c r="G3038" s="5">
        <v>0.753</v>
      </c>
      <c r="H3038" s="4">
        <f>71.6/1440</f>
        <v>4.9722222222222216E-2</v>
      </c>
      <c r="I3038" s="5">
        <v>8.7999999999999995E-2</v>
      </c>
      <c r="J3038" s="11" t="s">
        <v>3950</v>
      </c>
    </row>
    <row r="3039" spans="1:10" ht="13.15" customHeight="1" x14ac:dyDescent="0.25">
      <c r="A3039">
        <f t="shared" si="467"/>
        <v>3034</v>
      </c>
      <c r="B3039" t="s">
        <v>3949</v>
      </c>
      <c r="C3039" s="2">
        <v>0.60138888888888886</v>
      </c>
      <c r="D3039" s="4">
        <f t="shared" si="470"/>
        <v>0.14027777777777772</v>
      </c>
      <c r="E3039" s="6">
        <v>0.46111111111111114</v>
      </c>
      <c r="F3039" s="5">
        <f t="shared" si="471"/>
        <v>0.7667436489607391</v>
      </c>
      <c r="G3039" s="5">
        <v>0.94299999999999995</v>
      </c>
      <c r="H3039" s="4">
        <f>66.8/1440</f>
        <v>4.6388888888888889E-2</v>
      </c>
      <c r="I3039" s="5">
        <v>9.5000000000000001E-2</v>
      </c>
      <c r="J3039" s="11" t="s">
        <v>3950</v>
      </c>
    </row>
    <row r="3040" spans="1:10" ht="13.15" customHeight="1" x14ac:dyDescent="0.25">
      <c r="A3040">
        <f t="shared" si="467"/>
        <v>3035</v>
      </c>
      <c r="B3040" t="s">
        <v>3952</v>
      </c>
      <c r="C3040" s="2">
        <v>0.44722222222222224</v>
      </c>
      <c r="D3040" s="4">
        <f t="shared" ref="D3040:D3066" si="472">C3040-E3040</f>
        <v>0.11319444444444449</v>
      </c>
      <c r="E3040" s="6">
        <v>0.33402777777777776</v>
      </c>
      <c r="F3040" s="5">
        <f t="shared" ref="F3040:F3066" si="473">E3040/C3040</f>
        <v>0.74689440993788814</v>
      </c>
      <c r="G3040" s="5">
        <v>0.75900000000000001</v>
      </c>
      <c r="H3040" s="4">
        <f>60.4/1440</f>
        <v>4.1944444444444444E-2</v>
      </c>
      <c r="I3040" s="5">
        <v>9.5000000000000001E-2</v>
      </c>
      <c r="J3040" s="11" t="s">
        <v>3962</v>
      </c>
    </row>
    <row r="3041" spans="1:10" ht="13.15" customHeight="1" x14ac:dyDescent="0.25">
      <c r="A3041">
        <f t="shared" si="467"/>
        <v>3036</v>
      </c>
      <c r="B3041" t="s">
        <v>3953</v>
      </c>
      <c r="C3041" s="2">
        <v>0.47222222222222221</v>
      </c>
      <c r="D3041" s="4">
        <f t="shared" si="472"/>
        <v>0.11666666666666664</v>
      </c>
      <c r="E3041" s="6">
        <v>0.35555555555555557</v>
      </c>
      <c r="F3041" s="5">
        <f t="shared" si="473"/>
        <v>0.75294117647058834</v>
      </c>
      <c r="G3041" s="5">
        <v>0.82799999999999996</v>
      </c>
      <c r="H3041" s="4">
        <f>67.5/1440</f>
        <v>4.6875E-2</v>
      </c>
      <c r="I3041" s="5">
        <v>0.109</v>
      </c>
      <c r="J3041" s="11" t="s">
        <v>3962</v>
      </c>
    </row>
    <row r="3042" spans="1:10" ht="13.15" customHeight="1" x14ac:dyDescent="0.25">
      <c r="A3042">
        <f t="shared" si="467"/>
        <v>3037</v>
      </c>
      <c r="B3042" t="s">
        <v>3954</v>
      </c>
      <c r="C3042" s="2">
        <v>0.39930555555555558</v>
      </c>
      <c r="D3042" s="4">
        <f t="shared" si="472"/>
        <v>0.11388888888888893</v>
      </c>
      <c r="E3042" s="6">
        <v>0.28541666666666665</v>
      </c>
      <c r="F3042" s="5">
        <f t="shared" si="473"/>
        <v>0.71478260869565213</v>
      </c>
      <c r="G3042" s="5">
        <v>0.67900000000000005</v>
      </c>
      <c r="H3042" s="4">
        <f>56.5/1440</f>
        <v>3.923611111111111E-2</v>
      </c>
      <c r="I3042" s="5">
        <v>9.2999999999999999E-2</v>
      </c>
      <c r="J3042" s="11" t="s">
        <v>3962</v>
      </c>
    </row>
    <row r="3043" spans="1:10" ht="13.15" customHeight="1" x14ac:dyDescent="0.25">
      <c r="A3043">
        <f t="shared" si="467"/>
        <v>3038</v>
      </c>
      <c r="B3043" t="s">
        <v>3955</v>
      </c>
      <c r="C3043" s="2">
        <v>0.42638888888888887</v>
      </c>
      <c r="D3043" s="4">
        <f t="shared" si="472"/>
        <v>0.12083333333333329</v>
      </c>
      <c r="E3043" s="6">
        <v>0.30555555555555558</v>
      </c>
      <c r="F3043" s="5">
        <f t="shared" si="473"/>
        <v>0.71661237785016296</v>
      </c>
      <c r="G3043" s="5">
        <v>0.72</v>
      </c>
      <c r="H3043" s="4">
        <f>53.8/1440</f>
        <v>3.7361111111111109E-2</v>
      </c>
      <c r="I3043" s="5">
        <v>8.7999999999999995E-2</v>
      </c>
      <c r="J3043" s="11" t="s">
        <v>3962</v>
      </c>
    </row>
    <row r="3044" spans="1:10" ht="13.15" customHeight="1" x14ac:dyDescent="0.25">
      <c r="A3044">
        <f t="shared" si="467"/>
        <v>3039</v>
      </c>
      <c r="B3044" t="s">
        <v>3956</v>
      </c>
      <c r="C3044" s="2">
        <v>0.41319444444444442</v>
      </c>
      <c r="D3044" s="4">
        <f t="shared" si="472"/>
        <v>9.6527777777777768E-2</v>
      </c>
      <c r="E3044" s="6">
        <v>0.31666666666666665</v>
      </c>
      <c r="F3044" s="5">
        <f t="shared" si="473"/>
        <v>0.76638655462184879</v>
      </c>
      <c r="G3044" s="5">
        <v>0.747</v>
      </c>
      <c r="H3044" s="4">
        <f>57.2/1440</f>
        <v>3.9722222222222221E-2</v>
      </c>
      <c r="I3044" s="5">
        <v>9.4E-2</v>
      </c>
      <c r="J3044" s="11" t="s">
        <v>3962</v>
      </c>
    </row>
    <row r="3045" spans="1:10" ht="13.15" customHeight="1" x14ac:dyDescent="0.25">
      <c r="A3045">
        <f t="shared" si="467"/>
        <v>3040</v>
      </c>
      <c r="B3045" t="s">
        <v>3957</v>
      </c>
      <c r="C3045" s="2">
        <v>0.48194444444444445</v>
      </c>
      <c r="D3045" s="4">
        <f t="shared" si="472"/>
        <v>0.13611111111111113</v>
      </c>
      <c r="E3045" s="6">
        <v>0.34583333333333333</v>
      </c>
      <c r="F3045" s="5">
        <f t="shared" si="473"/>
        <v>0.71757925072046103</v>
      </c>
      <c r="G3045" s="5">
        <v>0.68100000000000005</v>
      </c>
      <c r="H3045" s="4">
        <f>59.8/1440</f>
        <v>4.1527777777777775E-2</v>
      </c>
      <c r="I3045" s="5">
        <v>8.2000000000000003E-2</v>
      </c>
      <c r="J3045" s="11" t="s">
        <v>3961</v>
      </c>
    </row>
    <row r="3046" spans="1:10" ht="13.15" customHeight="1" x14ac:dyDescent="0.25">
      <c r="A3046">
        <f t="shared" si="467"/>
        <v>3041</v>
      </c>
      <c r="B3046" t="s">
        <v>3958</v>
      </c>
      <c r="C3046" s="2">
        <v>0.54791666666666672</v>
      </c>
      <c r="D3046" s="4">
        <f t="shared" si="472"/>
        <v>0.15069444444444452</v>
      </c>
      <c r="E3046" s="6">
        <v>0.3972222222222222</v>
      </c>
      <c r="F3046" s="5">
        <f t="shared" si="473"/>
        <v>0.72496831432192643</v>
      </c>
      <c r="G3046" s="5">
        <v>0.85699999999999998</v>
      </c>
      <c r="H3046" s="4">
        <f>62.8/1440</f>
        <v>4.3611111111111107E-2</v>
      </c>
      <c r="I3046" s="5">
        <v>9.4E-2</v>
      </c>
      <c r="J3046" s="11" t="s">
        <v>3961</v>
      </c>
    </row>
    <row r="3047" spans="1:10" ht="13.15" customHeight="1" x14ac:dyDescent="0.25">
      <c r="A3047">
        <f t="shared" si="467"/>
        <v>3042</v>
      </c>
      <c r="B3047" t="s">
        <v>3959</v>
      </c>
      <c r="C3047" s="2">
        <v>0.45694444444444443</v>
      </c>
      <c r="D3047" s="4">
        <f t="shared" si="472"/>
        <v>0.10972222222222222</v>
      </c>
      <c r="E3047" s="6">
        <v>0.34722222222222221</v>
      </c>
      <c r="F3047" s="5">
        <f t="shared" si="473"/>
        <v>0.75987841945288759</v>
      </c>
      <c r="G3047" s="5">
        <v>0.86</v>
      </c>
      <c r="H3047" s="4">
        <f>58.6/1440</f>
        <v>4.0694444444444443E-2</v>
      </c>
      <c r="I3047" s="5">
        <v>0.10100000000000001</v>
      </c>
      <c r="J3047" s="11" t="s">
        <v>3961</v>
      </c>
    </row>
    <row r="3048" spans="1:10" ht="13.15" customHeight="1" x14ac:dyDescent="0.25">
      <c r="A3048">
        <f t="shared" si="467"/>
        <v>3043</v>
      </c>
      <c r="B3048" t="s">
        <v>3960</v>
      </c>
      <c r="C3048" s="2">
        <v>0.4861111111111111</v>
      </c>
      <c r="D3048" s="4">
        <f t="shared" si="472"/>
        <v>0.1076388888888889</v>
      </c>
      <c r="E3048" s="6">
        <v>0.37847222222222221</v>
      </c>
      <c r="F3048" s="5">
        <f t="shared" si="473"/>
        <v>0.77857142857142858</v>
      </c>
      <c r="G3048" s="5">
        <v>0.77700000000000002</v>
      </c>
      <c r="H3048" s="4">
        <f>57.4/1440</f>
        <v>3.9861111111111111E-2</v>
      </c>
      <c r="I3048" s="5">
        <v>8.2000000000000003E-2</v>
      </c>
      <c r="J3048" s="11" t="s">
        <v>3961</v>
      </c>
    </row>
    <row r="3049" spans="1:10" ht="13.15" customHeight="1" x14ac:dyDescent="0.25">
      <c r="A3049">
        <f t="shared" si="467"/>
        <v>3044</v>
      </c>
      <c r="B3049" t="s">
        <v>3963</v>
      </c>
      <c r="C3049" s="2">
        <v>0.44583333333333336</v>
      </c>
      <c r="D3049" s="4">
        <f t="shared" si="472"/>
        <v>0.1076388888888889</v>
      </c>
      <c r="E3049" s="6">
        <v>0.33819444444444446</v>
      </c>
      <c r="F3049" s="5">
        <f t="shared" si="473"/>
        <v>0.75856697819314645</v>
      </c>
      <c r="G3049" s="5">
        <v>0.82199999999999995</v>
      </c>
      <c r="H3049" s="4">
        <f>63.44/1440</f>
        <v>4.4055555555555556E-2</v>
      </c>
      <c r="I3049" s="5">
        <v>0.107</v>
      </c>
      <c r="J3049" s="11" t="s">
        <v>3973</v>
      </c>
    </row>
    <row r="3050" spans="1:10" ht="13.15" customHeight="1" x14ac:dyDescent="0.25">
      <c r="A3050">
        <f t="shared" si="467"/>
        <v>3045</v>
      </c>
      <c r="B3050" t="s">
        <v>3964</v>
      </c>
      <c r="C3050" s="2">
        <v>0.47708333333333336</v>
      </c>
      <c r="D3050" s="4">
        <f t="shared" si="472"/>
        <v>0.11388888888888893</v>
      </c>
      <c r="E3050" s="6">
        <v>0.36319444444444443</v>
      </c>
      <c r="F3050" s="5">
        <f t="shared" si="473"/>
        <v>0.76128093158660837</v>
      </c>
      <c r="G3050" s="5">
        <v>0.80400000000000005</v>
      </c>
      <c r="H3050" s="4">
        <f>61.7/1440</f>
        <v>4.2847222222222224E-2</v>
      </c>
      <c r="I3050" s="5">
        <v>9.5000000000000001E-2</v>
      </c>
      <c r="J3050" s="11" t="s">
        <v>3973</v>
      </c>
    </row>
    <row r="3051" spans="1:10" ht="13.15" customHeight="1" x14ac:dyDescent="0.25">
      <c r="A3051">
        <f t="shared" si="467"/>
        <v>3046</v>
      </c>
      <c r="B3051" t="s">
        <v>3965</v>
      </c>
      <c r="C3051" s="2">
        <v>0.43611111111111112</v>
      </c>
      <c r="D3051" s="4">
        <f t="shared" si="472"/>
        <v>9.8611111111111094E-2</v>
      </c>
      <c r="E3051" s="6">
        <v>0.33750000000000002</v>
      </c>
      <c r="F3051" s="5">
        <f t="shared" si="473"/>
        <v>0.77388535031847139</v>
      </c>
      <c r="G3051" s="5">
        <v>0.77200000000000002</v>
      </c>
      <c r="H3051" s="4">
        <f>66.7/1440</f>
        <v>4.6319444444444448E-2</v>
      </c>
      <c r="I3051" s="5">
        <v>0.106</v>
      </c>
      <c r="J3051" s="11" t="s">
        <v>3973</v>
      </c>
    </row>
    <row r="3052" spans="1:10" ht="13.15" customHeight="1" x14ac:dyDescent="0.25">
      <c r="A3052">
        <f t="shared" si="467"/>
        <v>3047</v>
      </c>
      <c r="B3052" t="s">
        <v>3966</v>
      </c>
      <c r="C3052" s="2">
        <v>0.41736111111111113</v>
      </c>
      <c r="D3052" s="4">
        <f t="shared" si="472"/>
        <v>0.10694444444444445</v>
      </c>
      <c r="E3052" s="6">
        <v>0.31041666666666667</v>
      </c>
      <c r="F3052" s="5">
        <f t="shared" si="473"/>
        <v>0.7437603993344426</v>
      </c>
      <c r="G3052" s="5">
        <v>0.76900000000000002</v>
      </c>
      <c r="H3052" s="4">
        <f>64.44/1440</f>
        <v>4.4749999999999998E-2</v>
      </c>
      <c r="I3052" s="5">
        <v>0.111</v>
      </c>
      <c r="J3052" s="11" t="s">
        <v>3973</v>
      </c>
    </row>
    <row r="3053" spans="1:10" ht="13.15" customHeight="1" x14ac:dyDescent="0.25">
      <c r="A3053">
        <f t="shared" si="467"/>
        <v>3048</v>
      </c>
      <c r="B3053" t="s">
        <v>3967</v>
      </c>
      <c r="C3053" s="2">
        <v>0.42569444444444443</v>
      </c>
      <c r="D3053" s="4">
        <f t="shared" si="472"/>
        <v>0.1111111111111111</v>
      </c>
      <c r="E3053" s="6">
        <v>0.31458333333333333</v>
      </c>
      <c r="F3053" s="5">
        <f t="shared" si="473"/>
        <v>0.73898858075040785</v>
      </c>
      <c r="G3053" s="5">
        <v>0.9</v>
      </c>
      <c r="H3053" s="4">
        <f>62.9/1440</f>
        <v>4.3680555555555556E-2</v>
      </c>
      <c r="I3053" s="5">
        <v>0.125</v>
      </c>
      <c r="J3053" s="11" t="s">
        <v>3973</v>
      </c>
    </row>
    <row r="3054" spans="1:10" ht="13.15" customHeight="1" x14ac:dyDescent="0.25">
      <c r="A3054">
        <f t="shared" si="467"/>
        <v>3049</v>
      </c>
      <c r="B3054" t="s">
        <v>3968</v>
      </c>
      <c r="C3054" s="2">
        <v>0.41458333333333336</v>
      </c>
      <c r="D3054" s="4">
        <f t="shared" si="472"/>
        <v>0.10347222222222224</v>
      </c>
      <c r="E3054" s="6">
        <v>0.31111111111111112</v>
      </c>
      <c r="F3054" s="5">
        <f t="shared" si="473"/>
        <v>0.75041876046901168</v>
      </c>
      <c r="G3054" s="5">
        <v>0.83599999999999997</v>
      </c>
      <c r="H3054" s="4">
        <f>62.5/1440</f>
        <v>4.3402777777777776E-2</v>
      </c>
      <c r="I3054" s="5">
        <v>0.11700000000000001</v>
      </c>
      <c r="J3054" s="11" t="s">
        <v>3972</v>
      </c>
    </row>
    <row r="3055" spans="1:10" ht="13.15" customHeight="1" x14ac:dyDescent="0.25">
      <c r="A3055">
        <f t="shared" si="467"/>
        <v>3050</v>
      </c>
      <c r="B3055" t="s">
        <v>3969</v>
      </c>
      <c r="C3055" s="2">
        <v>0.48472222222222222</v>
      </c>
      <c r="D3055" s="4">
        <f t="shared" si="472"/>
        <v>0.10972222222222222</v>
      </c>
      <c r="E3055" s="6">
        <v>0.375</v>
      </c>
      <c r="F3055" s="5">
        <f t="shared" si="473"/>
        <v>0.77363896848137537</v>
      </c>
      <c r="G3055" s="5">
        <v>0.79600000000000004</v>
      </c>
      <c r="H3055" s="4">
        <f>59.3/1440</f>
        <v>4.1180555555555554E-2</v>
      </c>
      <c r="I3055" s="5">
        <v>8.6999999999999994E-2</v>
      </c>
      <c r="J3055" s="11" t="s">
        <v>3972</v>
      </c>
    </row>
    <row r="3056" spans="1:10" ht="13.15" customHeight="1" x14ac:dyDescent="0.25">
      <c r="A3056">
        <f t="shared" si="467"/>
        <v>3051</v>
      </c>
      <c r="B3056" t="s">
        <v>3970</v>
      </c>
      <c r="C3056" s="2">
        <v>0.56111111111111112</v>
      </c>
      <c r="D3056" s="4">
        <f t="shared" si="472"/>
        <v>0.13055555555555554</v>
      </c>
      <c r="E3056" s="6">
        <v>0.43055555555555558</v>
      </c>
      <c r="F3056" s="5">
        <f t="shared" si="473"/>
        <v>0.76732673267326734</v>
      </c>
      <c r="G3056" s="5">
        <v>0.89500000000000002</v>
      </c>
      <c r="H3056" s="4">
        <f>70.3/1440</f>
        <v>4.8819444444444443E-2</v>
      </c>
      <c r="I3056" s="5">
        <v>0.10100000000000001</v>
      </c>
      <c r="J3056" s="11" t="s">
        <v>3972</v>
      </c>
    </row>
    <row r="3057" spans="1:10" ht="13.15" customHeight="1" x14ac:dyDescent="0.25">
      <c r="A3057">
        <f t="shared" si="467"/>
        <v>3052</v>
      </c>
      <c r="B3057" t="s">
        <v>3971</v>
      </c>
      <c r="C3057" s="2">
        <v>0.47013888888888888</v>
      </c>
      <c r="D3057" s="4">
        <f t="shared" si="472"/>
        <v>0.1020833333333333</v>
      </c>
      <c r="E3057" s="6">
        <v>0.36805555555555558</v>
      </c>
      <c r="F3057" s="5">
        <f t="shared" si="473"/>
        <v>0.78286558345642543</v>
      </c>
      <c r="G3057" s="5">
        <v>0.84799999999999998</v>
      </c>
      <c r="H3057" s="4">
        <f>73.4/1440</f>
        <v>5.0972222222222224E-2</v>
      </c>
      <c r="I3057" s="5">
        <v>0.11700000000000001</v>
      </c>
      <c r="J3057" s="11" t="s">
        <v>3972</v>
      </c>
    </row>
    <row r="3058" spans="1:10" ht="13.15" customHeight="1" x14ac:dyDescent="0.25">
      <c r="A3058">
        <f t="shared" si="467"/>
        <v>3053</v>
      </c>
      <c r="B3058" t="s">
        <v>3976</v>
      </c>
      <c r="C3058" s="2">
        <v>0.51736111111111116</v>
      </c>
      <c r="D3058" s="4">
        <f t="shared" si="472"/>
        <v>0.10000000000000003</v>
      </c>
      <c r="E3058" s="6">
        <v>0.41736111111111113</v>
      </c>
      <c r="F3058" s="5">
        <f t="shared" si="473"/>
        <v>0.80671140939597308</v>
      </c>
      <c r="G3058" s="5">
        <v>0.89500000000000002</v>
      </c>
      <c r="H3058" s="4">
        <f>70.3/1440</f>
        <v>4.8819444444444443E-2</v>
      </c>
      <c r="I3058" s="5">
        <v>0.105</v>
      </c>
      <c r="J3058" s="11" t="s">
        <v>3975</v>
      </c>
    </row>
    <row r="3059" spans="1:10" ht="13.15" customHeight="1" x14ac:dyDescent="0.25">
      <c r="A3059">
        <f t="shared" si="467"/>
        <v>3054</v>
      </c>
      <c r="B3059" t="s">
        <v>3977</v>
      </c>
      <c r="C3059" s="2">
        <v>0.53888888888888886</v>
      </c>
      <c r="D3059" s="4">
        <f t="shared" si="472"/>
        <v>8.4722222222222199E-2</v>
      </c>
      <c r="E3059" s="6">
        <v>0.45416666666666666</v>
      </c>
      <c r="F3059" s="5">
        <f t="shared" si="473"/>
        <v>0.84278350515463918</v>
      </c>
      <c r="G3059" s="5">
        <v>0.92400000000000004</v>
      </c>
      <c r="H3059" s="4">
        <f>76.3/1440</f>
        <v>5.2986111111111109E-2</v>
      </c>
      <c r="I3059" s="5">
        <v>0.108</v>
      </c>
      <c r="J3059" s="11" t="s">
        <v>3975</v>
      </c>
    </row>
    <row r="3060" spans="1:10" ht="13.15" customHeight="1" x14ac:dyDescent="0.25">
      <c r="A3060">
        <f t="shared" si="467"/>
        <v>3055</v>
      </c>
      <c r="B3060" t="s">
        <v>3978</v>
      </c>
      <c r="C3060" s="2">
        <v>0.43125000000000002</v>
      </c>
      <c r="D3060" s="4">
        <f t="shared" si="472"/>
        <v>0.1027777777777778</v>
      </c>
      <c r="E3060" s="6">
        <v>0.32847222222222222</v>
      </c>
      <c r="F3060" s="5">
        <f t="shared" si="473"/>
        <v>0.76167471819645727</v>
      </c>
      <c r="G3060" s="5">
        <v>0.90400000000000003</v>
      </c>
      <c r="H3060" s="4">
        <f>65.9/1440</f>
        <v>4.5763888888888896E-2</v>
      </c>
      <c r="I3060" s="5">
        <v>0.126</v>
      </c>
      <c r="J3060" s="11" t="s">
        <v>3975</v>
      </c>
    </row>
    <row r="3061" spans="1:10" ht="13.15" customHeight="1" x14ac:dyDescent="0.25">
      <c r="A3061">
        <f t="shared" si="467"/>
        <v>3056</v>
      </c>
      <c r="B3061" t="s">
        <v>3979</v>
      </c>
      <c r="C3061" s="2">
        <v>0.51666666666666672</v>
      </c>
      <c r="D3061" s="4">
        <f t="shared" si="472"/>
        <v>0.1208333333333334</v>
      </c>
      <c r="E3061" s="6">
        <v>0.39583333333333331</v>
      </c>
      <c r="F3061" s="5">
        <f t="shared" si="473"/>
        <v>0.76612903225806439</v>
      </c>
      <c r="G3061" s="5">
        <v>0.84899999999999998</v>
      </c>
      <c r="H3061" s="4">
        <f>58.3/1440</f>
        <v>4.0486111111111112E-2</v>
      </c>
      <c r="I3061" s="5">
        <v>8.6999999999999994E-2</v>
      </c>
      <c r="J3061" s="11" t="s">
        <v>3975</v>
      </c>
    </row>
    <row r="3062" spans="1:10" ht="13.15" customHeight="1" x14ac:dyDescent="0.25">
      <c r="A3062">
        <f t="shared" si="467"/>
        <v>3057</v>
      </c>
      <c r="B3062" t="s">
        <v>3980</v>
      </c>
      <c r="C3062" s="2">
        <v>0.51458333333333328</v>
      </c>
      <c r="D3062" s="4">
        <f t="shared" si="472"/>
        <v>8.6111111111111083E-2</v>
      </c>
      <c r="E3062" s="6">
        <v>0.4284722222222222</v>
      </c>
      <c r="F3062" s="5">
        <f t="shared" si="473"/>
        <v>0.83265856950067485</v>
      </c>
      <c r="G3062" s="5">
        <v>0.88200000000000001</v>
      </c>
      <c r="H3062" s="4">
        <f>71.8/1440</f>
        <v>4.9861111111111106E-2</v>
      </c>
      <c r="I3062" s="5">
        <v>0.10299999999999999</v>
      </c>
      <c r="J3062" s="11" t="s">
        <v>3975</v>
      </c>
    </row>
    <row r="3063" spans="1:10" ht="13.15" customHeight="1" x14ac:dyDescent="0.25">
      <c r="A3063">
        <f t="shared" si="467"/>
        <v>3058</v>
      </c>
      <c r="B3063" t="s">
        <v>3981</v>
      </c>
      <c r="C3063" s="2">
        <v>0.55000000000000004</v>
      </c>
      <c r="D3063" s="4">
        <f t="shared" si="472"/>
        <v>0.12430555555555561</v>
      </c>
      <c r="E3063" s="6">
        <v>0.42569444444444443</v>
      </c>
      <c r="F3063" s="5">
        <f t="shared" si="473"/>
        <v>0.77398989898989889</v>
      </c>
      <c r="G3063" s="5">
        <v>0.88700000000000001</v>
      </c>
      <c r="H3063" s="4">
        <f>69.5/1440</f>
        <v>4.8263888888888891E-2</v>
      </c>
      <c r="I3063" s="5">
        <v>0.1</v>
      </c>
      <c r="J3063" s="11" t="s">
        <v>3974</v>
      </c>
    </row>
    <row r="3064" spans="1:10" ht="13.15" customHeight="1" x14ac:dyDescent="0.25">
      <c r="A3064">
        <f t="shared" si="467"/>
        <v>3059</v>
      </c>
      <c r="B3064" t="s">
        <v>3982</v>
      </c>
      <c r="C3064" s="2">
        <v>0.52777777777777779</v>
      </c>
      <c r="D3064" s="4">
        <f t="shared" si="472"/>
        <v>0.11041666666666666</v>
      </c>
      <c r="E3064" s="6">
        <v>0.41736111111111113</v>
      </c>
      <c r="F3064" s="5">
        <f t="shared" si="473"/>
        <v>0.79078947368421049</v>
      </c>
      <c r="G3064" s="5">
        <v>0.91500000000000004</v>
      </c>
      <c r="H3064" s="4">
        <f>74.3/1440</f>
        <v>5.1597222222222218E-2</v>
      </c>
      <c r="I3064" s="5">
        <v>0.113</v>
      </c>
      <c r="J3064" s="11" t="s">
        <v>3974</v>
      </c>
    </row>
    <row r="3065" spans="1:10" ht="13.15" customHeight="1" x14ac:dyDescent="0.25">
      <c r="A3065">
        <f t="shared" si="467"/>
        <v>3060</v>
      </c>
      <c r="B3065" t="s">
        <v>3983</v>
      </c>
      <c r="C3065" s="2">
        <v>0.50555555555555554</v>
      </c>
      <c r="D3065" s="4">
        <f t="shared" si="472"/>
        <v>9.1666666666666674E-2</v>
      </c>
      <c r="E3065" s="6">
        <v>0.41388888888888886</v>
      </c>
      <c r="F3065" s="5">
        <f t="shared" si="473"/>
        <v>0.81868131868131866</v>
      </c>
      <c r="G3065" s="5">
        <v>0.90900000000000003</v>
      </c>
      <c r="H3065" s="4">
        <f>66.1/1440</f>
        <v>4.5902777777777772E-2</v>
      </c>
      <c r="I3065" s="5">
        <v>0.10100000000000001</v>
      </c>
      <c r="J3065" s="11" t="s">
        <v>3974</v>
      </c>
    </row>
    <row r="3066" spans="1:10" ht="13.15" customHeight="1" x14ac:dyDescent="0.25">
      <c r="A3066">
        <f t="shared" si="467"/>
        <v>3061</v>
      </c>
      <c r="B3066" t="s">
        <v>3984</v>
      </c>
      <c r="C3066" s="2">
        <v>0.59444444444444444</v>
      </c>
      <c r="D3066" s="4">
        <f t="shared" si="472"/>
        <v>0.12361111111111112</v>
      </c>
      <c r="E3066" s="6">
        <v>0.47083333333333333</v>
      </c>
      <c r="F3066" s="5">
        <f t="shared" si="473"/>
        <v>0.79205607476635509</v>
      </c>
      <c r="G3066" s="5">
        <v>0.86899999999999999</v>
      </c>
      <c r="H3066" s="4">
        <f>78/1440</f>
        <v>5.4166666666666669E-2</v>
      </c>
      <c r="I3066" s="5">
        <v>0.1</v>
      </c>
      <c r="J3066" s="11" t="s">
        <v>3974</v>
      </c>
    </row>
    <row r="3067" spans="1:10" ht="13.15" customHeight="1" x14ac:dyDescent="0.25">
      <c r="A3067">
        <f t="shared" si="467"/>
        <v>3062</v>
      </c>
      <c r="B3067" t="s">
        <v>3985</v>
      </c>
      <c r="C3067" s="2">
        <v>0.43541666666666667</v>
      </c>
      <c r="D3067" s="4">
        <f t="shared" ref="D3067:D3084" si="474">C3067-E3067</f>
        <v>0.11249999999999999</v>
      </c>
      <c r="E3067" s="6">
        <v>0.32291666666666669</v>
      </c>
      <c r="F3067" s="5">
        <f t="shared" ref="F3067:F3084" si="475">E3067/C3067</f>
        <v>0.74162679425837319</v>
      </c>
      <c r="G3067" s="5">
        <v>0.74099999999999999</v>
      </c>
      <c r="H3067" s="4">
        <f>56.8/1440</f>
        <v>3.9444444444444442E-2</v>
      </c>
      <c r="I3067" s="5">
        <v>0.09</v>
      </c>
      <c r="J3067" s="11" t="s">
        <v>3995</v>
      </c>
    </row>
    <row r="3068" spans="1:10" ht="13.15" customHeight="1" x14ac:dyDescent="0.25">
      <c r="A3068">
        <f t="shared" si="467"/>
        <v>3063</v>
      </c>
      <c r="B3068" t="s">
        <v>3986</v>
      </c>
      <c r="C3068" s="2">
        <v>0.45902777777777776</v>
      </c>
      <c r="D3068" s="4">
        <f t="shared" si="474"/>
        <v>0.11736111111111108</v>
      </c>
      <c r="E3068" s="6">
        <v>0.34166666666666667</v>
      </c>
      <c r="F3068" s="5">
        <f t="shared" si="475"/>
        <v>0.74432677760968236</v>
      </c>
      <c r="G3068" s="5">
        <v>0.80300000000000005</v>
      </c>
      <c r="H3068" s="4">
        <f>59.6/1440</f>
        <v>4.1388888888888892E-2</v>
      </c>
      <c r="I3068" s="5">
        <v>9.7000000000000003E-2</v>
      </c>
      <c r="J3068" s="11" t="s">
        <v>3995</v>
      </c>
    </row>
    <row r="3069" spans="1:10" ht="13.15" customHeight="1" x14ac:dyDescent="0.25">
      <c r="A3069">
        <f t="shared" si="467"/>
        <v>3064</v>
      </c>
      <c r="B3069" t="s">
        <v>3987</v>
      </c>
      <c r="C3069" s="2">
        <v>0.42499999999999999</v>
      </c>
      <c r="D3069" s="4">
        <f t="shared" si="474"/>
        <v>0.1159722222222222</v>
      </c>
      <c r="E3069" s="6">
        <v>0.30902777777777779</v>
      </c>
      <c r="F3069" s="5">
        <f t="shared" si="475"/>
        <v>0.72712418300653603</v>
      </c>
      <c r="G3069" s="5">
        <v>0.70299999999999996</v>
      </c>
      <c r="H3069" s="4">
        <f>51.5/1440</f>
        <v>3.5763888888888887E-2</v>
      </c>
      <c r="I3069" s="5">
        <v>8.1000000000000003E-2</v>
      </c>
      <c r="J3069" s="11" t="s">
        <v>3995</v>
      </c>
    </row>
    <row r="3070" spans="1:10" ht="13.15" customHeight="1" x14ac:dyDescent="0.25">
      <c r="A3070">
        <f t="shared" si="467"/>
        <v>3065</v>
      </c>
      <c r="B3070" t="s">
        <v>3988</v>
      </c>
      <c r="C3070" s="2">
        <v>0.40694444444444444</v>
      </c>
      <c r="D3070" s="4">
        <f t="shared" si="474"/>
        <v>0.1111111111111111</v>
      </c>
      <c r="E3070" s="6">
        <v>0.29583333333333334</v>
      </c>
      <c r="F3070" s="5">
        <f t="shared" si="475"/>
        <v>0.726962457337884</v>
      </c>
      <c r="G3070" s="5">
        <v>0.7</v>
      </c>
      <c r="H3070" s="4">
        <f>60.1/1440</f>
        <v>4.1736111111111113E-2</v>
      </c>
      <c r="I3070" s="5">
        <v>9.9000000000000005E-2</v>
      </c>
      <c r="J3070" s="11" t="s">
        <v>3995</v>
      </c>
    </row>
    <row r="3071" spans="1:10" ht="13.15" customHeight="1" x14ac:dyDescent="0.25">
      <c r="A3071">
        <f t="shared" si="467"/>
        <v>3066</v>
      </c>
      <c r="B3071" t="s">
        <v>3989</v>
      </c>
      <c r="C3071" s="2">
        <v>0.47569444444444442</v>
      </c>
      <c r="D3071" s="4">
        <f t="shared" si="474"/>
        <v>0.10972222222222222</v>
      </c>
      <c r="E3071" s="6">
        <v>0.3659722222222222</v>
      </c>
      <c r="F3071" s="5">
        <f t="shared" si="475"/>
        <v>0.76934306569343069</v>
      </c>
      <c r="G3071" s="5">
        <v>0.69699999999999995</v>
      </c>
      <c r="H3071" s="4">
        <f>53.6/1440</f>
        <v>3.7222222222222226E-2</v>
      </c>
      <c r="I3071" s="5">
        <v>7.0999999999999994E-2</v>
      </c>
      <c r="J3071" s="11" t="s">
        <v>3995</v>
      </c>
    </row>
    <row r="3072" spans="1:10" ht="13.15" customHeight="1" x14ac:dyDescent="0.25">
      <c r="A3072">
        <f t="shared" si="467"/>
        <v>3067</v>
      </c>
      <c r="B3072" t="s">
        <v>3990</v>
      </c>
      <c r="C3072" s="2">
        <v>0.42986111111111114</v>
      </c>
      <c r="D3072" s="4">
        <f t="shared" si="474"/>
        <v>0.11944444444444446</v>
      </c>
      <c r="E3072" s="6">
        <v>0.31041666666666667</v>
      </c>
      <c r="F3072" s="5">
        <f t="shared" si="475"/>
        <v>0.72213247172859452</v>
      </c>
      <c r="G3072" s="5">
        <v>0.80100000000000005</v>
      </c>
      <c r="H3072" s="4">
        <f>65/1440</f>
        <v>4.5138888888888888E-2</v>
      </c>
      <c r="I3072" s="5">
        <v>0.11600000000000001</v>
      </c>
      <c r="J3072" s="11" t="s">
        <v>3994</v>
      </c>
    </row>
    <row r="3073" spans="1:10" ht="13.15" customHeight="1" x14ac:dyDescent="0.25">
      <c r="A3073">
        <f t="shared" si="467"/>
        <v>3068</v>
      </c>
      <c r="B3073" t="s">
        <v>3991</v>
      </c>
      <c r="C3073" s="2">
        <v>0.4284722222222222</v>
      </c>
      <c r="D3073" s="4">
        <f t="shared" si="474"/>
        <v>0.12361111111111106</v>
      </c>
      <c r="E3073" s="6">
        <v>0.30486111111111114</v>
      </c>
      <c r="F3073" s="5">
        <f t="shared" si="475"/>
        <v>0.71150729335494334</v>
      </c>
      <c r="G3073" s="5">
        <v>0.79400000000000004</v>
      </c>
      <c r="H3073" s="4">
        <f>51.2/1440</f>
        <v>3.5555555555555556E-2</v>
      </c>
      <c r="I3073" s="5">
        <v>9.2999999999999999E-2</v>
      </c>
      <c r="J3073" s="11" t="s">
        <v>3994</v>
      </c>
    </row>
    <row r="3074" spans="1:10" ht="13.15" customHeight="1" x14ac:dyDescent="0.25">
      <c r="A3074">
        <f t="shared" si="467"/>
        <v>3069</v>
      </c>
      <c r="B3074" t="s">
        <v>3992</v>
      </c>
      <c r="C3074" s="2">
        <v>0.41041666666666665</v>
      </c>
      <c r="D3074" s="4">
        <f t="shared" si="474"/>
        <v>0.11249999999999999</v>
      </c>
      <c r="E3074" s="6">
        <v>0.29791666666666666</v>
      </c>
      <c r="F3074" s="5">
        <f t="shared" si="475"/>
        <v>0.72588832487309651</v>
      </c>
      <c r="G3074" s="5">
        <v>0.72699999999999998</v>
      </c>
      <c r="H3074" s="4">
        <f>42.7/1440</f>
        <v>2.9652777777777781E-2</v>
      </c>
      <c r="I3074" s="5">
        <v>7.1999999999999995E-2</v>
      </c>
      <c r="J3074" s="11" t="s">
        <v>3994</v>
      </c>
    </row>
    <row r="3075" spans="1:10" ht="13.15" customHeight="1" x14ac:dyDescent="0.25">
      <c r="A3075">
        <f t="shared" si="467"/>
        <v>3070</v>
      </c>
      <c r="B3075" t="s">
        <v>3993</v>
      </c>
      <c r="C3075" s="2">
        <v>0.49027777777777776</v>
      </c>
      <c r="D3075" s="4">
        <f t="shared" si="474"/>
        <v>0.1159722222222222</v>
      </c>
      <c r="E3075" s="6">
        <v>0.37430555555555556</v>
      </c>
      <c r="F3075" s="5">
        <f t="shared" si="475"/>
        <v>0.76345609065155806</v>
      </c>
      <c r="G3075" s="5">
        <v>0.77300000000000002</v>
      </c>
      <c r="H3075" s="4">
        <f>43.9/1440</f>
        <v>3.048611111111111E-2</v>
      </c>
      <c r="I3075" s="5">
        <v>6.3E-2</v>
      </c>
      <c r="J3075" s="11" t="s">
        <v>3994</v>
      </c>
    </row>
    <row r="3076" spans="1:10" ht="13.15" customHeight="1" x14ac:dyDescent="0.25">
      <c r="A3076">
        <f t="shared" si="467"/>
        <v>3071</v>
      </c>
      <c r="B3076" t="s">
        <v>3996</v>
      </c>
      <c r="C3076" s="2">
        <v>0.43055555555555558</v>
      </c>
      <c r="D3076" s="4">
        <f t="shared" si="474"/>
        <v>0.10972222222222222</v>
      </c>
      <c r="E3076" s="6">
        <v>0.32083333333333336</v>
      </c>
      <c r="F3076" s="5">
        <f t="shared" si="475"/>
        <v>0.74516129032258072</v>
      </c>
      <c r="G3076" s="5">
        <v>0.75800000000000001</v>
      </c>
      <c r="H3076" s="4">
        <f>59.3/1440</f>
        <v>4.1180555555555554E-2</v>
      </c>
      <c r="I3076" s="5">
        <v>9.7000000000000003E-2</v>
      </c>
      <c r="J3076" s="11" t="s">
        <v>4006</v>
      </c>
    </row>
    <row r="3077" spans="1:10" ht="13.15" customHeight="1" x14ac:dyDescent="0.25">
      <c r="A3077">
        <f t="shared" si="467"/>
        <v>3072</v>
      </c>
      <c r="B3077" t="s">
        <v>3997</v>
      </c>
      <c r="C3077" s="2">
        <v>0.44791666666666669</v>
      </c>
      <c r="D3077" s="4">
        <f t="shared" si="474"/>
        <v>0.11736111111111114</v>
      </c>
      <c r="E3077" s="6">
        <v>0.33055555555555555</v>
      </c>
      <c r="F3077" s="5">
        <f t="shared" si="475"/>
        <v>0.73798449612403094</v>
      </c>
      <c r="G3077" s="5">
        <v>0.752</v>
      </c>
      <c r="H3077" s="4">
        <f>63.5/1440</f>
        <v>4.4097222222222225E-2</v>
      </c>
      <c r="I3077" s="5">
        <v>0.1</v>
      </c>
      <c r="J3077" s="11" t="s">
        <v>4006</v>
      </c>
    </row>
    <row r="3078" spans="1:10" ht="13.15" customHeight="1" x14ac:dyDescent="0.25">
      <c r="A3078">
        <f t="shared" si="467"/>
        <v>3073</v>
      </c>
      <c r="B3078" t="s">
        <v>3998</v>
      </c>
      <c r="C3078" s="2">
        <v>0.40833333333333333</v>
      </c>
      <c r="D3078" s="4">
        <f t="shared" si="474"/>
        <v>0.10902777777777778</v>
      </c>
      <c r="E3078" s="6">
        <v>0.29930555555555555</v>
      </c>
      <c r="F3078" s="5">
        <f t="shared" si="475"/>
        <v>0.73299319727891155</v>
      </c>
      <c r="G3078" s="5">
        <v>0.69699999999999995</v>
      </c>
      <c r="H3078" s="4">
        <f>54.4/1440</f>
        <v>3.7777777777777778E-2</v>
      </c>
      <c r="I3078" s="5">
        <v>8.7999999999999995E-2</v>
      </c>
      <c r="J3078" s="11" t="s">
        <v>4006</v>
      </c>
    </row>
    <row r="3079" spans="1:10" ht="13.15" customHeight="1" x14ac:dyDescent="0.25">
      <c r="A3079">
        <f t="shared" si="467"/>
        <v>3074</v>
      </c>
      <c r="B3079" t="s">
        <v>3999</v>
      </c>
      <c r="C3079" s="2">
        <v>0.38124999999999998</v>
      </c>
      <c r="D3079" s="4">
        <f t="shared" si="474"/>
        <v>0.10069444444444442</v>
      </c>
      <c r="E3079" s="6">
        <v>0.28055555555555556</v>
      </c>
      <c r="F3079" s="5">
        <f t="shared" si="475"/>
        <v>0.73588342440801457</v>
      </c>
      <c r="G3079" s="5">
        <v>0.76800000000000002</v>
      </c>
      <c r="H3079" s="4">
        <f>58.8/1440</f>
        <v>4.0833333333333333E-2</v>
      </c>
      <c r="I3079" s="5">
        <v>0.111</v>
      </c>
      <c r="J3079" s="11" t="s">
        <v>4006</v>
      </c>
    </row>
    <row r="3080" spans="1:10" ht="13.15" customHeight="1" x14ac:dyDescent="0.25">
      <c r="A3080">
        <f t="shared" si="467"/>
        <v>3075</v>
      </c>
      <c r="B3080" t="s">
        <v>4000</v>
      </c>
      <c r="C3080" s="2">
        <v>0.41458333333333336</v>
      </c>
      <c r="D3080" s="4">
        <f t="shared" si="474"/>
        <v>0.10416666666666669</v>
      </c>
      <c r="E3080" s="6">
        <v>0.31041666666666667</v>
      </c>
      <c r="F3080" s="5">
        <f t="shared" si="475"/>
        <v>0.74874371859296485</v>
      </c>
      <c r="G3080" s="5">
        <v>0.77300000000000002</v>
      </c>
      <c r="H3080" s="4">
        <f>59.4/1440</f>
        <v>4.1250000000000002E-2</v>
      </c>
      <c r="I3080" s="5">
        <v>0.10299999999999999</v>
      </c>
      <c r="J3080" s="11" t="s">
        <v>4006</v>
      </c>
    </row>
    <row r="3081" spans="1:10" ht="13.15" customHeight="1" x14ac:dyDescent="0.25">
      <c r="A3081">
        <f t="shared" si="467"/>
        <v>3076</v>
      </c>
      <c r="B3081" t="s">
        <v>4001</v>
      </c>
      <c r="C3081" s="2">
        <v>0.41319444444444442</v>
      </c>
      <c r="D3081" s="4">
        <f t="shared" si="474"/>
        <v>9.7916666666666652E-2</v>
      </c>
      <c r="E3081" s="6">
        <v>0.31527777777777777</v>
      </c>
      <c r="F3081" s="5">
        <f t="shared" si="475"/>
        <v>0.76302521008403368</v>
      </c>
      <c r="G3081" s="5">
        <v>0.85499999999999998</v>
      </c>
      <c r="H3081" s="4">
        <f>59.9/1440</f>
        <v>4.1597222222222223E-2</v>
      </c>
      <c r="I3081" s="5">
        <v>0.113</v>
      </c>
      <c r="J3081" s="11" t="s">
        <v>4005</v>
      </c>
    </row>
    <row r="3082" spans="1:10" ht="13.15" customHeight="1" x14ac:dyDescent="0.25">
      <c r="A3082">
        <f t="shared" si="467"/>
        <v>3077</v>
      </c>
      <c r="B3082" t="s">
        <v>4002</v>
      </c>
      <c r="C3082" s="2">
        <v>0.49375000000000002</v>
      </c>
      <c r="D3082" s="4">
        <f t="shared" si="474"/>
        <v>0.13194444444444448</v>
      </c>
      <c r="E3082" s="6">
        <v>0.36180555555555555</v>
      </c>
      <c r="F3082" s="5">
        <f t="shared" si="475"/>
        <v>0.73277074542897325</v>
      </c>
      <c r="G3082" s="5">
        <v>0.75600000000000001</v>
      </c>
      <c r="H3082" s="4">
        <f>54.5/1440</f>
        <v>3.784722222222222E-2</v>
      </c>
      <c r="I3082" s="5">
        <v>7.9000000000000001E-2</v>
      </c>
      <c r="J3082" s="11" t="s">
        <v>4005</v>
      </c>
    </row>
    <row r="3083" spans="1:10" ht="13.15" customHeight="1" x14ac:dyDescent="0.25">
      <c r="A3083">
        <f t="shared" si="467"/>
        <v>3078</v>
      </c>
      <c r="B3083" t="s">
        <v>4003</v>
      </c>
      <c r="C3083" s="2">
        <v>0.45416666666666666</v>
      </c>
      <c r="D3083" s="4">
        <f t="shared" si="474"/>
        <v>0.10972222222222222</v>
      </c>
      <c r="E3083" s="6">
        <v>0.34444444444444444</v>
      </c>
      <c r="F3083" s="5">
        <f t="shared" si="475"/>
        <v>0.75840978593272168</v>
      </c>
      <c r="G3083" s="5">
        <v>0.83599999999999997</v>
      </c>
      <c r="H3083" s="4">
        <f>56/1440</f>
        <v>3.888888888888889E-2</v>
      </c>
      <c r="I3083" s="5">
        <v>9.4E-2</v>
      </c>
      <c r="J3083" s="11" t="s">
        <v>4005</v>
      </c>
    </row>
    <row r="3084" spans="1:10" ht="13.15" customHeight="1" x14ac:dyDescent="0.25">
      <c r="A3084">
        <f t="shared" si="467"/>
        <v>3079</v>
      </c>
      <c r="B3084" t="s">
        <v>4004</v>
      </c>
      <c r="C3084" s="2">
        <v>0.4597222222222222</v>
      </c>
      <c r="D3084" s="4">
        <f t="shared" si="474"/>
        <v>0.125</v>
      </c>
      <c r="E3084" s="6">
        <v>0.3347222222222222</v>
      </c>
      <c r="F3084" s="5">
        <f t="shared" si="475"/>
        <v>0.72809667673716005</v>
      </c>
      <c r="G3084" s="5">
        <v>0.68100000000000005</v>
      </c>
      <c r="H3084" s="4">
        <f>59.4/1440</f>
        <v>4.1250000000000002E-2</v>
      </c>
      <c r="I3084" s="5">
        <v>8.4000000000000005E-2</v>
      </c>
      <c r="J3084" s="11" t="s">
        <v>4005</v>
      </c>
    </row>
    <row r="3085" spans="1:10" ht="13.15" customHeight="1" x14ac:dyDescent="0.25">
      <c r="A3085">
        <f t="shared" si="467"/>
        <v>3080</v>
      </c>
      <c r="B3085" t="s">
        <v>4007</v>
      </c>
      <c r="C3085" s="2">
        <v>0.38263888888888886</v>
      </c>
      <c r="D3085" s="4">
        <f t="shared" ref="D3085:D3093" si="476">C3085-E3085</f>
        <v>0.10972222222222222</v>
      </c>
      <c r="E3085" s="6">
        <v>0.27291666666666664</v>
      </c>
      <c r="F3085" s="5">
        <f t="shared" ref="F3085:F3093" si="477">E3085/C3085</f>
        <v>0.71324863883847545</v>
      </c>
      <c r="G3085" s="5">
        <v>0.75700000000000001</v>
      </c>
      <c r="H3085" s="4">
        <f>63.1/1440</f>
        <v>4.3819444444444446E-2</v>
      </c>
      <c r="I3085" s="5">
        <v>0.121</v>
      </c>
      <c r="J3085" s="11" t="s">
        <v>4017</v>
      </c>
    </row>
    <row r="3086" spans="1:10" ht="13.15" customHeight="1" x14ac:dyDescent="0.25">
      <c r="A3086">
        <f t="shared" ref="A3086:A3147" si="478">A3085+1</f>
        <v>3081</v>
      </c>
      <c r="B3086" t="s">
        <v>4008</v>
      </c>
      <c r="C3086" s="2">
        <v>0.39861111111111114</v>
      </c>
      <c r="D3086" s="4">
        <f t="shared" si="476"/>
        <v>0.11527777777777781</v>
      </c>
      <c r="E3086" s="6">
        <v>0.28333333333333333</v>
      </c>
      <c r="F3086" s="5">
        <f t="shared" si="477"/>
        <v>0.71080139372822293</v>
      </c>
      <c r="G3086" s="5">
        <v>0.71099999999999997</v>
      </c>
      <c r="H3086" s="4">
        <f>63.6/1440</f>
        <v>4.4166666666666667E-2</v>
      </c>
      <c r="I3086" s="5">
        <v>0.111</v>
      </c>
      <c r="J3086" s="11" t="s">
        <v>4017</v>
      </c>
    </row>
    <row r="3087" spans="1:10" ht="13.15" customHeight="1" x14ac:dyDescent="0.25">
      <c r="A3087">
        <f t="shared" si="478"/>
        <v>3082</v>
      </c>
      <c r="B3087" t="s">
        <v>4009</v>
      </c>
      <c r="C3087" s="2">
        <v>0.38055555555555554</v>
      </c>
      <c r="D3087" s="4">
        <f t="shared" si="476"/>
        <v>0.11736111111111108</v>
      </c>
      <c r="E3087" s="6">
        <v>0.26319444444444445</v>
      </c>
      <c r="F3087" s="5">
        <f t="shared" si="477"/>
        <v>0.69160583941605847</v>
      </c>
      <c r="G3087" s="5">
        <v>0.73199999999999998</v>
      </c>
      <c r="H3087" s="4">
        <f>59/1440</f>
        <v>4.0972222222222222E-2</v>
      </c>
      <c r="I3087" s="5">
        <v>0.114</v>
      </c>
      <c r="J3087" s="11" t="s">
        <v>4017</v>
      </c>
    </row>
    <row r="3088" spans="1:10" ht="13.15" customHeight="1" x14ac:dyDescent="0.25">
      <c r="A3088">
        <f t="shared" si="478"/>
        <v>3083</v>
      </c>
      <c r="B3088" t="s">
        <v>4010</v>
      </c>
      <c r="C3088" s="2">
        <v>0.41458333333333336</v>
      </c>
      <c r="D3088" s="4">
        <f t="shared" si="476"/>
        <v>0.11458333333333337</v>
      </c>
      <c r="E3088" s="6">
        <v>0.3</v>
      </c>
      <c r="F3088" s="5">
        <f t="shared" si="477"/>
        <v>0.72361809045226122</v>
      </c>
      <c r="G3088" s="5">
        <v>0.59899999999999998</v>
      </c>
      <c r="H3088" s="4">
        <f>63.7/1440</f>
        <v>4.4236111111111115E-2</v>
      </c>
      <c r="I3088" s="5">
        <v>8.7999999999999995E-2</v>
      </c>
      <c r="J3088" s="11" t="s">
        <v>4017</v>
      </c>
    </row>
    <row r="3089" spans="1:10" ht="13.15" customHeight="1" x14ac:dyDescent="0.25">
      <c r="A3089">
        <f t="shared" si="478"/>
        <v>3084</v>
      </c>
      <c r="B3089" t="s">
        <v>4011</v>
      </c>
      <c r="C3089" s="2">
        <v>0.44791666666666669</v>
      </c>
      <c r="D3089" s="4">
        <f t="shared" si="476"/>
        <v>0.11458333333333337</v>
      </c>
      <c r="E3089" s="6">
        <v>0.33333333333333331</v>
      </c>
      <c r="F3089" s="5">
        <f t="shared" si="477"/>
        <v>0.74418604651162779</v>
      </c>
      <c r="G3089" s="5">
        <v>0.83599999999999997</v>
      </c>
      <c r="H3089" s="4">
        <f>56.3/1440</f>
        <v>3.9097222222222221E-2</v>
      </c>
      <c r="I3089" s="5">
        <v>9.8000000000000004E-2</v>
      </c>
      <c r="J3089" s="11" t="s">
        <v>4017</v>
      </c>
    </row>
    <row r="3090" spans="1:10" ht="13.15" customHeight="1" x14ac:dyDescent="0.25">
      <c r="A3090">
        <f t="shared" si="478"/>
        <v>3085</v>
      </c>
      <c r="B3090" t="s">
        <v>4012</v>
      </c>
      <c r="C3090" s="2">
        <v>0.31944444444444442</v>
      </c>
      <c r="D3090" s="4">
        <f t="shared" si="476"/>
        <v>9.305555555555553E-2</v>
      </c>
      <c r="E3090" s="6">
        <v>0.22638888888888889</v>
      </c>
      <c r="F3090" s="5">
        <f t="shared" si="477"/>
        <v>0.70869565217391306</v>
      </c>
      <c r="G3090" s="5">
        <v>0.84399999999999997</v>
      </c>
      <c r="H3090" s="4">
        <f>60/1440</f>
        <v>4.1666666666666664E-2</v>
      </c>
      <c r="I3090" s="5">
        <v>0.155</v>
      </c>
      <c r="J3090" s="11" t="s">
        <v>4016</v>
      </c>
    </row>
    <row r="3091" spans="1:10" ht="13.15" customHeight="1" x14ac:dyDescent="0.25">
      <c r="A3091">
        <f t="shared" si="478"/>
        <v>3086</v>
      </c>
      <c r="B3091" t="s">
        <v>4013</v>
      </c>
      <c r="C3091" s="2">
        <v>0.4</v>
      </c>
      <c r="D3091" s="4">
        <f t="shared" si="476"/>
        <v>0.11527777777777781</v>
      </c>
      <c r="E3091" s="6">
        <v>0.28472222222222221</v>
      </c>
      <c r="F3091" s="5">
        <f t="shared" si="477"/>
        <v>0.71180555555555547</v>
      </c>
      <c r="G3091" s="5">
        <v>0.78400000000000003</v>
      </c>
      <c r="H3091" s="4">
        <f>73.8/1440</f>
        <v>5.1249999999999997E-2</v>
      </c>
      <c r="I3091" s="5">
        <v>0.14099999999999999</v>
      </c>
      <c r="J3091" s="11" t="s">
        <v>4016</v>
      </c>
    </row>
    <row r="3092" spans="1:10" ht="13.15" customHeight="1" x14ac:dyDescent="0.25">
      <c r="A3092">
        <f t="shared" si="478"/>
        <v>3087</v>
      </c>
      <c r="B3092" t="s">
        <v>4014</v>
      </c>
      <c r="C3092" s="2">
        <v>0.37847222222222221</v>
      </c>
      <c r="D3092" s="4">
        <f t="shared" si="476"/>
        <v>0.11874999999999997</v>
      </c>
      <c r="E3092" s="6">
        <v>0.25972222222222224</v>
      </c>
      <c r="F3092" s="5">
        <f t="shared" si="477"/>
        <v>0.68623853211009178</v>
      </c>
      <c r="G3092" s="5">
        <v>0.82799999999999996</v>
      </c>
      <c r="H3092" s="4">
        <f>72/1440</f>
        <v>0.05</v>
      </c>
      <c r="I3092" s="5">
        <v>0.159</v>
      </c>
      <c r="J3092" s="11" t="s">
        <v>4016</v>
      </c>
    </row>
    <row r="3093" spans="1:10" ht="13.15" customHeight="1" x14ac:dyDescent="0.25">
      <c r="A3093">
        <f t="shared" si="478"/>
        <v>3088</v>
      </c>
      <c r="B3093" t="s">
        <v>4015</v>
      </c>
      <c r="C3093" s="2">
        <v>0.41597222222222224</v>
      </c>
      <c r="D3093" s="4">
        <f t="shared" si="476"/>
        <v>0.12847222222222227</v>
      </c>
      <c r="E3093" s="6">
        <v>0.28749999999999998</v>
      </c>
      <c r="F3093" s="5">
        <f t="shared" si="477"/>
        <v>0.69115191986644398</v>
      </c>
      <c r="G3093" s="5">
        <v>0.8</v>
      </c>
      <c r="H3093" s="4">
        <f>69.3/1440</f>
        <v>4.8125000000000001E-2</v>
      </c>
      <c r="I3093" s="5">
        <v>0.13400000000000001</v>
      </c>
      <c r="J3093" s="11" t="s">
        <v>4016</v>
      </c>
    </row>
    <row r="3094" spans="1:10" ht="13.15" customHeight="1" x14ac:dyDescent="0.25">
      <c r="A3094">
        <f t="shared" si="478"/>
        <v>3089</v>
      </c>
      <c r="B3094" t="s">
        <v>4018</v>
      </c>
      <c r="C3094" s="2">
        <v>0.48541666666666666</v>
      </c>
      <c r="D3094" s="4">
        <f t="shared" ref="D3094:D3102" si="479">C3094-E3094</f>
        <v>0.12152777777777779</v>
      </c>
      <c r="E3094" s="6">
        <v>0.36388888888888887</v>
      </c>
      <c r="F3094" s="5">
        <f t="shared" ref="F3094:F3102" si="480">E3094/C3094</f>
        <v>0.74964234620886983</v>
      </c>
      <c r="G3094" s="5">
        <v>0.81899999999999995</v>
      </c>
      <c r="H3094" s="4">
        <f>62.1/1440</f>
        <v>4.3125000000000004E-2</v>
      </c>
      <c r="I3094" s="5">
        <v>9.7000000000000003E-2</v>
      </c>
      <c r="J3094" s="11" t="s">
        <v>4028</v>
      </c>
    </row>
    <row r="3095" spans="1:10" ht="13.15" customHeight="1" x14ac:dyDescent="0.25">
      <c r="A3095">
        <f t="shared" si="478"/>
        <v>3090</v>
      </c>
      <c r="B3095" t="s">
        <v>4019</v>
      </c>
      <c r="C3095" s="2">
        <v>0.5</v>
      </c>
      <c r="D3095" s="4">
        <f t="shared" si="479"/>
        <v>0.11805555555555558</v>
      </c>
      <c r="E3095" s="6">
        <v>0.38194444444444442</v>
      </c>
      <c r="F3095" s="5">
        <f t="shared" si="480"/>
        <v>0.76388888888888884</v>
      </c>
      <c r="G3095" s="5">
        <v>0.85399999999999998</v>
      </c>
      <c r="H3095" s="4">
        <f>63.6/1440</f>
        <v>4.4166666666666667E-2</v>
      </c>
      <c r="I3095" s="5">
        <v>9.9000000000000005E-2</v>
      </c>
      <c r="J3095" s="11" t="s">
        <v>4028</v>
      </c>
    </row>
    <row r="3096" spans="1:10" ht="13.15" customHeight="1" x14ac:dyDescent="0.25">
      <c r="A3096">
        <f t="shared" si="478"/>
        <v>3091</v>
      </c>
      <c r="B3096" t="s">
        <v>4020</v>
      </c>
      <c r="C3096" s="2">
        <v>0.46458333333333335</v>
      </c>
      <c r="D3096" s="4">
        <f t="shared" si="479"/>
        <v>0.10069444444444448</v>
      </c>
      <c r="E3096" s="6">
        <v>0.36388888888888887</v>
      </c>
      <c r="F3096" s="5">
        <f t="shared" si="480"/>
        <v>0.78325859491778771</v>
      </c>
      <c r="G3096" s="5">
        <v>0.72899999999999998</v>
      </c>
      <c r="H3096" s="4">
        <f>62.9/1440</f>
        <v>4.3680555555555556E-2</v>
      </c>
      <c r="I3096" s="5">
        <v>8.6999999999999994E-2</v>
      </c>
      <c r="J3096" s="11" t="s">
        <v>4028</v>
      </c>
    </row>
    <row r="3097" spans="1:10" ht="13.15" customHeight="1" x14ac:dyDescent="0.25">
      <c r="A3097">
        <f t="shared" si="478"/>
        <v>3092</v>
      </c>
      <c r="B3097" t="s">
        <v>4021</v>
      </c>
      <c r="C3097" s="2">
        <v>0.48819444444444443</v>
      </c>
      <c r="D3097" s="4">
        <f t="shared" si="479"/>
        <v>0.12986111111111109</v>
      </c>
      <c r="E3097" s="6">
        <v>0.35833333333333334</v>
      </c>
      <c r="F3097" s="5">
        <f t="shared" si="480"/>
        <v>0.73399715504978669</v>
      </c>
      <c r="G3097" s="5">
        <v>0.81</v>
      </c>
      <c r="H3097" s="4">
        <f>67.7/1440</f>
        <v>4.701388888888889E-2</v>
      </c>
      <c r="I3097" s="5">
        <v>0.106</v>
      </c>
      <c r="J3097" s="11" t="s">
        <v>4028</v>
      </c>
    </row>
    <row r="3098" spans="1:10" ht="13.15" customHeight="1" x14ac:dyDescent="0.25">
      <c r="A3098">
        <f t="shared" si="478"/>
        <v>3093</v>
      </c>
      <c r="B3098" t="s">
        <v>4022</v>
      </c>
      <c r="C3098" s="2">
        <v>0.41249999999999998</v>
      </c>
      <c r="D3098" s="4">
        <f t="shared" si="479"/>
        <v>9.5138888888888884E-2</v>
      </c>
      <c r="E3098" s="6">
        <v>0.31736111111111109</v>
      </c>
      <c r="F3098" s="5">
        <f t="shared" si="480"/>
        <v>0.76936026936026936</v>
      </c>
      <c r="G3098" s="5">
        <v>0.84899999999999998</v>
      </c>
      <c r="H3098" s="4">
        <f>73.2/1440</f>
        <v>5.0833333333333335E-2</v>
      </c>
      <c r="I3098" s="5">
        <v>0.13600000000000001</v>
      </c>
      <c r="J3098" s="11" t="s">
        <v>4028</v>
      </c>
    </row>
    <row r="3099" spans="1:10" ht="13.15" customHeight="1" x14ac:dyDescent="0.25">
      <c r="A3099">
        <f t="shared" si="478"/>
        <v>3094</v>
      </c>
      <c r="B3099" t="s">
        <v>4023</v>
      </c>
      <c r="C3099" s="2">
        <v>0.56944444444444442</v>
      </c>
      <c r="D3099" s="4">
        <f t="shared" si="479"/>
        <v>0.16874999999999996</v>
      </c>
      <c r="E3099" s="6">
        <v>0.40069444444444446</v>
      </c>
      <c r="F3099" s="5">
        <f t="shared" si="480"/>
        <v>0.70365853658536592</v>
      </c>
      <c r="G3099" s="5">
        <v>0.754</v>
      </c>
      <c r="H3099" s="4">
        <f>43.4/1440</f>
        <v>3.0138888888888889E-2</v>
      </c>
      <c r="I3099" s="5">
        <v>5.7000000000000002E-2</v>
      </c>
      <c r="J3099" s="11" t="s">
        <v>4027</v>
      </c>
    </row>
    <row r="3100" spans="1:10" ht="13.15" customHeight="1" x14ac:dyDescent="0.25">
      <c r="A3100">
        <f t="shared" si="478"/>
        <v>3095</v>
      </c>
      <c r="B3100" t="s">
        <v>4024</v>
      </c>
      <c r="C3100" s="2">
        <v>0.49583333333333335</v>
      </c>
      <c r="D3100" s="4">
        <f t="shared" si="479"/>
        <v>0.14374999999999999</v>
      </c>
      <c r="E3100" s="6">
        <v>0.35208333333333336</v>
      </c>
      <c r="F3100" s="5">
        <f t="shared" si="480"/>
        <v>0.71008403361344541</v>
      </c>
      <c r="G3100" s="5">
        <v>0.95899999999999996</v>
      </c>
      <c r="H3100" s="4">
        <f>65.7/1440</f>
        <v>4.5624999999999999E-2</v>
      </c>
      <c r="I3100" s="5">
        <v>0.124</v>
      </c>
      <c r="J3100" s="11" t="s">
        <v>4027</v>
      </c>
    </row>
    <row r="3101" spans="1:10" ht="13.15" customHeight="1" x14ac:dyDescent="0.25">
      <c r="A3101">
        <f t="shared" si="478"/>
        <v>3096</v>
      </c>
      <c r="B3101" t="s">
        <v>4025</v>
      </c>
      <c r="C3101" s="2">
        <v>0.51597222222222228</v>
      </c>
      <c r="D3101" s="4">
        <f t="shared" si="479"/>
        <v>0.10138888888888892</v>
      </c>
      <c r="E3101" s="6">
        <v>0.41458333333333336</v>
      </c>
      <c r="F3101" s="5">
        <f t="shared" si="480"/>
        <v>0.80349932705248983</v>
      </c>
      <c r="G3101" s="5">
        <v>0.754</v>
      </c>
      <c r="H3101" s="4">
        <f>55/1440</f>
        <v>3.8194444444444448E-2</v>
      </c>
      <c r="I3101" s="5">
        <v>6.9000000000000006E-2</v>
      </c>
      <c r="J3101" s="11" t="s">
        <v>4027</v>
      </c>
    </row>
    <row r="3102" spans="1:10" ht="13.15" customHeight="1" x14ac:dyDescent="0.25">
      <c r="A3102">
        <f t="shared" si="478"/>
        <v>3097</v>
      </c>
      <c r="B3102" t="s">
        <v>4026</v>
      </c>
      <c r="C3102" s="2">
        <v>0.52638888888888891</v>
      </c>
      <c r="D3102" s="4">
        <f t="shared" si="479"/>
        <v>0.1340277777777778</v>
      </c>
      <c r="E3102" s="6">
        <v>0.3923611111111111</v>
      </c>
      <c r="F3102" s="5">
        <f t="shared" si="480"/>
        <v>0.74538258575197891</v>
      </c>
      <c r="G3102" s="5">
        <v>0.68200000000000005</v>
      </c>
      <c r="H3102" s="4">
        <f>68.9/1440</f>
        <v>4.7847222222222228E-2</v>
      </c>
      <c r="I3102" s="5">
        <v>8.3000000000000004E-2</v>
      </c>
      <c r="J3102" s="11" t="s">
        <v>4027</v>
      </c>
    </row>
    <row r="3103" spans="1:10" ht="13.15" customHeight="1" x14ac:dyDescent="0.25">
      <c r="A3103">
        <f t="shared" si="478"/>
        <v>3098</v>
      </c>
      <c r="B3103" t="s">
        <v>4029</v>
      </c>
      <c r="C3103" s="2">
        <v>0.46111111111111114</v>
      </c>
      <c r="D3103" s="4">
        <f t="shared" ref="D3103:D3111" si="481">C3103-E3103</f>
        <v>0.11875000000000002</v>
      </c>
      <c r="E3103" s="6">
        <v>0.34236111111111112</v>
      </c>
      <c r="F3103" s="5">
        <f t="shared" ref="F3103:F3111" si="482">E3103/C3103</f>
        <v>0.74246987951807231</v>
      </c>
      <c r="G3103" s="5">
        <v>0.75800000000000001</v>
      </c>
      <c r="H3103" s="4">
        <f>56.2/1440</f>
        <v>3.9027777777777779E-2</v>
      </c>
      <c r="I3103" s="5">
        <v>8.5999999999999993E-2</v>
      </c>
      <c r="J3103" s="11" t="s">
        <v>4039</v>
      </c>
    </row>
    <row r="3104" spans="1:10" ht="13.15" customHeight="1" x14ac:dyDescent="0.25">
      <c r="A3104">
        <f t="shared" si="478"/>
        <v>3099</v>
      </c>
      <c r="B3104" t="s">
        <v>4030</v>
      </c>
      <c r="C3104" s="2">
        <v>0.45555555555555555</v>
      </c>
      <c r="D3104" s="4">
        <f t="shared" si="481"/>
        <v>0.11944444444444441</v>
      </c>
      <c r="E3104" s="6">
        <v>0.33611111111111114</v>
      </c>
      <c r="F3104" s="5">
        <f t="shared" si="482"/>
        <v>0.73780487804878059</v>
      </c>
      <c r="G3104" s="5">
        <v>0.74199999999999999</v>
      </c>
      <c r="H3104" s="4">
        <f>54/1440</f>
        <v>3.7499999999999999E-2</v>
      </c>
      <c r="I3104" s="5">
        <v>8.3000000000000004E-2</v>
      </c>
      <c r="J3104" s="11" t="s">
        <v>4039</v>
      </c>
    </row>
    <row r="3105" spans="1:10" ht="13.15" customHeight="1" x14ac:dyDescent="0.25">
      <c r="A3105">
        <f t="shared" si="478"/>
        <v>3100</v>
      </c>
      <c r="B3105" t="s">
        <v>4031</v>
      </c>
      <c r="C3105" s="2">
        <v>0.41111111111111109</v>
      </c>
      <c r="D3105" s="4">
        <f t="shared" si="481"/>
        <v>0.11805555555555552</v>
      </c>
      <c r="E3105" s="6">
        <v>0.29305555555555557</v>
      </c>
      <c r="F3105" s="5">
        <f t="shared" si="482"/>
        <v>0.71283783783783794</v>
      </c>
      <c r="G3105" s="5">
        <v>0.71399999999999997</v>
      </c>
      <c r="H3105" s="4">
        <f>47.7/1440</f>
        <v>3.3125000000000002E-2</v>
      </c>
      <c r="I3105" s="5">
        <v>8.1000000000000003E-2</v>
      </c>
      <c r="J3105" s="11" t="s">
        <v>4039</v>
      </c>
    </row>
    <row r="3106" spans="1:10" ht="13.15" customHeight="1" x14ac:dyDescent="0.25">
      <c r="A3106">
        <f t="shared" si="478"/>
        <v>3101</v>
      </c>
      <c r="B3106" t="s">
        <v>4032</v>
      </c>
      <c r="C3106" s="2">
        <v>0.47291666666666665</v>
      </c>
      <c r="D3106" s="4">
        <f t="shared" si="481"/>
        <v>0.13194444444444442</v>
      </c>
      <c r="E3106" s="6">
        <v>0.34097222222222223</v>
      </c>
      <c r="F3106" s="5">
        <f t="shared" si="482"/>
        <v>0.72099853157121885</v>
      </c>
      <c r="G3106" s="5">
        <v>0.76500000000000001</v>
      </c>
      <c r="H3106" s="4">
        <f>63/1440</f>
        <v>4.3749999999999997E-2</v>
      </c>
      <c r="I3106" s="5">
        <v>9.8000000000000004E-2</v>
      </c>
      <c r="J3106" s="11" t="s">
        <v>4039</v>
      </c>
    </row>
    <row r="3107" spans="1:10" ht="13.15" customHeight="1" x14ac:dyDescent="0.25">
      <c r="A3107">
        <f t="shared" si="478"/>
        <v>3102</v>
      </c>
      <c r="B3107" t="s">
        <v>4033</v>
      </c>
      <c r="C3107" s="2">
        <v>0.46527777777777779</v>
      </c>
      <c r="D3107" s="4">
        <f t="shared" si="481"/>
        <v>0.11041666666666666</v>
      </c>
      <c r="E3107" s="6">
        <v>0.35486111111111113</v>
      </c>
      <c r="F3107" s="5">
        <f t="shared" si="482"/>
        <v>0.76268656716417915</v>
      </c>
      <c r="G3107" s="5">
        <v>0.85599999999999998</v>
      </c>
      <c r="H3107" s="4">
        <f>43/1440</f>
        <v>2.9861111111111113E-2</v>
      </c>
      <c r="I3107" s="5">
        <v>7.1999999999999995E-2</v>
      </c>
      <c r="J3107" s="11" t="s">
        <v>4039</v>
      </c>
    </row>
    <row r="3108" spans="1:10" ht="13.15" customHeight="1" x14ac:dyDescent="0.25">
      <c r="A3108">
        <f t="shared" si="478"/>
        <v>3103</v>
      </c>
      <c r="B3108" t="s">
        <v>4034</v>
      </c>
      <c r="C3108" s="2">
        <v>0.50069444444444444</v>
      </c>
      <c r="D3108" s="4">
        <f t="shared" si="481"/>
        <v>0.11527777777777776</v>
      </c>
      <c r="E3108" s="6">
        <v>0.38541666666666669</v>
      </c>
      <c r="F3108" s="5">
        <f t="shared" si="482"/>
        <v>0.7697642163661581</v>
      </c>
      <c r="G3108" s="5">
        <v>0.72099999999999997</v>
      </c>
      <c r="H3108" s="4">
        <f>66.6/1440</f>
        <v>4.6249999999999999E-2</v>
      </c>
      <c r="I3108" s="5">
        <v>8.5999999999999993E-2</v>
      </c>
      <c r="J3108" s="11" t="s">
        <v>4038</v>
      </c>
    </row>
    <row r="3109" spans="1:10" ht="13.15" customHeight="1" x14ac:dyDescent="0.25">
      <c r="A3109">
        <f t="shared" si="478"/>
        <v>3104</v>
      </c>
      <c r="B3109" t="s">
        <v>4035</v>
      </c>
      <c r="C3109" s="2">
        <v>0.54861111111111116</v>
      </c>
      <c r="D3109" s="4">
        <f t="shared" si="481"/>
        <v>0.15486111111111117</v>
      </c>
      <c r="E3109" s="6">
        <v>0.39374999999999999</v>
      </c>
      <c r="F3109" s="5">
        <f t="shared" si="482"/>
        <v>0.71772151898734171</v>
      </c>
      <c r="G3109" s="5">
        <v>0.73</v>
      </c>
      <c r="H3109" s="4">
        <f>71.2/1440</f>
        <v>4.9444444444444444E-2</v>
      </c>
      <c r="I3109" s="5">
        <v>9.1999999999999998E-2</v>
      </c>
      <c r="J3109" s="11" t="s">
        <v>4038</v>
      </c>
    </row>
    <row r="3110" spans="1:10" ht="13.15" customHeight="1" x14ac:dyDescent="0.25">
      <c r="A3110">
        <f t="shared" si="478"/>
        <v>3105</v>
      </c>
      <c r="B3110" t="s">
        <v>4036</v>
      </c>
      <c r="C3110" s="2">
        <v>0.44374999999999998</v>
      </c>
      <c r="D3110" s="4">
        <f t="shared" si="481"/>
        <v>0.1020833333333333</v>
      </c>
      <c r="E3110" s="6">
        <v>0.34166666666666667</v>
      </c>
      <c r="F3110" s="5">
        <f t="shared" si="482"/>
        <v>0.7699530516431925</v>
      </c>
      <c r="G3110" s="5">
        <v>0.89800000000000002</v>
      </c>
      <c r="H3110" s="4">
        <f>68.1/1440</f>
        <v>4.7291666666666662E-2</v>
      </c>
      <c r="I3110" s="5">
        <v>0.124</v>
      </c>
      <c r="J3110" s="11" t="s">
        <v>4038</v>
      </c>
    </row>
    <row r="3111" spans="1:10" ht="13.15" customHeight="1" x14ac:dyDescent="0.25">
      <c r="A3111">
        <f t="shared" si="478"/>
        <v>3106</v>
      </c>
      <c r="B3111" t="s">
        <v>4037</v>
      </c>
      <c r="C3111" s="2">
        <v>0.56319444444444444</v>
      </c>
      <c r="D3111" s="4">
        <f t="shared" si="481"/>
        <v>0.13124999999999998</v>
      </c>
      <c r="E3111" s="6">
        <v>0.43194444444444446</v>
      </c>
      <c r="F3111" s="5">
        <f t="shared" si="482"/>
        <v>0.76695437731196059</v>
      </c>
      <c r="G3111" s="5">
        <v>0.76100000000000001</v>
      </c>
      <c r="H3111" s="4">
        <f>66.8/1440</f>
        <v>4.6388888888888889E-2</v>
      </c>
      <c r="I3111" s="5">
        <v>8.2000000000000003E-2</v>
      </c>
      <c r="J3111" s="11" t="s">
        <v>4038</v>
      </c>
    </row>
    <row r="3112" spans="1:10" ht="13.15" customHeight="1" x14ac:dyDescent="0.25">
      <c r="A3112">
        <f t="shared" si="478"/>
        <v>3107</v>
      </c>
      <c r="B3112" t="s">
        <v>4040</v>
      </c>
      <c r="C3112" s="2">
        <v>0.41388888888888886</v>
      </c>
      <c r="D3112" s="4">
        <f t="shared" ref="D3112:D3120" si="483">C3112-E3112</f>
        <v>9.4444444444444442E-2</v>
      </c>
      <c r="E3112" s="6">
        <v>0.31944444444444442</v>
      </c>
      <c r="F3112" s="5">
        <f t="shared" ref="F3112:F3120" si="484">E3112/C3112</f>
        <v>0.77181208053691275</v>
      </c>
      <c r="G3112" s="5">
        <v>0.78800000000000003</v>
      </c>
      <c r="H3112" s="4">
        <f>63.1/1440</f>
        <v>4.3819444444444446E-2</v>
      </c>
      <c r="I3112" s="5">
        <v>0.108</v>
      </c>
      <c r="J3112" s="11" t="s">
        <v>4050</v>
      </c>
    </row>
    <row r="3113" spans="1:10" ht="13.15" customHeight="1" x14ac:dyDescent="0.25">
      <c r="A3113">
        <f t="shared" si="478"/>
        <v>3108</v>
      </c>
      <c r="B3113" t="s">
        <v>4041</v>
      </c>
      <c r="C3113" s="2">
        <v>0.39861111111111114</v>
      </c>
      <c r="D3113" s="4">
        <f t="shared" si="483"/>
        <v>9.1666666666666674E-2</v>
      </c>
      <c r="E3113" s="6">
        <v>0.30694444444444446</v>
      </c>
      <c r="F3113" s="5">
        <f t="shared" si="484"/>
        <v>0.77003484320557491</v>
      </c>
      <c r="G3113" s="5">
        <v>0.81499999999999995</v>
      </c>
      <c r="H3113" s="4">
        <f>65.1/1440</f>
        <v>4.520833333333333E-2</v>
      </c>
      <c r="I3113" s="5">
        <v>0.12</v>
      </c>
      <c r="J3113" s="11" t="s">
        <v>4050</v>
      </c>
    </row>
    <row r="3114" spans="1:10" ht="13.15" customHeight="1" x14ac:dyDescent="0.25">
      <c r="A3114">
        <f t="shared" si="478"/>
        <v>3109</v>
      </c>
      <c r="B3114" t="s">
        <v>4042</v>
      </c>
      <c r="C3114" s="2">
        <v>0.34444444444444444</v>
      </c>
      <c r="D3114" s="4">
        <f t="shared" si="483"/>
        <v>8.9583333333333348E-2</v>
      </c>
      <c r="E3114" s="6">
        <v>0.25486111111111109</v>
      </c>
      <c r="F3114" s="5">
        <f t="shared" si="484"/>
        <v>0.73991935483870963</v>
      </c>
      <c r="G3114" s="5">
        <v>0.74</v>
      </c>
      <c r="H3114" s="4">
        <f>58.2/1440</f>
        <v>4.041666666666667E-2</v>
      </c>
      <c r="I3114" s="5">
        <v>0.11700000000000001</v>
      </c>
      <c r="J3114" s="11" t="s">
        <v>4050</v>
      </c>
    </row>
    <row r="3115" spans="1:10" ht="13.15" customHeight="1" x14ac:dyDescent="0.25">
      <c r="A3115">
        <f t="shared" si="478"/>
        <v>3110</v>
      </c>
      <c r="B3115" t="s">
        <v>4043</v>
      </c>
      <c r="C3115" s="2">
        <v>0.38124999999999998</v>
      </c>
      <c r="D3115" s="4">
        <f t="shared" si="483"/>
        <v>8.6805555555555525E-2</v>
      </c>
      <c r="E3115" s="6">
        <v>0.29444444444444445</v>
      </c>
      <c r="F3115" s="5">
        <f t="shared" si="484"/>
        <v>0.77231329690346096</v>
      </c>
      <c r="G3115" s="5">
        <v>0.76500000000000001</v>
      </c>
      <c r="H3115" s="4">
        <f>59.7/1440</f>
        <v>4.1458333333333333E-2</v>
      </c>
      <c r="I3115" s="5">
        <v>0.107</v>
      </c>
      <c r="J3115" s="11" t="s">
        <v>4050</v>
      </c>
    </row>
    <row r="3116" spans="1:10" ht="13.15" customHeight="1" x14ac:dyDescent="0.25">
      <c r="A3116">
        <f t="shared" si="478"/>
        <v>3111</v>
      </c>
      <c r="B3116" t="s">
        <v>4044</v>
      </c>
      <c r="C3116" s="2">
        <v>0.38541666666666669</v>
      </c>
      <c r="D3116" s="4">
        <f t="shared" si="483"/>
        <v>7.7083333333333337E-2</v>
      </c>
      <c r="E3116" s="6">
        <v>0.30833333333333335</v>
      </c>
      <c r="F3116" s="5">
        <f t="shared" si="484"/>
        <v>0.8</v>
      </c>
      <c r="G3116" s="5">
        <v>0.79300000000000004</v>
      </c>
      <c r="H3116" s="4">
        <f>62/1440</f>
        <v>4.3055555555555555E-2</v>
      </c>
      <c r="I3116" s="5">
        <v>0.111</v>
      </c>
      <c r="J3116" s="11" t="s">
        <v>4050</v>
      </c>
    </row>
    <row r="3117" spans="1:10" ht="13.15" customHeight="1" x14ac:dyDescent="0.25">
      <c r="A3117">
        <f t="shared" si="478"/>
        <v>3112</v>
      </c>
      <c r="B3117" t="s">
        <v>4045</v>
      </c>
      <c r="C3117" s="2">
        <v>0.41458333333333336</v>
      </c>
      <c r="D3117" s="4">
        <f t="shared" si="483"/>
        <v>9.5833333333333381E-2</v>
      </c>
      <c r="E3117" s="6">
        <v>0.31874999999999998</v>
      </c>
      <c r="F3117" s="5">
        <f t="shared" si="484"/>
        <v>0.76884422110552753</v>
      </c>
      <c r="G3117" s="5">
        <v>0.84699999999999998</v>
      </c>
      <c r="H3117" s="4">
        <f>68.2/1440</f>
        <v>4.7361111111111111E-2</v>
      </c>
      <c r="I3117" s="5">
        <v>0.126</v>
      </c>
      <c r="J3117" s="11" t="s">
        <v>4049</v>
      </c>
    </row>
    <row r="3118" spans="1:10" ht="13.15" customHeight="1" x14ac:dyDescent="0.25">
      <c r="A3118">
        <f t="shared" si="478"/>
        <v>3113</v>
      </c>
      <c r="B3118" t="s">
        <v>4046</v>
      </c>
      <c r="C3118" s="2">
        <v>0.46736111111111112</v>
      </c>
      <c r="D3118" s="4">
        <f t="shared" si="483"/>
        <v>0.10833333333333334</v>
      </c>
      <c r="E3118" s="6">
        <v>0.35902777777777778</v>
      </c>
      <c r="F3118" s="5">
        <f t="shared" si="484"/>
        <v>0.7682020802377415</v>
      </c>
      <c r="G3118" s="5">
        <v>0.78500000000000003</v>
      </c>
      <c r="H3118" s="4">
        <f>62.3/1440</f>
        <v>4.3263888888888886E-2</v>
      </c>
      <c r="I3118" s="5">
        <v>9.4E-2</v>
      </c>
      <c r="J3118" s="11" t="s">
        <v>4049</v>
      </c>
    </row>
    <row r="3119" spans="1:10" ht="13.15" customHeight="1" x14ac:dyDescent="0.25">
      <c r="A3119">
        <f t="shared" si="478"/>
        <v>3114</v>
      </c>
      <c r="B3119" t="s">
        <v>4047</v>
      </c>
      <c r="C3119" s="2">
        <v>0.46805555555555556</v>
      </c>
      <c r="D3119" s="4">
        <f t="shared" si="483"/>
        <v>0.10069444444444442</v>
      </c>
      <c r="E3119" s="6">
        <v>0.36736111111111114</v>
      </c>
      <c r="F3119" s="5">
        <f t="shared" si="484"/>
        <v>0.78486646884273004</v>
      </c>
      <c r="G3119" s="5">
        <v>0.80500000000000005</v>
      </c>
      <c r="H3119" s="4">
        <f>67.8/1440</f>
        <v>4.7083333333333331E-2</v>
      </c>
      <c r="I3119" s="5">
        <v>0.10299999999999999</v>
      </c>
      <c r="J3119" s="11" t="s">
        <v>4049</v>
      </c>
    </row>
    <row r="3120" spans="1:10" ht="13.15" customHeight="1" x14ac:dyDescent="0.25">
      <c r="A3120">
        <f t="shared" si="478"/>
        <v>3115</v>
      </c>
      <c r="B3120" t="s">
        <v>4048</v>
      </c>
      <c r="C3120" s="2">
        <v>0.4513888888888889</v>
      </c>
      <c r="D3120" s="4">
        <f t="shared" si="483"/>
        <v>9.9305555555555536E-2</v>
      </c>
      <c r="E3120" s="6">
        <v>0.35208333333333336</v>
      </c>
      <c r="F3120" s="5">
        <f t="shared" si="484"/>
        <v>0.78</v>
      </c>
      <c r="G3120" s="5">
        <v>0.755</v>
      </c>
      <c r="H3120" s="4">
        <f>64.6/1440</f>
        <v>4.4861111111111109E-2</v>
      </c>
      <c r="I3120" s="5">
        <v>9.6000000000000002E-2</v>
      </c>
      <c r="J3120" s="11" t="s">
        <v>4049</v>
      </c>
    </row>
    <row r="3121" spans="1:10" ht="13.15" customHeight="1" x14ac:dyDescent="0.25">
      <c r="A3121">
        <f t="shared" si="478"/>
        <v>3116</v>
      </c>
      <c r="B3121" t="s">
        <v>4051</v>
      </c>
      <c r="C3121" s="2">
        <v>0.49861111111111112</v>
      </c>
      <c r="D3121" s="4">
        <f t="shared" ref="D3121:D3129" si="485">C3121-E3121</f>
        <v>0.13611111111111113</v>
      </c>
      <c r="E3121" s="6">
        <v>0.36249999999999999</v>
      </c>
      <c r="F3121" s="5">
        <f t="shared" ref="F3121:F3129" si="486">E3121/C3121</f>
        <v>0.72701949860724235</v>
      </c>
      <c r="G3121" s="5">
        <v>0.82499999999999996</v>
      </c>
      <c r="H3121" s="4">
        <f>57/1440</f>
        <v>3.9583333333333331E-2</v>
      </c>
      <c r="I3121" s="5">
        <v>0.09</v>
      </c>
      <c r="J3121" s="11" t="s">
        <v>4061</v>
      </c>
    </row>
    <row r="3122" spans="1:10" ht="13.15" customHeight="1" x14ac:dyDescent="0.25">
      <c r="A3122">
        <f t="shared" si="478"/>
        <v>3117</v>
      </c>
      <c r="B3122" t="s">
        <v>4052</v>
      </c>
      <c r="C3122" s="2">
        <v>0.46666666666666667</v>
      </c>
      <c r="D3122" s="4">
        <f t="shared" si="485"/>
        <v>0.13819444444444445</v>
      </c>
      <c r="E3122" s="6">
        <v>0.32847222222222222</v>
      </c>
      <c r="F3122" s="5">
        <f t="shared" si="486"/>
        <v>0.70386904761904756</v>
      </c>
      <c r="G3122" s="5">
        <v>0.84599999999999997</v>
      </c>
      <c r="H3122" s="4">
        <f>63.7/1440</f>
        <v>4.4236111111111115E-2</v>
      </c>
      <c r="I3122" s="5">
        <v>0.114</v>
      </c>
      <c r="J3122" s="11" t="s">
        <v>4061</v>
      </c>
    </row>
    <row r="3123" spans="1:10" ht="13.15" customHeight="1" x14ac:dyDescent="0.25">
      <c r="A3123">
        <f t="shared" si="478"/>
        <v>3118</v>
      </c>
      <c r="B3123" t="s">
        <v>4053</v>
      </c>
      <c r="C3123" s="2">
        <v>0.44861111111111113</v>
      </c>
      <c r="D3123" s="4">
        <f t="shared" si="485"/>
        <v>0.13819444444444445</v>
      </c>
      <c r="E3123" s="6">
        <v>0.31041666666666667</v>
      </c>
      <c r="F3123" s="5">
        <f t="shared" si="486"/>
        <v>0.69195046439628483</v>
      </c>
      <c r="G3123" s="5">
        <v>0.755</v>
      </c>
      <c r="H3123" s="4">
        <f>48.7/1440</f>
        <v>3.3819444444444444E-2</v>
      </c>
      <c r="I3123" s="5">
        <v>8.2000000000000003E-2</v>
      </c>
      <c r="J3123" s="11" t="s">
        <v>4061</v>
      </c>
    </row>
    <row r="3124" spans="1:10" ht="13.15" customHeight="1" x14ac:dyDescent="0.25">
      <c r="A3124">
        <f t="shared" si="478"/>
        <v>3119</v>
      </c>
      <c r="B3124" t="s">
        <v>4054</v>
      </c>
      <c r="C3124" s="2">
        <v>0.44305555555555554</v>
      </c>
      <c r="D3124" s="4">
        <f t="shared" si="485"/>
        <v>0.1388888888888889</v>
      </c>
      <c r="E3124" s="6">
        <v>0.30416666666666664</v>
      </c>
      <c r="F3124" s="5">
        <f t="shared" si="486"/>
        <v>0.68652037617554851</v>
      </c>
      <c r="G3124" s="5">
        <v>0.83399999999999996</v>
      </c>
      <c r="H3124" s="4">
        <f>53.5/1440</f>
        <v>3.7152777777777778E-2</v>
      </c>
      <c r="I3124" s="5">
        <v>0.10199999999999999</v>
      </c>
      <c r="J3124" s="11" t="s">
        <v>4061</v>
      </c>
    </row>
    <row r="3125" spans="1:10" ht="13.15" customHeight="1" x14ac:dyDescent="0.25">
      <c r="A3125">
        <f t="shared" si="478"/>
        <v>3120</v>
      </c>
      <c r="B3125" t="s">
        <v>4055</v>
      </c>
      <c r="C3125" s="2">
        <v>0.47569444444444442</v>
      </c>
      <c r="D3125" s="4">
        <f t="shared" si="485"/>
        <v>0.11527777777777776</v>
      </c>
      <c r="E3125" s="6">
        <v>0.36041666666666666</v>
      </c>
      <c r="F3125" s="5">
        <f t="shared" si="486"/>
        <v>0.75766423357664237</v>
      </c>
      <c r="G3125" s="5">
        <v>0.86599999999999999</v>
      </c>
      <c r="H3125" s="4">
        <f>47.5/1440</f>
        <v>3.2986111111111112E-2</v>
      </c>
      <c r="I3125" s="5">
        <v>7.9000000000000001E-2</v>
      </c>
      <c r="J3125" s="11" t="s">
        <v>4061</v>
      </c>
    </row>
    <row r="3126" spans="1:10" ht="13.15" customHeight="1" x14ac:dyDescent="0.25">
      <c r="A3126">
        <f t="shared" si="478"/>
        <v>3121</v>
      </c>
      <c r="B3126" t="s">
        <v>4056</v>
      </c>
      <c r="C3126" s="2">
        <v>0.62777777777777777</v>
      </c>
      <c r="D3126" s="4">
        <f t="shared" si="485"/>
        <v>0.19652777777777775</v>
      </c>
      <c r="E3126" s="6">
        <v>0.43125000000000002</v>
      </c>
      <c r="F3126" s="5">
        <f t="shared" si="486"/>
        <v>0.68694690265486735</v>
      </c>
      <c r="G3126" s="5">
        <v>0.83599999999999997</v>
      </c>
      <c r="H3126" s="4">
        <f>59.8/1440</f>
        <v>4.1527777777777775E-2</v>
      </c>
      <c r="I3126" s="5">
        <v>8.1000000000000003E-2</v>
      </c>
      <c r="J3126" s="11" t="s">
        <v>4060</v>
      </c>
    </row>
    <row r="3127" spans="1:10" ht="13.15" customHeight="1" x14ac:dyDescent="0.25">
      <c r="A3127">
        <f t="shared" si="478"/>
        <v>3122</v>
      </c>
      <c r="B3127" t="s">
        <v>4057</v>
      </c>
      <c r="C3127" s="2">
        <v>0.59652777777777777</v>
      </c>
      <c r="D3127" s="4">
        <f t="shared" si="485"/>
        <v>0.12916666666666665</v>
      </c>
      <c r="E3127" s="6">
        <v>0.46736111111111112</v>
      </c>
      <c r="F3127" s="5">
        <f t="shared" si="486"/>
        <v>0.78346915017462171</v>
      </c>
      <c r="G3127" s="5">
        <v>0.85199999999999998</v>
      </c>
      <c r="H3127" s="4">
        <f>54.5/1440</f>
        <v>3.784722222222222E-2</v>
      </c>
      <c r="I3127" s="5">
        <v>6.9000000000000006E-2</v>
      </c>
      <c r="J3127" s="11" t="s">
        <v>4060</v>
      </c>
    </row>
    <row r="3128" spans="1:10" ht="13.15" customHeight="1" x14ac:dyDescent="0.25">
      <c r="A3128">
        <f t="shared" si="478"/>
        <v>3123</v>
      </c>
      <c r="B3128" t="s">
        <v>4058</v>
      </c>
      <c r="C3128" s="2">
        <v>0.47430555555555554</v>
      </c>
      <c r="D3128" s="4">
        <f t="shared" si="485"/>
        <v>0.11319444444444443</v>
      </c>
      <c r="E3128" s="6">
        <v>0.3611111111111111</v>
      </c>
      <c r="F3128" s="5">
        <f t="shared" si="486"/>
        <v>0.76134699853587118</v>
      </c>
      <c r="G3128" s="5">
        <v>0.76900000000000002</v>
      </c>
      <c r="H3128" s="4">
        <f>67.2/1440</f>
        <v>4.6666666666666669E-2</v>
      </c>
      <c r="I3128" s="5">
        <v>9.9000000000000005E-2</v>
      </c>
      <c r="J3128" s="11" t="s">
        <v>4060</v>
      </c>
    </row>
    <row r="3129" spans="1:10" ht="13.15" customHeight="1" x14ac:dyDescent="0.25">
      <c r="A3129">
        <f t="shared" si="478"/>
        <v>3124</v>
      </c>
      <c r="B3129" t="s">
        <v>4059</v>
      </c>
      <c r="C3129" s="2">
        <v>0.60416666666666663</v>
      </c>
      <c r="D3129" s="4">
        <f t="shared" si="485"/>
        <v>0.12986111111111109</v>
      </c>
      <c r="E3129" s="6">
        <v>0.47430555555555554</v>
      </c>
      <c r="F3129" s="5">
        <f t="shared" si="486"/>
        <v>0.78505747126436787</v>
      </c>
      <c r="G3129" s="5">
        <v>0.79100000000000004</v>
      </c>
      <c r="H3129" s="4">
        <f>78.7/1440</f>
        <v>5.4652777777777779E-2</v>
      </c>
      <c r="I3129" s="5">
        <v>9.0999999999999998E-2</v>
      </c>
      <c r="J3129" s="11" t="s">
        <v>4060</v>
      </c>
    </row>
    <row r="3130" spans="1:10" ht="13.15" customHeight="1" x14ac:dyDescent="0.25">
      <c r="A3130">
        <f t="shared" si="478"/>
        <v>3125</v>
      </c>
      <c r="B3130" t="s">
        <v>4062</v>
      </c>
      <c r="C3130" s="2">
        <v>0.43125000000000002</v>
      </c>
      <c r="D3130" s="4">
        <f t="shared" ref="D3130:D3138" si="487">C3130-E3130</f>
        <v>0.1118055555555556</v>
      </c>
      <c r="E3130" s="6">
        <v>0.31944444444444442</v>
      </c>
      <c r="F3130" s="5">
        <f t="shared" ref="F3130:F3138" si="488">E3130/C3130</f>
        <v>0.7407407407407407</v>
      </c>
      <c r="G3130" s="5">
        <v>0.79700000000000004</v>
      </c>
      <c r="H3130" s="4">
        <f>61/1440</f>
        <v>4.2361111111111113E-2</v>
      </c>
      <c r="I3130" s="5">
        <v>0.105</v>
      </c>
      <c r="J3130" s="11" t="s">
        <v>4072</v>
      </c>
    </row>
    <row r="3131" spans="1:10" ht="13.15" customHeight="1" x14ac:dyDescent="0.25">
      <c r="A3131">
        <f t="shared" si="478"/>
        <v>3126</v>
      </c>
      <c r="B3131" t="s">
        <v>4063</v>
      </c>
      <c r="C3131" s="2">
        <v>0.38541666666666669</v>
      </c>
      <c r="D3131" s="4">
        <f t="shared" si="487"/>
        <v>0.10347222222222224</v>
      </c>
      <c r="E3131" s="6">
        <v>0.28194444444444444</v>
      </c>
      <c r="F3131" s="5">
        <f t="shared" si="488"/>
        <v>0.7315315315315315</v>
      </c>
      <c r="G3131" s="5">
        <v>0.82699999999999996</v>
      </c>
      <c r="H3131" s="4">
        <f>68.4/1440</f>
        <v>4.7500000000000001E-2</v>
      </c>
      <c r="I3131" s="5">
        <v>0.13900000000000001</v>
      </c>
      <c r="J3131" s="11" t="s">
        <v>4072</v>
      </c>
    </row>
    <row r="3132" spans="1:10" ht="13.15" customHeight="1" x14ac:dyDescent="0.25">
      <c r="A3132">
        <f t="shared" si="478"/>
        <v>3127</v>
      </c>
      <c r="B3132" t="s">
        <v>4064</v>
      </c>
      <c r="C3132" s="2">
        <v>0.36249999999999999</v>
      </c>
      <c r="D3132" s="4">
        <f t="shared" si="487"/>
        <v>0.10555555555555557</v>
      </c>
      <c r="E3132" s="6">
        <v>0.25694444444444442</v>
      </c>
      <c r="F3132" s="5">
        <f t="shared" si="488"/>
        <v>0.70881226053639845</v>
      </c>
      <c r="G3132" s="5">
        <v>0.72799999999999998</v>
      </c>
      <c r="H3132" s="4">
        <f>52.3/1440</f>
        <v>3.6319444444444446E-2</v>
      </c>
      <c r="I3132" s="5">
        <v>0.10299999999999999</v>
      </c>
      <c r="J3132" s="11" t="s">
        <v>4072</v>
      </c>
    </row>
    <row r="3133" spans="1:10" ht="13.15" customHeight="1" x14ac:dyDescent="0.25">
      <c r="A3133">
        <f t="shared" si="478"/>
        <v>3128</v>
      </c>
      <c r="B3133" t="s">
        <v>4065</v>
      </c>
      <c r="C3133" s="2">
        <v>0.40347222222222223</v>
      </c>
      <c r="D3133" s="4">
        <f t="shared" si="487"/>
        <v>0.11180555555555555</v>
      </c>
      <c r="E3133" s="6">
        <v>0.29166666666666669</v>
      </c>
      <c r="F3133" s="5">
        <f t="shared" si="488"/>
        <v>0.72289156626506024</v>
      </c>
      <c r="G3133" s="5">
        <v>0.76100000000000001</v>
      </c>
      <c r="H3133" s="4">
        <f>57.1/1440</f>
        <v>3.965277777777778E-2</v>
      </c>
      <c r="I3133" s="5">
        <v>0.10299999999999999</v>
      </c>
      <c r="J3133" s="11" t="s">
        <v>4072</v>
      </c>
    </row>
    <row r="3134" spans="1:10" ht="13.15" customHeight="1" x14ac:dyDescent="0.25">
      <c r="A3134">
        <f t="shared" si="478"/>
        <v>3129</v>
      </c>
      <c r="B3134" t="s">
        <v>4066</v>
      </c>
      <c r="C3134" s="2">
        <v>0.31666666666666665</v>
      </c>
      <c r="D3134" s="4">
        <f t="shared" si="487"/>
        <v>7.9166666666666663E-2</v>
      </c>
      <c r="E3134" s="6">
        <v>0.23749999999999999</v>
      </c>
      <c r="F3134" s="5">
        <f t="shared" si="488"/>
        <v>0.75</v>
      </c>
      <c r="G3134" s="5">
        <v>0.70199999999999996</v>
      </c>
      <c r="H3134" s="4">
        <f>48/1440</f>
        <v>3.3333333333333333E-2</v>
      </c>
      <c r="I3134" s="5">
        <v>9.9000000000000005E-2</v>
      </c>
      <c r="J3134" s="11" t="s">
        <v>4072</v>
      </c>
    </row>
    <row r="3135" spans="1:10" ht="13.15" customHeight="1" x14ac:dyDescent="0.25">
      <c r="A3135">
        <f t="shared" si="478"/>
        <v>3130</v>
      </c>
      <c r="B3135" t="s">
        <v>4067</v>
      </c>
      <c r="C3135" s="2">
        <v>0.45763888888888887</v>
      </c>
      <c r="D3135" s="4">
        <f t="shared" si="487"/>
        <v>0.11458333333333331</v>
      </c>
      <c r="E3135" s="6">
        <v>0.34305555555555556</v>
      </c>
      <c r="F3135" s="5">
        <f t="shared" si="488"/>
        <v>0.74962063732928685</v>
      </c>
      <c r="G3135" s="5">
        <v>0.84499999999999997</v>
      </c>
      <c r="H3135" s="4">
        <f>57.5/1440</f>
        <v>3.9930555555555552E-2</v>
      </c>
      <c r="I3135" s="5">
        <v>9.8000000000000004E-2</v>
      </c>
      <c r="J3135" s="11" t="s">
        <v>4071</v>
      </c>
    </row>
    <row r="3136" spans="1:10" ht="13.15" customHeight="1" x14ac:dyDescent="0.25">
      <c r="A3136">
        <f t="shared" si="478"/>
        <v>3131</v>
      </c>
      <c r="B3136" t="s">
        <v>4068</v>
      </c>
      <c r="C3136" s="2">
        <v>0.47708333333333336</v>
      </c>
      <c r="D3136" s="4">
        <f t="shared" si="487"/>
        <v>0.10833333333333334</v>
      </c>
      <c r="E3136" s="6">
        <v>0.36875000000000002</v>
      </c>
      <c r="F3136" s="5">
        <f t="shared" si="488"/>
        <v>0.77292576419213976</v>
      </c>
      <c r="G3136" s="5">
        <v>0.94899999999999995</v>
      </c>
      <c r="H3136" s="4">
        <f>78/1440</f>
        <v>5.4166666666666669E-2</v>
      </c>
      <c r="I3136" s="5">
        <v>0.13900000000000001</v>
      </c>
      <c r="J3136" s="11" t="s">
        <v>4071</v>
      </c>
    </row>
    <row r="3137" spans="1:10" ht="13.15" customHeight="1" x14ac:dyDescent="0.25">
      <c r="A3137">
        <f t="shared" si="478"/>
        <v>3132</v>
      </c>
      <c r="B3137" t="s">
        <v>4069</v>
      </c>
      <c r="C3137" s="2">
        <v>0.4375</v>
      </c>
      <c r="D3137" s="4">
        <f t="shared" si="487"/>
        <v>0.11875000000000002</v>
      </c>
      <c r="E3137" s="6">
        <v>0.31874999999999998</v>
      </c>
      <c r="F3137" s="5">
        <f t="shared" si="488"/>
        <v>0.72857142857142854</v>
      </c>
      <c r="G3137" s="5">
        <v>0.85499999999999998</v>
      </c>
      <c r="H3137" s="4">
        <f>66/1440</f>
        <v>4.583333333333333E-2</v>
      </c>
      <c r="I3137" s="5">
        <v>0.123</v>
      </c>
      <c r="J3137" s="11" t="s">
        <v>4071</v>
      </c>
    </row>
    <row r="3138" spans="1:10" ht="13.15" customHeight="1" x14ac:dyDescent="0.25">
      <c r="A3138">
        <f t="shared" si="478"/>
        <v>3133</v>
      </c>
      <c r="B3138" t="s">
        <v>4070</v>
      </c>
      <c r="C3138" s="2">
        <v>0.49305555555555558</v>
      </c>
      <c r="D3138" s="4">
        <f t="shared" si="487"/>
        <v>0.1479166666666667</v>
      </c>
      <c r="E3138" s="6">
        <v>0.34513888888888888</v>
      </c>
      <c r="F3138" s="5">
        <f t="shared" si="488"/>
        <v>0.7</v>
      </c>
      <c r="G3138" s="5">
        <v>0.82799999999999996</v>
      </c>
      <c r="H3138" s="4">
        <f>63.1/1440</f>
        <v>4.3819444444444446E-2</v>
      </c>
      <c r="I3138" s="5">
        <v>0.105</v>
      </c>
      <c r="J3138" s="11" t="s">
        <v>4071</v>
      </c>
    </row>
    <row r="3139" spans="1:10" ht="13.15" customHeight="1" x14ac:dyDescent="0.25">
      <c r="A3139">
        <f t="shared" si="478"/>
        <v>3134</v>
      </c>
      <c r="B3139" t="s">
        <v>4073</v>
      </c>
      <c r="C3139" s="2">
        <v>0.45208333333333334</v>
      </c>
      <c r="D3139" s="4">
        <f t="shared" ref="D3139:D3147" si="489">C3139-E3139</f>
        <v>0.11249999999999999</v>
      </c>
      <c r="E3139" s="6">
        <v>0.33958333333333335</v>
      </c>
      <c r="F3139" s="5">
        <f t="shared" ref="F3139:F3147" si="490">E3139/C3139</f>
        <v>0.75115207373271897</v>
      </c>
      <c r="G3139" s="5">
        <v>0.754</v>
      </c>
      <c r="H3139" s="4">
        <f>57.1/1440</f>
        <v>3.965277777777778E-2</v>
      </c>
      <c r="I3139" s="5">
        <v>8.7999999999999995E-2</v>
      </c>
      <c r="J3139" s="11" t="s">
        <v>4083</v>
      </c>
    </row>
    <row r="3140" spans="1:10" ht="13.15" customHeight="1" x14ac:dyDescent="0.25">
      <c r="A3140">
        <f t="shared" si="478"/>
        <v>3135</v>
      </c>
      <c r="B3140" t="s">
        <v>4074</v>
      </c>
      <c r="C3140" s="2">
        <v>0.49027777777777776</v>
      </c>
      <c r="D3140" s="4">
        <f t="shared" si="489"/>
        <v>0.1111111111111111</v>
      </c>
      <c r="E3140" s="6">
        <v>0.37916666666666665</v>
      </c>
      <c r="F3140" s="5">
        <f t="shared" si="490"/>
        <v>0.77337110481586402</v>
      </c>
      <c r="G3140" s="5">
        <v>0.78800000000000003</v>
      </c>
      <c r="H3140" s="4">
        <f>55.9/1440</f>
        <v>3.8819444444444441E-2</v>
      </c>
      <c r="I3140" s="5">
        <v>8.1000000000000003E-2</v>
      </c>
      <c r="J3140" s="11" t="s">
        <v>4083</v>
      </c>
    </row>
    <row r="3141" spans="1:10" ht="13.15" customHeight="1" x14ac:dyDescent="0.25">
      <c r="A3141">
        <f t="shared" si="478"/>
        <v>3136</v>
      </c>
      <c r="B3141" t="s">
        <v>4075</v>
      </c>
      <c r="C3141" s="2">
        <v>0.41388888888888886</v>
      </c>
      <c r="D3141" s="4">
        <f t="shared" si="489"/>
        <v>0.10972222222222222</v>
      </c>
      <c r="E3141" s="6">
        <v>0.30416666666666664</v>
      </c>
      <c r="F3141" s="5">
        <f t="shared" si="490"/>
        <v>0.7348993288590604</v>
      </c>
      <c r="G3141" s="5">
        <v>0.69499999999999995</v>
      </c>
      <c r="H3141" s="4">
        <f>55.3/1440</f>
        <v>3.8402777777777779E-2</v>
      </c>
      <c r="I3141" s="5">
        <v>8.7999999999999995E-2</v>
      </c>
      <c r="J3141" s="11" t="s">
        <v>4083</v>
      </c>
    </row>
    <row r="3142" spans="1:10" ht="13.15" customHeight="1" x14ac:dyDescent="0.25">
      <c r="A3142">
        <f t="shared" si="478"/>
        <v>3137</v>
      </c>
      <c r="B3142" t="s">
        <v>4076</v>
      </c>
      <c r="C3142" s="2">
        <v>0.42430555555555555</v>
      </c>
      <c r="D3142" s="4">
        <f t="shared" si="489"/>
        <v>0.12430555555555556</v>
      </c>
      <c r="E3142" s="6">
        <v>0.3</v>
      </c>
      <c r="F3142" s="5">
        <f t="shared" si="490"/>
        <v>0.707037643207856</v>
      </c>
      <c r="G3142" s="5">
        <v>0.73499999999999999</v>
      </c>
      <c r="H3142" s="4">
        <f>52.5/1440</f>
        <v>3.6458333333333336E-2</v>
      </c>
      <c r="I3142" s="5">
        <v>8.8999999999999996E-2</v>
      </c>
      <c r="J3142" s="11" t="s">
        <v>4083</v>
      </c>
    </row>
    <row r="3143" spans="1:10" ht="13.15" customHeight="1" x14ac:dyDescent="0.25">
      <c r="A3143">
        <f t="shared" si="478"/>
        <v>3138</v>
      </c>
      <c r="B3143" t="s">
        <v>4077</v>
      </c>
      <c r="C3143" s="2">
        <v>0.41875000000000001</v>
      </c>
      <c r="D3143" s="4">
        <f t="shared" si="489"/>
        <v>9.6527777777777768E-2</v>
      </c>
      <c r="E3143" s="6">
        <v>0.32222222222222224</v>
      </c>
      <c r="F3143" s="5">
        <f t="shared" si="490"/>
        <v>0.76948590381426207</v>
      </c>
      <c r="G3143" s="5">
        <v>0.71499999999999997</v>
      </c>
      <c r="H3143" s="4">
        <f>56.8/1440</f>
        <v>3.9444444444444442E-2</v>
      </c>
      <c r="I3143" s="5">
        <v>8.6999999999999994E-2</v>
      </c>
      <c r="J3143" s="11" t="s">
        <v>4083</v>
      </c>
    </row>
    <row r="3144" spans="1:10" ht="13.15" customHeight="1" x14ac:dyDescent="0.25">
      <c r="A3144">
        <f t="shared" si="478"/>
        <v>3139</v>
      </c>
      <c r="B3144" t="s">
        <v>4078</v>
      </c>
      <c r="C3144" s="2">
        <v>0.48333333333333334</v>
      </c>
      <c r="D3144" s="4">
        <f t="shared" si="489"/>
        <v>0.11249999999999999</v>
      </c>
      <c r="E3144" s="6">
        <v>0.37083333333333335</v>
      </c>
      <c r="F3144" s="5">
        <f t="shared" si="490"/>
        <v>0.76724137931034486</v>
      </c>
      <c r="G3144" s="5">
        <v>0.81299999999999994</v>
      </c>
      <c r="H3144" s="4">
        <f>66.9/1440</f>
        <v>4.6458333333333338E-2</v>
      </c>
      <c r="I3144" s="5">
        <v>0.10199999999999999</v>
      </c>
      <c r="J3144" s="11" t="s">
        <v>4082</v>
      </c>
    </row>
    <row r="3145" spans="1:10" ht="13.15" customHeight="1" x14ac:dyDescent="0.25">
      <c r="A3145">
        <f t="shared" si="478"/>
        <v>3140</v>
      </c>
      <c r="B3145" t="s">
        <v>4079</v>
      </c>
      <c r="C3145" s="2">
        <v>0.52847222222222223</v>
      </c>
      <c r="D3145" s="4">
        <f t="shared" si="489"/>
        <v>0.13611111111111113</v>
      </c>
      <c r="E3145" s="6">
        <v>0.3923611111111111</v>
      </c>
      <c r="F3145" s="5">
        <f t="shared" si="490"/>
        <v>0.74244415243101181</v>
      </c>
      <c r="G3145" s="5">
        <v>0.81599999999999995</v>
      </c>
      <c r="H3145" s="4">
        <f>69/1440</f>
        <v>4.791666666666667E-2</v>
      </c>
      <c r="I3145" s="5">
        <v>9.9000000000000005E-2</v>
      </c>
      <c r="J3145" s="11" t="s">
        <v>4082</v>
      </c>
    </row>
    <row r="3146" spans="1:10" ht="13.15" customHeight="1" x14ac:dyDescent="0.25">
      <c r="A3146">
        <f t="shared" si="478"/>
        <v>3141</v>
      </c>
      <c r="B3146" t="s">
        <v>4080</v>
      </c>
      <c r="C3146" s="2">
        <v>0.4597222222222222</v>
      </c>
      <c r="D3146" s="4">
        <f t="shared" si="489"/>
        <v>0.11041666666666666</v>
      </c>
      <c r="E3146" s="6">
        <v>0.34930555555555554</v>
      </c>
      <c r="F3146" s="5">
        <f t="shared" si="490"/>
        <v>0.75981873111782472</v>
      </c>
      <c r="G3146" s="5">
        <v>0.75</v>
      </c>
      <c r="H3146" s="4">
        <f>53.4/1440</f>
        <v>3.7083333333333329E-2</v>
      </c>
      <c r="I3146" s="5">
        <v>0.08</v>
      </c>
      <c r="J3146" s="11" t="s">
        <v>4082</v>
      </c>
    </row>
    <row r="3147" spans="1:10" ht="13.15" customHeight="1" x14ac:dyDescent="0.25">
      <c r="A3147">
        <f t="shared" si="478"/>
        <v>3142</v>
      </c>
      <c r="B3147" t="s">
        <v>4081</v>
      </c>
      <c r="C3147" s="2">
        <v>0.44097222222222221</v>
      </c>
      <c r="D3147" s="4">
        <f t="shared" si="489"/>
        <v>0.11249999999999999</v>
      </c>
      <c r="E3147" s="6">
        <v>0.32847222222222222</v>
      </c>
      <c r="F3147" s="5">
        <f t="shared" si="490"/>
        <v>0.74488188976377956</v>
      </c>
      <c r="G3147" s="5">
        <v>0.77700000000000002</v>
      </c>
      <c r="H3147" s="4">
        <f>47.1/1440</f>
        <v>3.2708333333333332E-2</v>
      </c>
      <c r="I3147" s="5">
        <v>7.6999999999999999E-2</v>
      </c>
      <c r="J3147" s="11" t="s">
        <v>4082</v>
      </c>
    </row>
    <row r="3148" spans="1:10" ht="13.15" customHeight="1" x14ac:dyDescent="0.25">
      <c r="C3148" s="2"/>
      <c r="D3148" s="4"/>
      <c r="E3148" s="6"/>
      <c r="F3148" s="5"/>
      <c r="G3148" s="5"/>
      <c r="H3148" s="4"/>
      <c r="I3148" s="5"/>
      <c r="J3148" s="11"/>
    </row>
    <row r="3149" spans="1:10" ht="16.5" customHeight="1" x14ac:dyDescent="0.3">
      <c r="B3149" s="7" t="s">
        <v>13</v>
      </c>
      <c r="C3149" s="32">
        <f>SUM(C6:C3147)/3142</f>
        <v>0.44415601350873535</v>
      </c>
      <c r="D3149" s="32">
        <f t="shared" ref="D3149" si="491">C3149-E3149</f>
        <v>0.11909545406323002</v>
      </c>
      <c r="E3149" s="32">
        <f>SUM(E6:E3147)/3142</f>
        <v>0.32506055944550533</v>
      </c>
      <c r="F3149" s="9">
        <f>E3149/C3149</f>
        <v>0.73186121443588714</v>
      </c>
      <c r="G3149" s="9">
        <f>SUM(G6:G3147)/3142</f>
        <v>0.81693784213876419</v>
      </c>
      <c r="H3149" s="32">
        <f>SUM(H6:H3147)/3142</f>
        <v>4.4692738758769966E-2</v>
      </c>
      <c r="I3149" s="9">
        <f>SUM(I6:I3147)/3142</f>
        <v>0.11396438574156659</v>
      </c>
      <c r="J3149" s="28"/>
    </row>
    <row r="3150" spans="1:10" ht="13.15" customHeight="1" x14ac:dyDescent="0.25">
      <c r="G3150" s="5"/>
      <c r="H3150" s="3"/>
      <c r="I3150" s="5">
        <f>I3149/I3155</f>
        <v>1.9153678275893544</v>
      </c>
    </row>
    <row r="3151" spans="1:10" ht="13.15" customHeight="1" x14ac:dyDescent="0.25">
      <c r="G3151" s="5"/>
      <c r="H3151" s="3"/>
      <c r="I3151" s="5"/>
    </row>
    <row r="3152" spans="1:10" x14ac:dyDescent="0.25">
      <c r="G3152" s="5"/>
      <c r="H3152" s="3"/>
      <c r="I3152" s="5"/>
    </row>
    <row r="3153" spans="2:9" ht="18" customHeight="1" x14ac:dyDescent="0.25">
      <c r="G3153" s="5"/>
      <c r="I3153" s="5"/>
    </row>
    <row r="3154" spans="2:9" x14ac:dyDescent="0.25">
      <c r="G3154" s="5"/>
      <c r="H3154" s="1" t="s">
        <v>3474</v>
      </c>
      <c r="I3154" s="5"/>
    </row>
    <row r="3155" spans="2:9" x14ac:dyDescent="0.25">
      <c r="G3155" s="1" t="s">
        <v>1569</v>
      </c>
      <c r="H3155" s="1" t="s">
        <v>224</v>
      </c>
      <c r="I3155" s="5">
        <v>5.9499999999999997E-2</v>
      </c>
    </row>
    <row r="3156" spans="2:9" ht="18.75" x14ac:dyDescent="0.3">
      <c r="G3156" s="1" t="s">
        <v>3473</v>
      </c>
      <c r="H3156" s="1" t="s">
        <v>225</v>
      </c>
      <c r="I3156" s="9">
        <v>7.2999999999999995E-2</v>
      </c>
    </row>
    <row r="3157" spans="2:9" x14ac:dyDescent="0.25">
      <c r="I3157" s="5">
        <f>I3156/I3149</f>
        <v>0.64055098902160346</v>
      </c>
    </row>
    <row r="3160" spans="2:9" x14ac:dyDescent="0.25">
      <c r="D3160"/>
    </row>
    <row r="3163" spans="2:9" x14ac:dyDescent="0.25">
      <c r="C3163" s="1" t="s">
        <v>598</v>
      </c>
      <c r="D3163" s="1" t="s">
        <v>597</v>
      </c>
    </row>
    <row r="3164" spans="2:9" x14ac:dyDescent="0.25">
      <c r="B3164" t="s">
        <v>25</v>
      </c>
      <c r="C3164" s="29">
        <f>D3149</f>
        <v>0.11909545406323002</v>
      </c>
      <c r="D3164" s="5">
        <f>100%-F3149</f>
        <v>0.26813878556411286</v>
      </c>
    </row>
    <row r="3165" spans="2:9" x14ac:dyDescent="0.25">
      <c r="B3165" t="s">
        <v>1</v>
      </c>
      <c r="C3165" s="29">
        <f>E3149</f>
        <v>0.32506055944550533</v>
      </c>
      <c r="D3165" s="5">
        <f>F3149</f>
        <v>0.73186121443588714</v>
      </c>
    </row>
    <row r="3167" spans="2:9" x14ac:dyDescent="0.25">
      <c r="C3167" s="1" t="s">
        <v>596</v>
      </c>
      <c r="D3167" s="1" t="s">
        <v>597</v>
      </c>
    </row>
    <row r="3168" spans="2:9" x14ac:dyDescent="0.25">
      <c r="C3168" s="29">
        <f>C3149</f>
        <v>0.44415601350873535</v>
      </c>
      <c r="D3168" s="5">
        <f>100%-F3153</f>
        <v>1</v>
      </c>
    </row>
    <row r="3169" spans="2:4" x14ac:dyDescent="0.25">
      <c r="C3169" s="30">
        <f>C3171-C3168</f>
        <v>0.55584398649126465</v>
      </c>
      <c r="D3169" s="5">
        <f>F3153</f>
        <v>0</v>
      </c>
    </row>
    <row r="3171" spans="2:4" x14ac:dyDescent="0.25">
      <c r="C3171" s="31">
        <v>1</v>
      </c>
    </row>
    <row r="3174" spans="2:4" x14ac:dyDescent="0.25">
      <c r="B3174" s="4" t="s">
        <v>599</v>
      </c>
      <c r="C3174" s="1" t="s">
        <v>600</v>
      </c>
    </row>
    <row r="3175" spans="2:4" x14ac:dyDescent="0.25">
      <c r="B3175" s="5">
        <f>G3149</f>
        <v>0.81693784213876419</v>
      </c>
      <c r="C3175" s="5">
        <f>100%-B3175</f>
        <v>0.18306215786123581</v>
      </c>
    </row>
    <row r="3177" spans="2:4" x14ac:dyDescent="0.25">
      <c r="C3177" s="1" t="s">
        <v>598</v>
      </c>
    </row>
    <row r="3178" spans="2:4" x14ac:dyDescent="0.25">
      <c r="B3178" t="s">
        <v>601</v>
      </c>
      <c r="C3178" s="29">
        <f>H3149</f>
        <v>4.4692738758769966E-2</v>
      </c>
    </row>
    <row r="3181" spans="2:4" x14ac:dyDescent="0.25">
      <c r="C3181" s="1" t="s">
        <v>602</v>
      </c>
    </row>
    <row r="3182" spans="2:4" x14ac:dyDescent="0.25">
      <c r="B3182" t="s">
        <v>603</v>
      </c>
      <c r="C3182" s="5">
        <f>I3149</f>
        <v>0.11396438574156659</v>
      </c>
    </row>
  </sheetData>
  <sortState xmlns:xlrd2="http://schemas.microsoft.com/office/spreadsheetml/2017/richdata2" ref="B6:J1295">
    <sortCondition descending="1" ref="E6:E1295"/>
  </sortState>
  <hyperlinks>
    <hyperlink ref="J12" r:id="rId1" xr:uid="{00000000-0004-0000-0000-000000000000}"/>
    <hyperlink ref="J38" r:id="rId2" xr:uid="{00000000-0004-0000-0000-000001000000}"/>
    <hyperlink ref="J73" r:id="rId3" xr:uid="{00000000-0004-0000-0000-000002000000}"/>
    <hyperlink ref="J94" r:id="rId4" xr:uid="{00000000-0004-0000-0000-000003000000}"/>
    <hyperlink ref="J108" r:id="rId5" xr:uid="{00000000-0004-0000-0000-000004000000}"/>
    <hyperlink ref="J117" r:id="rId6" xr:uid="{00000000-0004-0000-0000-000005000000}"/>
    <hyperlink ref="J124" r:id="rId7" xr:uid="{00000000-0004-0000-0000-000006000000}"/>
    <hyperlink ref="J136" r:id="rId8" xr:uid="{00000000-0004-0000-0000-000007000000}"/>
    <hyperlink ref="J138" r:id="rId9" xr:uid="{00000000-0004-0000-0000-000008000000}"/>
    <hyperlink ref="J162" r:id="rId10" xr:uid="{00000000-0004-0000-0000-000009000000}"/>
    <hyperlink ref="J202" r:id="rId11" xr:uid="{00000000-0004-0000-0000-00000A000000}"/>
    <hyperlink ref="J230" r:id="rId12" xr:uid="{00000000-0004-0000-0000-00000B000000}"/>
    <hyperlink ref="J264" r:id="rId13" xr:uid="{00000000-0004-0000-0000-00000C000000}"/>
    <hyperlink ref="J286" r:id="rId14" xr:uid="{00000000-0004-0000-0000-00000D000000}"/>
    <hyperlink ref="J309" r:id="rId15" xr:uid="{00000000-0004-0000-0000-00000E000000}"/>
    <hyperlink ref="J312" r:id="rId16" xr:uid="{00000000-0004-0000-0000-00000F000000}"/>
    <hyperlink ref="J318" r:id="rId17" xr:uid="{00000000-0004-0000-0000-000010000000}"/>
    <hyperlink ref="J324" r:id="rId18" xr:uid="{00000000-0004-0000-0000-000011000000}"/>
    <hyperlink ref="J352" r:id="rId19" xr:uid="{00000000-0004-0000-0000-000012000000}"/>
    <hyperlink ref="J370" r:id="rId20" xr:uid="{00000000-0004-0000-0000-000013000000}"/>
    <hyperlink ref="J371" r:id="rId21" xr:uid="{00000000-0004-0000-0000-000014000000}"/>
    <hyperlink ref="J383" r:id="rId22" xr:uid="{00000000-0004-0000-0000-000015000000}"/>
    <hyperlink ref="J395" r:id="rId23" xr:uid="{00000000-0004-0000-0000-000016000000}"/>
    <hyperlink ref="J396" r:id="rId24" xr:uid="{00000000-0004-0000-0000-000017000000}"/>
    <hyperlink ref="J465" r:id="rId25" xr:uid="{00000000-0004-0000-0000-000018000000}"/>
    <hyperlink ref="J497" r:id="rId26" xr:uid="{00000000-0004-0000-0000-000019000000}"/>
    <hyperlink ref="J500" r:id="rId27" xr:uid="{00000000-0004-0000-0000-00001A000000}"/>
    <hyperlink ref="J554" r:id="rId28" xr:uid="{00000000-0004-0000-0000-00001B000000}"/>
    <hyperlink ref="J555" r:id="rId29" xr:uid="{00000000-0004-0000-0000-00001C000000}"/>
    <hyperlink ref="J573" r:id="rId30" xr:uid="{00000000-0004-0000-0000-00001D000000}"/>
    <hyperlink ref="J590" r:id="rId31" xr:uid="{00000000-0004-0000-0000-00001E000000}"/>
    <hyperlink ref="J605" r:id="rId32" xr:uid="{00000000-0004-0000-0000-00001F000000}"/>
    <hyperlink ref="J614" r:id="rId33" xr:uid="{00000000-0004-0000-0000-000020000000}"/>
    <hyperlink ref="J624" r:id="rId34" xr:uid="{00000000-0004-0000-0000-000021000000}"/>
    <hyperlink ref="J642" r:id="rId35" xr:uid="{00000000-0004-0000-0000-000022000000}"/>
    <hyperlink ref="J661" r:id="rId36" xr:uid="{00000000-0004-0000-0000-000023000000}"/>
    <hyperlink ref="J668" r:id="rId37" xr:uid="{00000000-0004-0000-0000-000024000000}"/>
    <hyperlink ref="J681" r:id="rId38" xr:uid="{00000000-0004-0000-0000-000025000000}"/>
    <hyperlink ref="J688" r:id="rId39" xr:uid="{00000000-0004-0000-0000-000026000000}"/>
    <hyperlink ref="J689" r:id="rId40" xr:uid="{00000000-0004-0000-0000-000027000000}"/>
    <hyperlink ref="J710" r:id="rId41" xr:uid="{00000000-0004-0000-0000-000028000000}"/>
    <hyperlink ref="J740" r:id="rId42" xr:uid="{00000000-0004-0000-0000-000029000000}"/>
    <hyperlink ref="J774" r:id="rId43" xr:uid="{00000000-0004-0000-0000-00002A000000}"/>
    <hyperlink ref="J786" r:id="rId44" xr:uid="{00000000-0004-0000-0000-00002B000000}"/>
    <hyperlink ref="J827" r:id="rId45" xr:uid="{00000000-0004-0000-0000-00002C000000}"/>
    <hyperlink ref="J853" r:id="rId46" xr:uid="{00000000-0004-0000-0000-00002D000000}"/>
    <hyperlink ref="J938" r:id="rId47" xr:uid="{00000000-0004-0000-0000-00002E000000}"/>
    <hyperlink ref="J939" r:id="rId48" xr:uid="{00000000-0004-0000-0000-00002F000000}"/>
    <hyperlink ref="J956" r:id="rId49" xr:uid="{00000000-0004-0000-0000-000030000000}"/>
    <hyperlink ref="J1007" r:id="rId50" xr:uid="{00000000-0004-0000-0000-000031000000}"/>
    <hyperlink ref="J1017" r:id="rId51" xr:uid="{00000000-0004-0000-0000-000032000000}"/>
    <hyperlink ref="J1027" r:id="rId52" xr:uid="{00000000-0004-0000-0000-000033000000}"/>
    <hyperlink ref="J1034" r:id="rId53" xr:uid="{00000000-0004-0000-0000-000034000000}"/>
    <hyperlink ref="J1064" r:id="rId54" xr:uid="{00000000-0004-0000-0000-000035000000}"/>
    <hyperlink ref="J1077" r:id="rId55" xr:uid="{00000000-0004-0000-0000-000036000000}"/>
    <hyperlink ref="J1115" r:id="rId56" xr:uid="{00000000-0004-0000-0000-000037000000}"/>
    <hyperlink ref="J1158" r:id="rId57" xr:uid="{00000000-0004-0000-0000-000038000000}"/>
    <hyperlink ref="J1183" r:id="rId58" xr:uid="{00000000-0004-0000-0000-000039000000}"/>
    <hyperlink ref="J1220" r:id="rId59" xr:uid="{00000000-0004-0000-0000-00003A000000}"/>
    <hyperlink ref="J1231" r:id="rId60" xr:uid="{00000000-0004-0000-0000-00003B000000}"/>
    <hyperlink ref="J1232" r:id="rId61" xr:uid="{00000000-0004-0000-0000-00003C000000}"/>
    <hyperlink ref="J1267" r:id="rId62" xr:uid="{00000000-0004-0000-0000-00003D000000}"/>
    <hyperlink ref="J1273" r:id="rId63" xr:uid="{00000000-0004-0000-0000-00003E000000}"/>
    <hyperlink ref="J1295" r:id="rId64" xr:uid="{00000000-0004-0000-0000-00003F000000}"/>
    <hyperlink ref="J28" r:id="rId65" xr:uid="{00000000-0004-0000-0000-000040000000}"/>
    <hyperlink ref="J706" r:id="rId66" xr:uid="{00000000-0004-0000-0000-000041000000}"/>
    <hyperlink ref="J937" r:id="rId67" xr:uid="{00000000-0004-0000-0000-000042000000}"/>
    <hyperlink ref="J698" r:id="rId68" xr:uid="{00000000-0004-0000-0000-000043000000}"/>
    <hyperlink ref="J81" r:id="rId69" xr:uid="{00000000-0004-0000-0000-000044000000}"/>
    <hyperlink ref="J416" r:id="rId70" xr:uid="{00000000-0004-0000-0000-000045000000}"/>
    <hyperlink ref="J836" r:id="rId71" xr:uid="{00000000-0004-0000-0000-000046000000}"/>
    <hyperlink ref="J1238" r:id="rId72" xr:uid="{00000000-0004-0000-0000-000047000000}"/>
    <hyperlink ref="J1241" r:id="rId73" xr:uid="{00000000-0004-0000-0000-000048000000}"/>
    <hyperlink ref="J655" r:id="rId74" xr:uid="{00000000-0004-0000-0000-000049000000}"/>
    <hyperlink ref="J769" r:id="rId75" xr:uid="{00000000-0004-0000-0000-00004A000000}"/>
    <hyperlink ref="J1275" r:id="rId76" xr:uid="{D906522F-BF3F-47DD-9099-49883DE94FC3}"/>
    <hyperlink ref="J402" r:id="rId77" xr:uid="{C88DC488-05CC-448A-8CBC-83D5F71DDB99}"/>
    <hyperlink ref="J1214" r:id="rId78" xr:uid="{4891B70B-92B4-49B1-8DFC-2C922AB50138}"/>
    <hyperlink ref="J792" r:id="rId79" xr:uid="{7013E909-AB14-48FC-8931-9F3AD0960311}"/>
    <hyperlink ref="J116" r:id="rId80" xr:uid="{55D5AC87-61F3-4493-B500-07211331054F}"/>
    <hyperlink ref="J471" r:id="rId81" xr:uid="{705894AF-45E6-4B92-8E07-F3D9ED06A83D}"/>
    <hyperlink ref="J218" r:id="rId82" xr:uid="{E9137050-7D10-42F1-8778-BF98AF401939}"/>
    <hyperlink ref="J127" r:id="rId83" xr:uid="{B1B2EF90-52FC-4E4F-BA54-51F665CC0699}"/>
    <hyperlink ref="J2033" r:id="rId84" xr:uid="{8F59BCDD-77D7-484C-9042-8E45831F417D}"/>
    <hyperlink ref="J2140" r:id="rId85" xr:uid="{6DB7193F-BE5E-4B58-81B9-1FA0571D589D}"/>
    <hyperlink ref="J2141" r:id="rId86" xr:uid="{7721B4F8-3765-41DA-A94F-7D515DA7218A}"/>
    <hyperlink ref="J2142" r:id="rId87" xr:uid="{BFC62770-1BB5-422C-826E-CA3EF00AB708}"/>
    <hyperlink ref="J2143" r:id="rId88" xr:uid="{1CDCBEF1-FF59-41AB-9144-5485BC0A6E25}"/>
    <hyperlink ref="J2144" r:id="rId89" xr:uid="{D132E38B-60FB-47E4-9B69-52E88247C5A8}"/>
    <hyperlink ref="J2135" r:id="rId90" xr:uid="{836A1B87-3858-4EAF-9AE2-8C892AEE26B3}"/>
    <hyperlink ref="J2136" r:id="rId91" xr:uid="{1A358F69-DA29-429E-B3F1-8967C5F47F42}"/>
    <hyperlink ref="J2137" r:id="rId92" xr:uid="{0C401693-BCFB-4EF7-889A-B9E8192FC197}"/>
    <hyperlink ref="J2138" r:id="rId93" xr:uid="{5ADFA92F-8AEC-4460-8224-88E7CAFC341A}"/>
    <hyperlink ref="J2139" r:id="rId94" xr:uid="{A1161026-0B39-4BD3-A532-F793ED791031}"/>
    <hyperlink ref="J2326" r:id="rId95" xr:uid="{19D59A71-5232-41AC-BCAF-E56ADFD78693}"/>
    <hyperlink ref="J2327" r:id="rId96" xr:uid="{3E9BCA0F-E739-41F6-8A16-EDE3EF2688F0}"/>
    <hyperlink ref="J2463" r:id="rId97" xr:uid="{76C31FEC-0CF7-417E-88F1-237B7DFC8D5B}"/>
    <hyperlink ref="J2599" r:id="rId98" xr:uid="{E00D14F1-E07E-45FE-9B00-F22D1543CDD0}"/>
    <hyperlink ref="J2697" r:id="rId99" xr:uid="{9ECF1320-74AF-42B4-A04D-929ADA07029E}"/>
    <hyperlink ref="J2733" r:id="rId100" xr:uid="{897FA342-3216-40E4-A6CA-FB9EF32B7127}"/>
    <hyperlink ref="J2734" r:id="rId101" xr:uid="{C37B472D-6C31-4197-B067-77B72F61107A}"/>
    <hyperlink ref="J2735" r:id="rId102" xr:uid="{5F90E72E-377C-4270-BDB4-64A11C0B73CD}"/>
    <hyperlink ref="J2736" r:id="rId103" xr:uid="{D2B098E3-2C44-4619-9975-CA3C901D4652}"/>
    <hyperlink ref="J2737" r:id="rId104" xr:uid="{1DA2C94F-7412-47F9-A5DD-95141C8A352D}"/>
    <hyperlink ref="J2728" r:id="rId105" xr:uid="{13795C27-40E5-49DE-AAA7-C865616D9B98}"/>
    <hyperlink ref="J2729" r:id="rId106" xr:uid="{5C66BF98-13D0-4D1C-9BC6-DB62E35CFBD0}"/>
    <hyperlink ref="J2730" r:id="rId107" xr:uid="{14100961-7BF4-40F8-B08B-CDFDC3230EBE}"/>
    <hyperlink ref="J2731" r:id="rId108" xr:uid="{E2531066-DCCE-4920-9023-0670F76C6537}"/>
    <hyperlink ref="J2732" r:id="rId109" xr:uid="{2061C4C5-200A-40E6-AAE0-52F9420F2595}"/>
    <hyperlink ref="J2761" r:id="rId110" xr:uid="{CEE2CAFA-6103-4A9D-BB20-DAA4B9DE1E4B}"/>
  </hyperlinks>
  <pageMargins left="0.7" right="0.7" top="0.75" bottom="0.75" header="0.3" footer="0.3"/>
  <pageSetup scale="32" orientation="portrait" r:id="rId111"/>
  <drawing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160"/>
  <sheetViews>
    <sheetView zoomScale="67" zoomScaleNormal="67" workbookViewId="0">
      <pane ySplit="5" topLeftCell="A6" activePane="bottomLeft" state="frozen"/>
      <selection pane="bottomLeft" activeCell="B6" sqref="B6:J7"/>
    </sheetView>
  </sheetViews>
  <sheetFormatPr defaultRowHeight="15" x14ac:dyDescent="0.25"/>
  <cols>
    <col min="1" max="1" width="4.42578125" customWidth="1"/>
    <col min="2" max="2" width="61" customWidth="1"/>
    <col min="3" max="3" width="14.85546875" style="1" customWidth="1"/>
    <col min="4" max="4" width="15.28515625" style="1" customWidth="1"/>
    <col min="5" max="5" width="14.7109375" style="1" customWidth="1"/>
    <col min="6" max="6" width="13.85546875" style="1" customWidth="1"/>
    <col min="7" max="7" width="14.85546875" style="1" customWidth="1"/>
    <col min="8" max="8" width="21.140625" style="1" customWidth="1"/>
    <col min="9" max="9" width="21.85546875" style="1" customWidth="1"/>
    <col min="10" max="10" width="191.42578125" bestFit="1" customWidth="1"/>
  </cols>
  <sheetData>
    <row r="4" spans="1:10" x14ac:dyDescent="0.25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15" customHeight="1" x14ac:dyDescent="0.25"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3" t="s">
        <v>27</v>
      </c>
      <c r="H5" s="13" t="s">
        <v>221</v>
      </c>
      <c r="I5" s="13" t="s">
        <v>222</v>
      </c>
      <c r="J5" s="10" t="s">
        <v>82</v>
      </c>
    </row>
    <row r="6" spans="1:10" x14ac:dyDescent="0.25">
      <c r="A6">
        <f>1</f>
        <v>1</v>
      </c>
      <c r="B6" t="s">
        <v>40</v>
      </c>
      <c r="C6" s="2">
        <v>0.30555555555555552</v>
      </c>
      <c r="D6" s="4">
        <f t="shared" ref="D6:D26" si="0">C6-E6</f>
        <v>0.10347222222222222</v>
      </c>
      <c r="E6" s="6">
        <v>0.20208333333333331</v>
      </c>
      <c r="F6" s="5">
        <f t="shared" ref="F6:F26" si="1">E6/C6</f>
        <v>0.66136363636363638</v>
      </c>
      <c r="G6" s="5">
        <v>0.63900000000000001</v>
      </c>
      <c r="H6" s="4">
        <f>58.4/1440</f>
        <v>4.0555555555555553E-2</v>
      </c>
      <c r="I6" s="5">
        <v>0.128</v>
      </c>
      <c r="J6" s="11" t="s">
        <v>108</v>
      </c>
    </row>
    <row r="7" spans="1:10" x14ac:dyDescent="0.25">
      <c r="A7">
        <f>A6+1</f>
        <v>2</v>
      </c>
      <c r="B7" t="s">
        <v>49</v>
      </c>
      <c r="C7" s="2">
        <v>0.35972222222222222</v>
      </c>
      <c r="D7" s="4">
        <f t="shared" si="0"/>
        <v>0.11527777777777776</v>
      </c>
      <c r="E7" s="6">
        <v>0.24444444444444446</v>
      </c>
      <c r="F7" s="5">
        <f t="shared" si="1"/>
        <v>0.67953667953667962</v>
      </c>
      <c r="G7" s="5">
        <v>0.75700000000000001</v>
      </c>
      <c r="H7" s="4">
        <f>52.4/1440</f>
        <v>3.6388888888888887E-2</v>
      </c>
      <c r="I7" s="5">
        <v>0.113</v>
      </c>
      <c r="J7" s="11" t="s">
        <v>113</v>
      </c>
    </row>
    <row r="8" spans="1:10" x14ac:dyDescent="0.25">
      <c r="A8">
        <f t="shared" ref="A8:A71" si="2">A7+1</f>
        <v>3</v>
      </c>
      <c r="B8" t="s">
        <v>63</v>
      </c>
      <c r="C8" s="2">
        <v>0.42986111111111108</v>
      </c>
      <c r="D8" s="4">
        <f t="shared" si="0"/>
        <v>0.17013888888888884</v>
      </c>
      <c r="E8" s="6">
        <v>0.25972222222222224</v>
      </c>
      <c r="F8" s="5">
        <f t="shared" si="1"/>
        <v>0.60420032310177718</v>
      </c>
      <c r="G8" s="5">
        <v>0.59499999999999997</v>
      </c>
      <c r="H8" s="4">
        <f>54.2/1440</f>
        <v>3.7638888888888888E-2</v>
      </c>
      <c r="I8" s="5">
        <v>8.5999999999999993E-2</v>
      </c>
      <c r="J8" s="11" t="s">
        <v>128</v>
      </c>
    </row>
    <row r="9" spans="1:10" x14ac:dyDescent="0.25">
      <c r="A9">
        <f t="shared" si="2"/>
        <v>4</v>
      </c>
      <c r="B9" t="s">
        <v>43</v>
      </c>
      <c r="C9" s="2">
        <v>0.38541666666666669</v>
      </c>
      <c r="D9" s="4">
        <f t="shared" si="0"/>
        <v>0.12569444444444444</v>
      </c>
      <c r="E9" s="6">
        <v>0.25972222222222224</v>
      </c>
      <c r="F9" s="5">
        <f t="shared" si="1"/>
        <v>0.67387387387387387</v>
      </c>
      <c r="G9" s="5">
        <v>0.69499999999999995</v>
      </c>
      <c r="H9" s="4">
        <f>57.7/1440</f>
        <v>4.0069444444444449E-2</v>
      </c>
      <c r="I9" s="5">
        <v>0.107</v>
      </c>
      <c r="J9" s="11" t="s">
        <v>110</v>
      </c>
    </row>
    <row r="10" spans="1:10" x14ac:dyDescent="0.25">
      <c r="A10">
        <f t="shared" si="2"/>
        <v>5</v>
      </c>
      <c r="B10" t="s">
        <v>31</v>
      </c>
      <c r="C10" s="2">
        <v>0.40277777777777773</v>
      </c>
      <c r="D10" s="4">
        <f t="shared" si="0"/>
        <v>0.13888888888888884</v>
      </c>
      <c r="E10" s="6">
        <v>0.2638888888888889</v>
      </c>
      <c r="F10" s="5">
        <f t="shared" si="1"/>
        <v>0.65517241379310354</v>
      </c>
      <c r="G10" s="5">
        <v>0.60499999999999998</v>
      </c>
      <c r="H10" s="4">
        <f>58.1/1440</f>
        <v>4.0347222222222222E-2</v>
      </c>
      <c r="I10" s="5">
        <v>9.1999999999999998E-2</v>
      </c>
      <c r="J10" s="11" t="s">
        <v>99</v>
      </c>
    </row>
    <row r="11" spans="1:10" x14ac:dyDescent="0.25">
      <c r="A11">
        <f t="shared" si="2"/>
        <v>6</v>
      </c>
      <c r="B11" t="s">
        <v>23</v>
      </c>
      <c r="C11" s="2">
        <v>0.41111111111111115</v>
      </c>
      <c r="D11" s="4">
        <f t="shared" si="0"/>
        <v>0.13888888888888895</v>
      </c>
      <c r="E11" s="6">
        <v>0.2722222222222222</v>
      </c>
      <c r="F11" s="5">
        <f t="shared" si="1"/>
        <v>0.66216216216216206</v>
      </c>
      <c r="G11" s="5">
        <v>0.67800000000000005</v>
      </c>
      <c r="H11" s="4">
        <f>72.2/1440</f>
        <v>5.0138888888888893E-2</v>
      </c>
      <c r="I11" s="5">
        <v>0.125</v>
      </c>
      <c r="J11" s="11" t="s">
        <v>83</v>
      </c>
    </row>
    <row r="12" spans="1:10" x14ac:dyDescent="0.25">
      <c r="A12">
        <f t="shared" si="2"/>
        <v>7</v>
      </c>
      <c r="B12" t="s">
        <v>8</v>
      </c>
      <c r="C12" s="2">
        <v>0.41250000000000003</v>
      </c>
      <c r="D12" s="4">
        <f t="shared" si="0"/>
        <v>0.13194444444444448</v>
      </c>
      <c r="E12" s="6">
        <v>0.28055555555555556</v>
      </c>
      <c r="F12" s="5">
        <f t="shared" si="1"/>
        <v>0.68013468013468004</v>
      </c>
      <c r="G12" s="5">
        <v>0.67300000000000004</v>
      </c>
      <c r="H12" s="4">
        <f>58.3/1440</f>
        <v>4.0486111111111112E-2</v>
      </c>
      <c r="I12" s="5">
        <v>9.7000000000000003E-2</v>
      </c>
      <c r="J12" s="11" t="s">
        <v>68</v>
      </c>
    </row>
    <row r="13" spans="1:10" x14ac:dyDescent="0.25">
      <c r="A13">
        <f t="shared" si="2"/>
        <v>8</v>
      </c>
      <c r="B13" t="s">
        <v>157</v>
      </c>
      <c r="C13" s="2">
        <v>0.39305555555555555</v>
      </c>
      <c r="D13" s="4">
        <f t="shared" si="0"/>
        <v>0.11249999999999999</v>
      </c>
      <c r="E13" s="6">
        <v>0.28055555555555556</v>
      </c>
      <c r="F13" s="5">
        <f t="shared" si="1"/>
        <v>0.71378091872791527</v>
      </c>
      <c r="G13" s="5">
        <v>0.66100000000000003</v>
      </c>
      <c r="H13" s="4">
        <f>59.1/1440</f>
        <v>4.1041666666666671E-2</v>
      </c>
      <c r="I13" s="5">
        <v>9.7000000000000003E-2</v>
      </c>
      <c r="J13" s="11" t="s">
        <v>158</v>
      </c>
    </row>
    <row r="14" spans="1:10" x14ac:dyDescent="0.25">
      <c r="A14">
        <f t="shared" si="2"/>
        <v>9</v>
      </c>
      <c r="B14" t="s">
        <v>252</v>
      </c>
      <c r="C14" s="2">
        <v>0.4291666666666667</v>
      </c>
      <c r="D14" s="4">
        <f t="shared" si="0"/>
        <v>0.13541666666666669</v>
      </c>
      <c r="E14" s="6">
        <v>0.29375000000000001</v>
      </c>
      <c r="F14" s="5">
        <f t="shared" si="1"/>
        <v>0.68446601941747576</v>
      </c>
      <c r="G14" s="5">
        <v>0.69799999999999995</v>
      </c>
      <c r="H14" s="4">
        <f>61.3/1440</f>
        <v>4.2569444444444444E-2</v>
      </c>
      <c r="I14" s="5">
        <v>0.10100000000000001</v>
      </c>
      <c r="J14" s="11" t="s">
        <v>253</v>
      </c>
    </row>
    <row r="15" spans="1:10" x14ac:dyDescent="0.25">
      <c r="A15">
        <f t="shared" si="2"/>
        <v>10</v>
      </c>
      <c r="B15" t="s">
        <v>264</v>
      </c>
      <c r="C15" s="2">
        <v>0.42430555555555555</v>
      </c>
      <c r="D15" s="4">
        <f t="shared" si="0"/>
        <v>0.12986111111111109</v>
      </c>
      <c r="E15" s="6">
        <v>0.29444444444444445</v>
      </c>
      <c r="F15" s="5">
        <f t="shared" si="1"/>
        <v>0.69394435351882167</v>
      </c>
      <c r="G15" s="5">
        <v>0.51100000000000001</v>
      </c>
      <c r="H15" s="4">
        <f>50.9/1440</f>
        <v>3.5347222222222224E-2</v>
      </c>
      <c r="I15" s="5">
        <v>6.0999999999999999E-2</v>
      </c>
      <c r="J15" s="11" t="s">
        <v>266</v>
      </c>
    </row>
    <row r="16" spans="1:10" x14ac:dyDescent="0.25">
      <c r="A16">
        <f t="shared" si="2"/>
        <v>11</v>
      </c>
      <c r="B16" t="s">
        <v>18</v>
      </c>
      <c r="C16" s="2">
        <v>0.42499999999999999</v>
      </c>
      <c r="D16" s="4">
        <f t="shared" si="0"/>
        <v>0.12916666666666665</v>
      </c>
      <c r="E16" s="6">
        <v>0.29583333333333334</v>
      </c>
      <c r="F16" s="5">
        <f t="shared" si="1"/>
        <v>0.6960784313725491</v>
      </c>
      <c r="G16" s="5">
        <v>0.65500000000000003</v>
      </c>
      <c r="H16" s="4">
        <f>65.2/1440</f>
        <v>4.5277777777777778E-2</v>
      </c>
      <c r="I16" s="5">
        <v>0.1</v>
      </c>
      <c r="J16" s="11" t="s">
        <v>84</v>
      </c>
    </row>
    <row r="17" spans="1:10" x14ac:dyDescent="0.25">
      <c r="A17">
        <f t="shared" si="2"/>
        <v>12</v>
      </c>
      <c r="B17" t="s">
        <v>47</v>
      </c>
      <c r="C17" s="2">
        <v>0.40833333333333338</v>
      </c>
      <c r="D17" s="4">
        <f t="shared" si="0"/>
        <v>0.11111111111111116</v>
      </c>
      <c r="E17" s="6">
        <v>0.29722222222222222</v>
      </c>
      <c r="F17" s="5">
        <f t="shared" si="1"/>
        <v>0.72789115646258495</v>
      </c>
      <c r="G17" s="5">
        <v>0.84399999999999997</v>
      </c>
      <c r="H17" s="4">
        <f>85/1440</f>
        <v>5.9027777777777776E-2</v>
      </c>
      <c r="I17" s="5">
        <v>0.16800000000000001</v>
      </c>
      <c r="J17" s="11" t="s">
        <v>97</v>
      </c>
    </row>
    <row r="18" spans="1:10" x14ac:dyDescent="0.25">
      <c r="A18">
        <f t="shared" si="2"/>
        <v>13</v>
      </c>
      <c r="B18" t="s">
        <v>198</v>
      </c>
      <c r="C18" s="2">
        <v>0.41180555555555554</v>
      </c>
      <c r="D18" s="4">
        <f t="shared" si="0"/>
        <v>0.11249999999999999</v>
      </c>
      <c r="E18" s="6">
        <v>0.29930555555555555</v>
      </c>
      <c r="F18" s="5">
        <f t="shared" si="1"/>
        <v>0.72681281618887017</v>
      </c>
      <c r="G18" s="5">
        <v>0.754</v>
      </c>
      <c r="H18" s="4">
        <f>71.1/1440</f>
        <v>4.9374999999999995E-2</v>
      </c>
      <c r="I18" s="5">
        <v>0.124</v>
      </c>
      <c r="J18" s="11" t="s">
        <v>199</v>
      </c>
    </row>
    <row r="19" spans="1:10" x14ac:dyDescent="0.25">
      <c r="A19">
        <f t="shared" si="2"/>
        <v>14</v>
      </c>
      <c r="B19" t="s">
        <v>269</v>
      </c>
      <c r="C19" s="2">
        <v>0.46180555555555558</v>
      </c>
      <c r="D19" s="4">
        <f t="shared" si="0"/>
        <v>0.15833333333333338</v>
      </c>
      <c r="E19" s="6">
        <v>0.3034722222222222</v>
      </c>
      <c r="F19" s="5">
        <f t="shared" si="1"/>
        <v>0.65714285714285703</v>
      </c>
      <c r="G19" s="5">
        <v>0.63800000000000001</v>
      </c>
      <c r="H19" s="4">
        <f>59.7/1440</f>
        <v>4.1458333333333333E-2</v>
      </c>
      <c r="I19" s="5">
        <v>8.6999999999999994E-2</v>
      </c>
      <c r="J19" s="11" t="s">
        <v>270</v>
      </c>
    </row>
    <row r="20" spans="1:10" x14ac:dyDescent="0.25">
      <c r="A20">
        <f t="shared" si="2"/>
        <v>15</v>
      </c>
      <c r="B20" t="s">
        <v>4</v>
      </c>
      <c r="C20" s="2">
        <v>0.45347222222222222</v>
      </c>
      <c r="D20" s="4">
        <f t="shared" si="0"/>
        <v>0.14930555555555558</v>
      </c>
      <c r="E20" s="6">
        <v>0.30416666666666664</v>
      </c>
      <c r="F20" s="5">
        <f t="shared" si="1"/>
        <v>0.67075038284839195</v>
      </c>
      <c r="G20" s="5">
        <v>0.58299999999999996</v>
      </c>
      <c r="H20" s="4">
        <f>67.5/1440</f>
        <v>4.6875E-2</v>
      </c>
      <c r="I20" s="5">
        <v>0.09</v>
      </c>
      <c r="J20" s="11" t="s">
        <v>70</v>
      </c>
    </row>
    <row r="21" spans="1:10" x14ac:dyDescent="0.25">
      <c r="A21">
        <f t="shared" si="2"/>
        <v>16</v>
      </c>
      <c r="B21" t="s">
        <v>295</v>
      </c>
      <c r="C21" s="2">
        <v>0.43055555555555558</v>
      </c>
      <c r="D21" s="4">
        <f t="shared" si="0"/>
        <v>0.12222222222222223</v>
      </c>
      <c r="E21" s="6">
        <v>0.30833333333333335</v>
      </c>
      <c r="F21" s="5">
        <f t="shared" si="1"/>
        <v>0.71612903225806446</v>
      </c>
      <c r="G21" s="5">
        <v>0.68200000000000005</v>
      </c>
      <c r="H21" s="4">
        <f>69.8/1440</f>
        <v>4.8472222222222222E-2</v>
      </c>
      <c r="I21" s="5">
        <v>0.107</v>
      </c>
      <c r="J21" s="11" t="s">
        <v>296</v>
      </c>
    </row>
    <row r="22" spans="1:10" x14ac:dyDescent="0.25">
      <c r="A22">
        <f t="shared" si="2"/>
        <v>17</v>
      </c>
      <c r="B22" t="s">
        <v>317</v>
      </c>
      <c r="C22" s="2">
        <v>0.45069444444444445</v>
      </c>
      <c r="D22" s="4">
        <f t="shared" si="0"/>
        <v>0.13680555555555557</v>
      </c>
      <c r="E22" s="6">
        <v>0.31388888888888888</v>
      </c>
      <c r="F22" s="5">
        <f t="shared" si="1"/>
        <v>0.69645608628659472</v>
      </c>
      <c r="G22" s="5">
        <v>0.66700000000000004</v>
      </c>
      <c r="H22" s="4">
        <f>59.7/1440</f>
        <v>4.1458333333333333E-2</v>
      </c>
      <c r="I22" s="5">
        <v>8.7999999999999995E-2</v>
      </c>
      <c r="J22" s="11" t="s">
        <v>318</v>
      </c>
    </row>
    <row r="23" spans="1:10" x14ac:dyDescent="0.25">
      <c r="A23">
        <f t="shared" si="2"/>
        <v>18</v>
      </c>
      <c r="B23" t="s">
        <v>264</v>
      </c>
      <c r="C23" s="2">
        <v>0.4458333333333333</v>
      </c>
      <c r="D23" s="4">
        <f t="shared" si="0"/>
        <v>0.12499999999999994</v>
      </c>
      <c r="E23" s="6">
        <v>0.32083333333333336</v>
      </c>
      <c r="F23" s="5">
        <f t="shared" si="1"/>
        <v>0.71962616822429915</v>
      </c>
      <c r="G23" s="5">
        <v>0.76</v>
      </c>
      <c r="H23" s="4">
        <f>71.2/1440</f>
        <v>4.9444444444444444E-2</v>
      </c>
      <c r="I23" s="5">
        <v>0.11700000000000001</v>
      </c>
      <c r="J23" s="11" t="s">
        <v>265</v>
      </c>
    </row>
    <row r="24" spans="1:10" x14ac:dyDescent="0.25">
      <c r="A24">
        <f t="shared" si="2"/>
        <v>19</v>
      </c>
      <c r="B24" t="s">
        <v>229</v>
      </c>
      <c r="C24" s="2">
        <v>0.4597222222222222</v>
      </c>
      <c r="D24" s="4">
        <f t="shared" si="0"/>
        <v>0.13541666666666663</v>
      </c>
      <c r="E24" s="6">
        <v>0.32430555555555557</v>
      </c>
      <c r="F24" s="5">
        <f t="shared" si="1"/>
        <v>0.70543806646525686</v>
      </c>
      <c r="G24" s="5">
        <v>0.81599999999999995</v>
      </c>
      <c r="H24" s="4">
        <f>61/1440</f>
        <v>4.2361111111111113E-2</v>
      </c>
      <c r="I24" s="5">
        <v>0.106</v>
      </c>
      <c r="J24" s="11" t="s">
        <v>230</v>
      </c>
    </row>
    <row r="25" spans="1:10" x14ac:dyDescent="0.25">
      <c r="A25">
        <f t="shared" si="2"/>
        <v>20</v>
      </c>
      <c r="B25" t="s">
        <v>281</v>
      </c>
      <c r="C25" s="2">
        <v>0.46666666666666662</v>
      </c>
      <c r="D25" s="4">
        <f t="shared" si="0"/>
        <v>0.12152777777777773</v>
      </c>
      <c r="E25" s="6">
        <v>0.34513888888888888</v>
      </c>
      <c r="F25" s="5">
        <f t="shared" si="1"/>
        <v>0.73958333333333337</v>
      </c>
      <c r="G25" s="5">
        <v>0.77800000000000002</v>
      </c>
      <c r="H25" s="4">
        <f>75/1440</f>
        <v>5.2083333333333336E-2</v>
      </c>
      <c r="I25" s="5">
        <v>0.11700000000000001</v>
      </c>
      <c r="J25" s="11" t="s">
        <v>282</v>
      </c>
    </row>
    <row r="26" spans="1:10" x14ac:dyDescent="0.25">
      <c r="A26">
        <f t="shared" si="2"/>
        <v>21</v>
      </c>
      <c r="B26" t="s">
        <v>297</v>
      </c>
      <c r="C26" s="2">
        <v>0.49374999999999997</v>
      </c>
      <c r="D26" s="4">
        <f t="shared" si="0"/>
        <v>0.13888888888888884</v>
      </c>
      <c r="E26" s="6">
        <v>0.35486111111111113</v>
      </c>
      <c r="F26" s="5">
        <f t="shared" si="1"/>
        <v>0.71870604781997194</v>
      </c>
      <c r="G26" s="5">
        <v>0.68700000000000006</v>
      </c>
      <c r="H26" s="4">
        <f>89.6/1440</f>
        <v>6.222222222222222E-2</v>
      </c>
      <c r="I26" s="5">
        <v>0.12</v>
      </c>
      <c r="J26" s="11" t="s">
        <v>298</v>
      </c>
    </row>
    <row r="27" spans="1:10" x14ac:dyDescent="0.25">
      <c r="A27">
        <f t="shared" si="2"/>
        <v>22</v>
      </c>
      <c r="E27" s="6"/>
      <c r="F27" s="2"/>
      <c r="G27" s="5"/>
      <c r="H27" s="4"/>
      <c r="I27" s="5"/>
    </row>
    <row r="28" spans="1:10" ht="18.75" x14ac:dyDescent="0.3">
      <c r="A28">
        <f t="shared" si="2"/>
        <v>23</v>
      </c>
      <c r="B28" s="7" t="s">
        <v>13</v>
      </c>
      <c r="C28" s="8">
        <f t="shared" ref="C28:I28" si="3">SUM(C6:C26)/21</f>
        <v>0.42195767195767192</v>
      </c>
      <c r="D28" s="8">
        <f t="shared" si="3"/>
        <v>0.13058862433862434</v>
      </c>
      <c r="E28" s="8">
        <f t="shared" si="3"/>
        <v>0.29136904761904764</v>
      </c>
      <c r="F28" s="9">
        <f t="shared" si="3"/>
        <v>0.68967854471585233</v>
      </c>
      <c r="G28" s="9">
        <f t="shared" si="3"/>
        <v>0.6845714285714285</v>
      </c>
      <c r="H28" s="8">
        <f t="shared" si="3"/>
        <v>4.4887566137566136E-2</v>
      </c>
      <c r="I28" s="9">
        <f t="shared" si="3"/>
        <v>0.10623809523809526</v>
      </c>
    </row>
    <row r="29" spans="1:10" x14ac:dyDescent="0.25">
      <c r="A29">
        <f t="shared" si="2"/>
        <v>24</v>
      </c>
      <c r="G29" s="5"/>
      <c r="H29" s="3"/>
      <c r="I29" s="5">
        <f>I28/I35</f>
        <v>1.3014166666666667</v>
      </c>
    </row>
    <row r="30" spans="1:10" x14ac:dyDescent="0.25">
      <c r="A30">
        <f t="shared" si="2"/>
        <v>25</v>
      </c>
      <c r="G30" s="5"/>
      <c r="H30" s="3"/>
      <c r="I30" s="5"/>
    </row>
    <row r="31" spans="1:10" x14ac:dyDescent="0.25">
      <c r="A31">
        <f t="shared" si="2"/>
        <v>26</v>
      </c>
      <c r="G31" s="5"/>
      <c r="H31" s="3"/>
      <c r="I31" s="5"/>
    </row>
    <row r="32" spans="1:10" x14ac:dyDescent="0.25">
      <c r="A32">
        <f t="shared" si="2"/>
        <v>27</v>
      </c>
      <c r="G32" s="5"/>
      <c r="I32" s="5"/>
    </row>
    <row r="33" spans="1:9" x14ac:dyDescent="0.25">
      <c r="A33">
        <f t="shared" si="2"/>
        <v>28</v>
      </c>
      <c r="G33" s="5"/>
      <c r="H33" s="1" t="s">
        <v>226</v>
      </c>
      <c r="I33" s="5"/>
    </row>
    <row r="34" spans="1:9" x14ac:dyDescent="0.25">
      <c r="A34">
        <f t="shared" si="2"/>
        <v>29</v>
      </c>
      <c r="G34" s="1" t="s">
        <v>227</v>
      </c>
      <c r="H34" s="1" t="s">
        <v>224</v>
      </c>
      <c r="I34" s="15">
        <f>10.4/161.7</f>
        <v>6.4316635745207185E-2</v>
      </c>
    </row>
    <row r="35" spans="1:9" x14ac:dyDescent="0.25">
      <c r="A35">
        <f t="shared" si="2"/>
        <v>30</v>
      </c>
      <c r="G35" s="1" t="s">
        <v>228</v>
      </c>
      <c r="H35" s="1" t="s">
        <v>225</v>
      </c>
      <c r="I35" s="15">
        <f>SUM(10.4+2.8)/161.7</f>
        <v>8.1632653061224497E-2</v>
      </c>
    </row>
    <row r="36" spans="1:9" x14ac:dyDescent="0.25">
      <c r="A36">
        <f t="shared" si="2"/>
        <v>31</v>
      </c>
    </row>
    <row r="37" spans="1:9" x14ac:dyDescent="0.25">
      <c r="A37">
        <f t="shared" si="2"/>
        <v>32</v>
      </c>
    </row>
    <row r="38" spans="1:9" x14ac:dyDescent="0.25">
      <c r="A38">
        <f t="shared" si="2"/>
        <v>33</v>
      </c>
    </row>
    <row r="39" spans="1:9" x14ac:dyDescent="0.25">
      <c r="A39">
        <f t="shared" si="2"/>
        <v>34</v>
      </c>
      <c r="C39" s="13" t="s">
        <v>14</v>
      </c>
      <c r="D39" s="13" t="s">
        <v>14</v>
      </c>
      <c r="E39" s="26" t="s">
        <v>14</v>
      </c>
      <c r="F39" s="13" t="s">
        <v>14</v>
      </c>
      <c r="G39" s="21"/>
      <c r="H39" s="21" t="s">
        <v>14</v>
      </c>
      <c r="I39" s="21" t="s">
        <v>14</v>
      </c>
    </row>
    <row r="40" spans="1:9" ht="59.45" customHeight="1" x14ac:dyDescent="0.35">
      <c r="A40">
        <f t="shared" si="2"/>
        <v>35</v>
      </c>
      <c r="B40" s="27" t="s">
        <v>11</v>
      </c>
      <c r="C40" s="13" t="s">
        <v>421</v>
      </c>
      <c r="D40" s="13" t="s">
        <v>422</v>
      </c>
      <c r="E40" s="26" t="s">
        <v>423</v>
      </c>
      <c r="F40" s="13" t="s">
        <v>26</v>
      </c>
      <c r="G40" s="21" t="s">
        <v>27</v>
      </c>
      <c r="H40" s="21" t="s">
        <v>420</v>
      </c>
      <c r="I40" s="21" t="s">
        <v>222</v>
      </c>
    </row>
    <row r="41" spans="1:9" ht="23.25" x14ac:dyDescent="0.35">
      <c r="A41">
        <f t="shared" si="2"/>
        <v>36</v>
      </c>
      <c r="B41" s="16" t="s">
        <v>320</v>
      </c>
      <c r="C41" s="17">
        <f>C28</f>
        <v>0.42195767195767192</v>
      </c>
      <c r="D41" s="17">
        <f t="shared" ref="D41:I41" si="4">D28</f>
        <v>0.13058862433862434</v>
      </c>
      <c r="E41" s="23">
        <f t="shared" si="4"/>
        <v>0.29136904761904764</v>
      </c>
      <c r="F41" s="18">
        <f t="shared" si="4"/>
        <v>0.68967854471585233</v>
      </c>
      <c r="G41" s="22">
        <f t="shared" si="4"/>
        <v>0.6845714285714285</v>
      </c>
      <c r="H41" s="23">
        <f t="shared" si="4"/>
        <v>4.4887566137566136E-2</v>
      </c>
      <c r="I41" s="22">
        <f t="shared" si="4"/>
        <v>0.10623809523809526</v>
      </c>
    </row>
    <row r="42" spans="1:9" ht="23.25" x14ac:dyDescent="0.35">
      <c r="A42">
        <f t="shared" si="2"/>
        <v>37</v>
      </c>
      <c r="B42" s="16" t="s">
        <v>321</v>
      </c>
      <c r="C42" s="17">
        <f>Total!C3149</f>
        <v>0.44415601350873535</v>
      </c>
      <c r="D42" s="17">
        <f>Total!D3149</f>
        <v>0.11909545406323002</v>
      </c>
      <c r="E42" s="23">
        <f>Total!E3149</f>
        <v>0.32506055944550533</v>
      </c>
      <c r="F42" s="18">
        <f>Total!F3149</f>
        <v>0.73186121443588714</v>
      </c>
      <c r="G42" s="22">
        <f>Total!G3149</f>
        <v>0.81693784213876419</v>
      </c>
      <c r="H42" s="23">
        <f>Total!H3149</f>
        <v>4.4692738758769966E-2</v>
      </c>
      <c r="I42" s="22">
        <f>Total!I3149</f>
        <v>0.11396438574156659</v>
      </c>
    </row>
    <row r="43" spans="1:9" x14ac:dyDescent="0.25">
      <c r="A43">
        <f t="shared" si="2"/>
        <v>38</v>
      </c>
      <c r="E43" s="24"/>
      <c r="G43" s="24"/>
      <c r="H43" s="24"/>
      <c r="I43" s="24"/>
    </row>
    <row r="44" spans="1:9" ht="23.25" x14ac:dyDescent="0.35">
      <c r="A44">
        <f t="shared" si="2"/>
        <v>39</v>
      </c>
      <c r="B44" s="19" t="s">
        <v>322</v>
      </c>
      <c r="C44" s="20">
        <f>SUM(C41/C42)-100%</f>
        <v>-4.9978703149151094E-2</v>
      </c>
      <c r="D44" s="20">
        <f t="shared" ref="D44:I44" si="5">SUM(D41/D42)-100%</f>
        <v>9.6503853701186415E-2</v>
      </c>
      <c r="E44" s="25">
        <f t="shared" si="5"/>
        <v>-0.10364687701248443</v>
      </c>
      <c r="F44" s="20">
        <f t="shared" si="5"/>
        <v>-5.7637525924295496E-2</v>
      </c>
      <c r="G44" s="25">
        <f t="shared" si="5"/>
        <v>-0.16202752123808717</v>
      </c>
      <c r="H44" s="25">
        <f t="shared" si="5"/>
        <v>4.359262470974512E-3</v>
      </c>
      <c r="I44" s="25">
        <f t="shared" si="5"/>
        <v>-6.7795657855709401E-2</v>
      </c>
    </row>
    <row r="45" spans="1:9" x14ac:dyDescent="0.25">
      <c r="A45">
        <f t="shared" si="2"/>
        <v>40</v>
      </c>
    </row>
    <row r="46" spans="1:9" x14ac:dyDescent="0.25">
      <c r="A46">
        <f t="shared" si="2"/>
        <v>41</v>
      </c>
    </row>
    <row r="47" spans="1:9" x14ac:dyDescent="0.25">
      <c r="A47">
        <f t="shared" si="2"/>
        <v>42</v>
      </c>
    </row>
    <row r="48" spans="1:9" x14ac:dyDescent="0.25">
      <c r="A48">
        <f t="shared" si="2"/>
        <v>43</v>
      </c>
    </row>
    <row r="49" spans="1:1" x14ac:dyDescent="0.25">
      <c r="A49">
        <f t="shared" si="2"/>
        <v>44</v>
      </c>
    </row>
    <row r="50" spans="1:1" x14ac:dyDescent="0.25">
      <c r="A50">
        <f t="shared" si="2"/>
        <v>45</v>
      </c>
    </row>
    <row r="51" spans="1:1" x14ac:dyDescent="0.25">
      <c r="A51">
        <f t="shared" si="2"/>
        <v>46</v>
      </c>
    </row>
    <row r="52" spans="1:1" x14ac:dyDescent="0.25">
      <c r="A52">
        <f t="shared" si="2"/>
        <v>47</v>
      </c>
    </row>
    <row r="53" spans="1:1" x14ac:dyDescent="0.25">
      <c r="A53">
        <f t="shared" si="2"/>
        <v>48</v>
      </c>
    </row>
    <row r="54" spans="1:1" x14ac:dyDescent="0.25">
      <c r="A54">
        <f t="shared" si="2"/>
        <v>49</v>
      </c>
    </row>
    <row r="55" spans="1:1" x14ac:dyDescent="0.25">
      <c r="A55">
        <f t="shared" si="2"/>
        <v>50</v>
      </c>
    </row>
    <row r="56" spans="1:1" x14ac:dyDescent="0.25">
      <c r="A56">
        <f t="shared" si="2"/>
        <v>51</v>
      </c>
    </row>
    <row r="57" spans="1:1" x14ac:dyDescent="0.25">
      <c r="A57">
        <f t="shared" si="2"/>
        <v>52</v>
      </c>
    </row>
    <row r="58" spans="1:1" x14ac:dyDescent="0.25">
      <c r="A58">
        <f t="shared" si="2"/>
        <v>53</v>
      </c>
    </row>
    <row r="59" spans="1:1" x14ac:dyDescent="0.25">
      <c r="A59">
        <f t="shared" si="2"/>
        <v>54</v>
      </c>
    </row>
    <row r="60" spans="1:1" x14ac:dyDescent="0.25">
      <c r="A60">
        <f t="shared" si="2"/>
        <v>55</v>
      </c>
    </row>
    <row r="61" spans="1:1" x14ac:dyDescent="0.25">
      <c r="A61">
        <f t="shared" si="2"/>
        <v>56</v>
      </c>
    </row>
    <row r="62" spans="1:1" x14ac:dyDescent="0.25">
      <c r="A62">
        <f t="shared" si="2"/>
        <v>57</v>
      </c>
    </row>
    <row r="63" spans="1:1" x14ac:dyDescent="0.25">
      <c r="A63">
        <f t="shared" si="2"/>
        <v>58</v>
      </c>
    </row>
    <row r="64" spans="1:1" x14ac:dyDescent="0.25">
      <c r="A64">
        <f t="shared" si="2"/>
        <v>59</v>
      </c>
    </row>
    <row r="65" spans="1:1" x14ac:dyDescent="0.25">
      <c r="A65">
        <f t="shared" si="2"/>
        <v>60</v>
      </c>
    </row>
    <row r="66" spans="1:1" x14ac:dyDescent="0.25">
      <c r="A66">
        <f t="shared" si="2"/>
        <v>61</v>
      </c>
    </row>
    <row r="67" spans="1:1" x14ac:dyDescent="0.25">
      <c r="A67">
        <f t="shared" si="2"/>
        <v>62</v>
      </c>
    </row>
    <row r="68" spans="1:1" x14ac:dyDescent="0.25">
      <c r="A68">
        <f t="shared" si="2"/>
        <v>63</v>
      </c>
    </row>
    <row r="69" spans="1:1" x14ac:dyDescent="0.25">
      <c r="A69">
        <f t="shared" si="2"/>
        <v>64</v>
      </c>
    </row>
    <row r="70" spans="1:1" x14ac:dyDescent="0.25">
      <c r="A70">
        <f t="shared" si="2"/>
        <v>65</v>
      </c>
    </row>
    <row r="71" spans="1:1" x14ac:dyDescent="0.25">
      <c r="A71">
        <f t="shared" si="2"/>
        <v>66</v>
      </c>
    </row>
    <row r="72" spans="1:1" x14ac:dyDescent="0.25">
      <c r="A72">
        <f t="shared" ref="A72:A135" si="6">A71+1</f>
        <v>67</v>
      </c>
    </row>
    <row r="73" spans="1:1" x14ac:dyDescent="0.25">
      <c r="A73">
        <f t="shared" si="6"/>
        <v>68</v>
      </c>
    </row>
    <row r="74" spans="1:1" x14ac:dyDescent="0.25">
      <c r="A74">
        <f t="shared" si="6"/>
        <v>69</v>
      </c>
    </row>
    <row r="75" spans="1:1" x14ac:dyDescent="0.25">
      <c r="A75">
        <f t="shared" si="6"/>
        <v>70</v>
      </c>
    </row>
    <row r="76" spans="1:1" x14ac:dyDescent="0.25">
      <c r="A76">
        <f t="shared" si="6"/>
        <v>71</v>
      </c>
    </row>
    <row r="77" spans="1:1" x14ac:dyDescent="0.25">
      <c r="A77">
        <f t="shared" si="6"/>
        <v>72</v>
      </c>
    </row>
    <row r="78" spans="1:1" x14ac:dyDescent="0.25">
      <c r="A78">
        <f t="shared" si="6"/>
        <v>73</v>
      </c>
    </row>
    <row r="79" spans="1:1" x14ac:dyDescent="0.25">
      <c r="A79">
        <f t="shared" si="6"/>
        <v>74</v>
      </c>
    </row>
    <row r="80" spans="1:1" x14ac:dyDescent="0.25">
      <c r="A80">
        <f t="shared" si="6"/>
        <v>75</v>
      </c>
    </row>
    <row r="81" spans="1:1" x14ac:dyDescent="0.25">
      <c r="A81">
        <f t="shared" si="6"/>
        <v>76</v>
      </c>
    </row>
    <row r="82" spans="1:1" x14ac:dyDescent="0.25">
      <c r="A82">
        <f t="shared" si="6"/>
        <v>77</v>
      </c>
    </row>
    <row r="83" spans="1:1" x14ac:dyDescent="0.25">
      <c r="A83">
        <f t="shared" si="6"/>
        <v>78</v>
      </c>
    </row>
    <row r="84" spans="1:1" x14ac:dyDescent="0.25">
      <c r="A84">
        <f t="shared" si="6"/>
        <v>79</v>
      </c>
    </row>
    <row r="85" spans="1:1" x14ac:dyDescent="0.25">
      <c r="A85">
        <f t="shared" si="6"/>
        <v>80</v>
      </c>
    </row>
    <row r="86" spans="1:1" x14ac:dyDescent="0.25">
      <c r="A86">
        <f t="shared" si="6"/>
        <v>81</v>
      </c>
    </row>
    <row r="87" spans="1:1" x14ac:dyDescent="0.25">
      <c r="A87">
        <f t="shared" si="6"/>
        <v>82</v>
      </c>
    </row>
    <row r="88" spans="1:1" x14ac:dyDescent="0.25">
      <c r="A88">
        <f t="shared" si="6"/>
        <v>83</v>
      </c>
    </row>
    <row r="89" spans="1:1" x14ac:dyDescent="0.25">
      <c r="A89">
        <f t="shared" si="6"/>
        <v>84</v>
      </c>
    </row>
    <row r="90" spans="1:1" x14ac:dyDescent="0.25">
      <c r="A90">
        <f t="shared" si="6"/>
        <v>85</v>
      </c>
    </row>
    <row r="91" spans="1:1" x14ac:dyDescent="0.25">
      <c r="A91">
        <f t="shared" si="6"/>
        <v>86</v>
      </c>
    </row>
    <row r="92" spans="1:1" x14ac:dyDescent="0.25">
      <c r="A92">
        <f t="shared" si="6"/>
        <v>87</v>
      </c>
    </row>
    <row r="93" spans="1:1" x14ac:dyDescent="0.25">
      <c r="A93">
        <f t="shared" si="6"/>
        <v>88</v>
      </c>
    </row>
    <row r="94" spans="1:1" x14ac:dyDescent="0.25">
      <c r="A94">
        <f t="shared" si="6"/>
        <v>89</v>
      </c>
    </row>
    <row r="95" spans="1:1" x14ac:dyDescent="0.25">
      <c r="A95">
        <f t="shared" si="6"/>
        <v>90</v>
      </c>
    </row>
    <row r="96" spans="1:1" x14ac:dyDescent="0.25">
      <c r="A96">
        <f t="shared" si="6"/>
        <v>91</v>
      </c>
    </row>
    <row r="97" spans="1:1" x14ac:dyDescent="0.25">
      <c r="A97">
        <f t="shared" si="6"/>
        <v>92</v>
      </c>
    </row>
    <row r="98" spans="1:1" x14ac:dyDescent="0.25">
      <c r="A98">
        <f t="shared" si="6"/>
        <v>93</v>
      </c>
    </row>
    <row r="99" spans="1:1" x14ac:dyDescent="0.25">
      <c r="A99">
        <f t="shared" si="6"/>
        <v>94</v>
      </c>
    </row>
    <row r="100" spans="1:1" x14ac:dyDescent="0.25">
      <c r="A100">
        <f t="shared" si="6"/>
        <v>95</v>
      </c>
    </row>
    <row r="101" spans="1:1" x14ac:dyDescent="0.25">
      <c r="A101">
        <f t="shared" si="6"/>
        <v>96</v>
      </c>
    </row>
    <row r="102" spans="1:1" x14ac:dyDescent="0.25">
      <c r="A102">
        <f t="shared" si="6"/>
        <v>97</v>
      </c>
    </row>
    <row r="103" spans="1:1" x14ac:dyDescent="0.25">
      <c r="A103">
        <f t="shared" si="6"/>
        <v>98</v>
      </c>
    </row>
    <row r="104" spans="1:1" x14ac:dyDescent="0.25">
      <c r="A104">
        <f t="shared" si="6"/>
        <v>99</v>
      </c>
    </row>
    <row r="105" spans="1:1" x14ac:dyDescent="0.25">
      <c r="A105">
        <f t="shared" si="6"/>
        <v>100</v>
      </c>
    </row>
    <row r="106" spans="1:1" x14ac:dyDescent="0.25">
      <c r="A106">
        <f t="shared" si="6"/>
        <v>101</v>
      </c>
    </row>
    <row r="107" spans="1:1" x14ac:dyDescent="0.25">
      <c r="A107">
        <f t="shared" si="6"/>
        <v>102</v>
      </c>
    </row>
    <row r="108" spans="1:1" x14ac:dyDescent="0.25">
      <c r="A108">
        <f t="shared" si="6"/>
        <v>103</v>
      </c>
    </row>
    <row r="109" spans="1:1" x14ac:dyDescent="0.25">
      <c r="A109">
        <f t="shared" si="6"/>
        <v>104</v>
      </c>
    </row>
    <row r="110" spans="1:1" x14ac:dyDescent="0.25">
      <c r="A110">
        <f t="shared" si="6"/>
        <v>105</v>
      </c>
    </row>
    <row r="111" spans="1:1" x14ac:dyDescent="0.25">
      <c r="A111">
        <f t="shared" si="6"/>
        <v>106</v>
      </c>
    </row>
    <row r="112" spans="1:1" x14ac:dyDescent="0.25">
      <c r="A112">
        <f t="shared" si="6"/>
        <v>107</v>
      </c>
    </row>
    <row r="113" spans="1:1" x14ac:dyDescent="0.25">
      <c r="A113">
        <f t="shared" si="6"/>
        <v>108</v>
      </c>
    </row>
    <row r="114" spans="1:1" x14ac:dyDescent="0.25">
      <c r="A114">
        <f t="shared" si="6"/>
        <v>109</v>
      </c>
    </row>
    <row r="115" spans="1:1" x14ac:dyDescent="0.25">
      <c r="A115">
        <f t="shared" si="6"/>
        <v>110</v>
      </c>
    </row>
    <row r="116" spans="1:1" x14ac:dyDescent="0.25">
      <c r="A116">
        <f t="shared" si="6"/>
        <v>111</v>
      </c>
    </row>
    <row r="117" spans="1:1" x14ac:dyDescent="0.25">
      <c r="A117">
        <f t="shared" si="6"/>
        <v>112</v>
      </c>
    </row>
    <row r="118" spans="1:1" x14ac:dyDescent="0.25">
      <c r="A118">
        <f t="shared" si="6"/>
        <v>113</v>
      </c>
    </row>
    <row r="119" spans="1:1" x14ac:dyDescent="0.25">
      <c r="A119">
        <f t="shared" si="6"/>
        <v>114</v>
      </c>
    </row>
    <row r="120" spans="1:1" x14ac:dyDescent="0.25">
      <c r="A120">
        <f t="shared" si="6"/>
        <v>115</v>
      </c>
    </row>
    <row r="121" spans="1:1" x14ac:dyDescent="0.25">
      <c r="A121">
        <f t="shared" si="6"/>
        <v>116</v>
      </c>
    </row>
    <row r="122" spans="1:1" x14ac:dyDescent="0.25">
      <c r="A122">
        <f t="shared" si="6"/>
        <v>117</v>
      </c>
    </row>
    <row r="123" spans="1:1" x14ac:dyDescent="0.25">
      <c r="A123">
        <f t="shared" si="6"/>
        <v>118</v>
      </c>
    </row>
    <row r="124" spans="1:1" x14ac:dyDescent="0.25">
      <c r="A124">
        <f t="shared" si="6"/>
        <v>119</v>
      </c>
    </row>
    <row r="125" spans="1:1" x14ac:dyDescent="0.25">
      <c r="A125">
        <f t="shared" si="6"/>
        <v>120</v>
      </c>
    </row>
    <row r="126" spans="1:1" x14ac:dyDescent="0.25">
      <c r="A126">
        <f t="shared" si="6"/>
        <v>121</v>
      </c>
    </row>
    <row r="127" spans="1:1" x14ac:dyDescent="0.25">
      <c r="A127">
        <f t="shared" si="6"/>
        <v>122</v>
      </c>
    </row>
    <row r="128" spans="1:1" x14ac:dyDescent="0.25">
      <c r="A128">
        <f t="shared" si="6"/>
        <v>123</v>
      </c>
    </row>
    <row r="129" spans="1:1" x14ac:dyDescent="0.25">
      <c r="A129">
        <f t="shared" si="6"/>
        <v>124</v>
      </c>
    </row>
    <row r="130" spans="1:1" x14ac:dyDescent="0.25">
      <c r="A130">
        <f t="shared" si="6"/>
        <v>125</v>
      </c>
    </row>
    <row r="131" spans="1:1" x14ac:dyDescent="0.25">
      <c r="A131">
        <f t="shared" si="6"/>
        <v>126</v>
      </c>
    </row>
    <row r="132" spans="1:1" x14ac:dyDescent="0.25">
      <c r="A132">
        <f t="shared" si="6"/>
        <v>127</v>
      </c>
    </row>
    <row r="133" spans="1:1" x14ac:dyDescent="0.25">
      <c r="A133">
        <f t="shared" si="6"/>
        <v>128</v>
      </c>
    </row>
    <row r="134" spans="1:1" x14ac:dyDescent="0.25">
      <c r="A134">
        <f t="shared" si="6"/>
        <v>129</v>
      </c>
    </row>
    <row r="135" spans="1:1" x14ac:dyDescent="0.25">
      <c r="A135">
        <f t="shared" si="6"/>
        <v>130</v>
      </c>
    </row>
    <row r="136" spans="1:1" x14ac:dyDescent="0.25">
      <c r="A136">
        <f t="shared" ref="A136:A160" si="7">A135+1</f>
        <v>131</v>
      </c>
    </row>
    <row r="137" spans="1:1" x14ac:dyDescent="0.25">
      <c r="A137">
        <f t="shared" si="7"/>
        <v>132</v>
      </c>
    </row>
    <row r="138" spans="1:1" x14ac:dyDescent="0.25">
      <c r="A138">
        <f t="shared" si="7"/>
        <v>133</v>
      </c>
    </row>
    <row r="139" spans="1:1" x14ac:dyDescent="0.25">
      <c r="A139">
        <f t="shared" si="7"/>
        <v>134</v>
      </c>
    </row>
    <row r="140" spans="1:1" x14ac:dyDescent="0.25">
      <c r="A140">
        <f t="shared" si="7"/>
        <v>135</v>
      </c>
    </row>
    <row r="141" spans="1:1" x14ac:dyDescent="0.25">
      <c r="A141">
        <f t="shared" si="7"/>
        <v>136</v>
      </c>
    </row>
    <row r="142" spans="1:1" x14ac:dyDescent="0.25">
      <c r="A142">
        <f t="shared" si="7"/>
        <v>137</v>
      </c>
    </row>
    <row r="143" spans="1:1" x14ac:dyDescent="0.25">
      <c r="A143">
        <f t="shared" si="7"/>
        <v>138</v>
      </c>
    </row>
    <row r="144" spans="1:1" x14ac:dyDescent="0.25">
      <c r="A144">
        <f t="shared" si="7"/>
        <v>139</v>
      </c>
    </row>
    <row r="145" spans="1:1" x14ac:dyDescent="0.25">
      <c r="A145">
        <f t="shared" si="7"/>
        <v>140</v>
      </c>
    </row>
    <row r="146" spans="1:1" x14ac:dyDescent="0.25">
      <c r="A146">
        <f t="shared" si="7"/>
        <v>141</v>
      </c>
    </row>
    <row r="147" spans="1:1" x14ac:dyDescent="0.25">
      <c r="A147">
        <f t="shared" si="7"/>
        <v>142</v>
      </c>
    </row>
    <row r="148" spans="1:1" x14ac:dyDescent="0.25">
      <c r="A148">
        <f t="shared" si="7"/>
        <v>143</v>
      </c>
    </row>
    <row r="149" spans="1:1" x14ac:dyDescent="0.25">
      <c r="A149">
        <f t="shared" si="7"/>
        <v>144</v>
      </c>
    </row>
    <row r="150" spans="1:1" x14ac:dyDescent="0.25">
      <c r="A150">
        <f t="shared" si="7"/>
        <v>145</v>
      </c>
    </row>
    <row r="151" spans="1:1" x14ac:dyDescent="0.25">
      <c r="A151">
        <f t="shared" si="7"/>
        <v>146</v>
      </c>
    </row>
    <row r="152" spans="1:1" x14ac:dyDescent="0.25">
      <c r="A152">
        <f t="shared" si="7"/>
        <v>147</v>
      </c>
    </row>
    <row r="153" spans="1:1" x14ac:dyDescent="0.25">
      <c r="A153">
        <f t="shared" si="7"/>
        <v>148</v>
      </c>
    </row>
    <row r="154" spans="1:1" x14ac:dyDescent="0.25">
      <c r="A154">
        <f t="shared" si="7"/>
        <v>149</v>
      </c>
    </row>
    <row r="155" spans="1:1" x14ac:dyDescent="0.25">
      <c r="A155">
        <f t="shared" si="7"/>
        <v>150</v>
      </c>
    </row>
    <row r="156" spans="1:1" x14ac:dyDescent="0.25">
      <c r="A156">
        <f t="shared" si="7"/>
        <v>151</v>
      </c>
    </row>
    <row r="157" spans="1:1" x14ac:dyDescent="0.25">
      <c r="A157">
        <f t="shared" si="7"/>
        <v>152</v>
      </c>
    </row>
    <row r="158" spans="1:1" x14ac:dyDescent="0.25">
      <c r="A158">
        <f t="shared" si="7"/>
        <v>153</v>
      </c>
    </row>
    <row r="159" spans="1:1" x14ac:dyDescent="0.25">
      <c r="A159">
        <f t="shared" si="7"/>
        <v>154</v>
      </c>
    </row>
    <row r="160" spans="1:1" x14ac:dyDescent="0.25">
      <c r="A160">
        <f t="shared" si="7"/>
        <v>155</v>
      </c>
    </row>
  </sheetData>
  <sortState xmlns:xlrd2="http://schemas.microsoft.com/office/spreadsheetml/2017/richdata2" ref="B6:J26">
    <sortCondition ref="E6:E26"/>
  </sortState>
  <hyperlinks>
    <hyperlink ref="J20" r:id="rId1" xr:uid="{00000000-0004-0000-0100-000000000000}"/>
    <hyperlink ref="J17" r:id="rId2" xr:uid="{00000000-0004-0000-0100-000001000000}"/>
    <hyperlink ref="J16" r:id="rId3" xr:uid="{00000000-0004-0000-0100-000002000000}"/>
    <hyperlink ref="J12" r:id="rId4" xr:uid="{00000000-0004-0000-0100-000003000000}"/>
    <hyperlink ref="J11" r:id="rId5" xr:uid="{00000000-0004-0000-0100-000004000000}"/>
    <hyperlink ref="J10" r:id="rId6" xr:uid="{00000000-0004-0000-0100-000005000000}"/>
    <hyperlink ref="J9" r:id="rId7" xr:uid="{00000000-0004-0000-0100-000006000000}"/>
    <hyperlink ref="J8" r:id="rId8" xr:uid="{00000000-0004-0000-0100-000007000000}"/>
    <hyperlink ref="J7" r:id="rId9" xr:uid="{00000000-0004-0000-0100-000008000000}"/>
    <hyperlink ref="J6" r:id="rId10" xr:uid="{00000000-0004-0000-0100-000009000000}"/>
  </hyperlinks>
  <pageMargins left="0.7" right="0.7" top="0.75" bottom="0.75" header="0.3" footer="0.3"/>
  <pageSetup scale="32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Sheet1 (2)</vt:lpstr>
    </vt:vector>
  </TitlesOfParts>
  <Company>Hubbard Broadcasting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mbustell</dc:creator>
  <cp:lastModifiedBy>Bustell, Mike</cp:lastModifiedBy>
  <cp:lastPrinted>2025-04-09T17:51:16Z</cp:lastPrinted>
  <dcterms:created xsi:type="dcterms:W3CDTF">2023-05-31T15:22:33Z</dcterms:created>
  <dcterms:modified xsi:type="dcterms:W3CDTF">2026-02-09T17:14:52Z</dcterms:modified>
</cp:coreProperties>
</file>