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esktop\Evals\"/>
    </mc:Choice>
  </mc:AlternateContent>
  <xr:revisionPtr revIDLastSave="0" documentId="8_{34599D3A-3713-4C8B-A050-8B0A63540350}" xr6:coauthVersionLast="45" xr6:coauthVersionMax="45" xr10:uidLastSave="{00000000-0000-0000-0000-000000000000}"/>
  <bookViews>
    <workbookView xWindow="28665" yWindow="-16470" windowWidth="29040" windowHeight="15225" xr2:uid="{89340456-72D0-4E8E-A99F-7C9B0A919FB1}"/>
  </bookViews>
  <sheets>
    <sheet name="Proforma - Buyer" sheetId="1" r:id="rId1"/>
  </sheets>
  <externalReferences>
    <externalReference r:id="rId2"/>
  </externalReferences>
  <definedNames>
    <definedName name="_xlnm.Print_Area" localSheetId="0">'Proforma - Buyer'!$B$2:$Q$70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F49" i="1"/>
  <c r="B49" i="1"/>
  <c r="F48" i="1"/>
  <c r="B48" i="1"/>
  <c r="F46" i="1"/>
  <c r="F47" i="1" s="1"/>
  <c r="I40" i="1"/>
  <c r="J40" i="1" s="1"/>
  <c r="K40" i="1" s="1"/>
  <c r="L40" i="1" s="1"/>
  <c r="M40" i="1" s="1"/>
  <c r="N40" i="1" s="1"/>
  <c r="O40" i="1" s="1"/>
  <c r="P40" i="1" s="1"/>
  <c r="Q40" i="1" s="1"/>
  <c r="I37" i="1"/>
  <c r="J37" i="1" s="1"/>
  <c r="K37" i="1" s="1"/>
  <c r="L37" i="1" s="1"/>
  <c r="M37" i="1" s="1"/>
  <c r="N37" i="1" s="1"/>
  <c r="O37" i="1" s="1"/>
  <c r="P37" i="1" s="1"/>
  <c r="Q37" i="1" s="1"/>
  <c r="J36" i="1"/>
  <c r="K36" i="1" s="1"/>
  <c r="L36" i="1" s="1"/>
  <c r="M36" i="1" s="1"/>
  <c r="N36" i="1" s="1"/>
  <c r="O36" i="1" s="1"/>
  <c r="P36" i="1" s="1"/>
  <c r="Q36" i="1" s="1"/>
  <c r="I36" i="1"/>
  <c r="M35" i="1"/>
  <c r="N35" i="1" s="1"/>
  <c r="O35" i="1" s="1"/>
  <c r="P35" i="1" s="1"/>
  <c r="Q35" i="1" s="1"/>
  <c r="I35" i="1"/>
  <c r="J35" i="1" s="1"/>
  <c r="K35" i="1" s="1"/>
  <c r="L35" i="1" s="1"/>
  <c r="J34" i="1"/>
  <c r="K34" i="1" s="1"/>
  <c r="L34" i="1" s="1"/>
  <c r="M34" i="1" s="1"/>
  <c r="N34" i="1" s="1"/>
  <c r="O34" i="1" s="1"/>
  <c r="P34" i="1" s="1"/>
  <c r="Q34" i="1" s="1"/>
  <c r="I34" i="1"/>
  <c r="L33" i="1"/>
  <c r="M33" i="1" s="1"/>
  <c r="N33" i="1" s="1"/>
  <c r="O33" i="1" s="1"/>
  <c r="P33" i="1" s="1"/>
  <c r="Q33" i="1" s="1"/>
  <c r="I33" i="1"/>
  <c r="J33" i="1" s="1"/>
  <c r="K33" i="1" s="1"/>
  <c r="I32" i="1"/>
  <c r="J32" i="1" s="1"/>
  <c r="K32" i="1" s="1"/>
  <c r="L32" i="1" s="1"/>
  <c r="M32" i="1" s="1"/>
  <c r="N32" i="1" s="1"/>
  <c r="O32" i="1" s="1"/>
  <c r="P32" i="1" s="1"/>
  <c r="Q32" i="1" s="1"/>
  <c r="J31" i="1"/>
  <c r="K31" i="1" s="1"/>
  <c r="L31" i="1" s="1"/>
  <c r="M31" i="1" s="1"/>
  <c r="N31" i="1" s="1"/>
  <c r="O31" i="1" s="1"/>
  <c r="P31" i="1" s="1"/>
  <c r="Q31" i="1" s="1"/>
  <c r="I31" i="1"/>
  <c r="J30" i="1"/>
  <c r="K30" i="1" s="1"/>
  <c r="L30" i="1" s="1"/>
  <c r="M30" i="1" s="1"/>
  <c r="N30" i="1" s="1"/>
  <c r="O30" i="1" s="1"/>
  <c r="P30" i="1" s="1"/>
  <c r="Q30" i="1" s="1"/>
  <c r="I30" i="1"/>
  <c r="I28" i="1"/>
  <c r="J28" i="1" s="1"/>
  <c r="K28" i="1" s="1"/>
  <c r="L28" i="1" s="1"/>
  <c r="M28" i="1" s="1"/>
  <c r="N28" i="1" s="1"/>
  <c r="O28" i="1" s="1"/>
  <c r="P28" i="1" s="1"/>
  <c r="Q28" i="1" s="1"/>
  <c r="I27" i="1"/>
  <c r="J27" i="1" s="1"/>
  <c r="I24" i="1"/>
  <c r="J24" i="1" s="1"/>
  <c r="K24" i="1" s="1"/>
  <c r="L24" i="1" s="1"/>
  <c r="M24" i="1" s="1"/>
  <c r="N24" i="1" s="1"/>
  <c r="O24" i="1" s="1"/>
  <c r="P24" i="1" s="1"/>
  <c r="Q24" i="1" s="1"/>
  <c r="J23" i="1"/>
  <c r="K23" i="1" s="1"/>
  <c r="L23" i="1" s="1"/>
  <c r="M23" i="1" s="1"/>
  <c r="N23" i="1" s="1"/>
  <c r="O23" i="1" s="1"/>
  <c r="P23" i="1" s="1"/>
  <c r="Q23" i="1" s="1"/>
  <c r="I23" i="1"/>
  <c r="G21" i="1"/>
  <c r="G25" i="1" s="1"/>
  <c r="G20" i="1"/>
  <c r="H19" i="1"/>
  <c r="G19" i="1"/>
  <c r="H17" i="1"/>
  <c r="G17" i="1"/>
  <c r="H14" i="1"/>
  <c r="H15" i="1" s="1"/>
  <c r="E6" i="1"/>
  <c r="E7" i="1" s="1"/>
  <c r="G29" i="1" l="1"/>
  <c r="G38" i="1" s="1"/>
  <c r="G43" i="1" s="1"/>
  <c r="K27" i="1"/>
  <c r="H20" i="1"/>
  <c r="H21" i="1" s="1"/>
  <c r="H25" i="1" s="1"/>
  <c r="E10" i="1"/>
  <c r="I19" i="1"/>
  <c r="I17" i="1"/>
  <c r="G66" i="1"/>
  <c r="G55" i="1"/>
  <c r="H66" i="1"/>
  <c r="H55" i="1"/>
  <c r="H29" i="1" l="1"/>
  <c r="H38" i="1" s="1"/>
  <c r="H43" i="1" s="1"/>
  <c r="L27" i="1"/>
  <c r="I21" i="1"/>
  <c r="I25" i="1" s="1"/>
  <c r="J19" i="1"/>
  <c r="I20" i="1"/>
  <c r="G39" i="1"/>
  <c r="G41" i="1" s="1"/>
  <c r="I66" i="1"/>
  <c r="I55" i="1"/>
  <c r="J17" i="1"/>
  <c r="K17" i="1" l="1"/>
  <c r="J66" i="1"/>
  <c r="J55" i="1"/>
  <c r="K19" i="1"/>
  <c r="J20" i="1"/>
  <c r="J21" i="1" s="1"/>
  <c r="J25" i="1" s="1"/>
  <c r="M27" i="1"/>
  <c r="H39" i="1"/>
  <c r="I29" i="1"/>
  <c r="I38" i="1" s="1"/>
  <c r="I43" i="1" s="1"/>
  <c r="H7" i="1"/>
  <c r="J29" i="1" l="1"/>
  <c r="J38" i="1" s="1"/>
  <c r="J43" i="1" s="1"/>
  <c r="J39" i="1"/>
  <c r="F50" i="1"/>
  <c r="H9" i="1"/>
  <c r="H8" i="1"/>
  <c r="K21" i="1"/>
  <c r="K25" i="1" s="1"/>
  <c r="L19" i="1"/>
  <c r="K20" i="1"/>
  <c r="L17" i="1"/>
  <c r="K66" i="1"/>
  <c r="K55" i="1"/>
  <c r="I39" i="1"/>
  <c r="H41" i="1"/>
  <c r="G53" i="1"/>
  <c r="N27" i="1"/>
  <c r="G67" i="1" l="1"/>
  <c r="H67" i="1"/>
  <c r="I67" i="1"/>
  <c r="J67" i="1"/>
  <c r="G70" i="1"/>
  <c r="F64" i="1"/>
  <c r="G60" i="1" s="1"/>
  <c r="H61" i="1"/>
  <c r="F69" i="1"/>
  <c r="G61" i="1"/>
  <c r="I61" i="1"/>
  <c r="J61" i="1"/>
  <c r="L55" i="1"/>
  <c r="M17" i="1"/>
  <c r="L61" i="1"/>
  <c r="L67" i="1"/>
  <c r="L66" i="1"/>
  <c r="K29" i="1"/>
  <c r="K38" i="1" s="1"/>
  <c r="K43" i="1" s="1"/>
  <c r="K39" i="1"/>
  <c r="K67" i="1"/>
  <c r="K61" i="1"/>
  <c r="O27" i="1"/>
  <c r="G54" i="1"/>
  <c r="G57" i="1" s="1"/>
  <c r="H44" i="1"/>
  <c r="H70" i="1"/>
  <c r="I41" i="1"/>
  <c r="H53" i="1"/>
  <c r="M19" i="1"/>
  <c r="L20" i="1"/>
  <c r="L21" i="1" s="1"/>
  <c r="L25" i="1" s="1"/>
  <c r="J41" i="1"/>
  <c r="I53" i="1"/>
  <c r="L29" i="1" l="1"/>
  <c r="L38" i="1" s="1"/>
  <c r="L43" i="1" s="1"/>
  <c r="I54" i="1"/>
  <c r="I57" i="1" s="1"/>
  <c r="M55" i="1"/>
  <c r="M61" i="1"/>
  <c r="N17" i="1"/>
  <c r="M66" i="1"/>
  <c r="M67" i="1"/>
  <c r="J44" i="1"/>
  <c r="J70" i="1"/>
  <c r="N19" i="1"/>
  <c r="M20" i="1"/>
  <c r="M21" i="1" s="1"/>
  <c r="M25" i="1" s="1"/>
  <c r="K41" i="1"/>
  <c r="J53" i="1"/>
  <c r="I44" i="1"/>
  <c r="I70" i="1"/>
  <c r="G44" i="1"/>
  <c r="H54" i="1"/>
  <c r="H57" i="1" s="1"/>
  <c r="G62" i="1"/>
  <c r="G63" i="1" s="1"/>
  <c r="G64" i="1" s="1"/>
  <c r="P27" i="1"/>
  <c r="H60" i="1" l="1"/>
  <c r="G56" i="1"/>
  <c r="G69" i="1" s="1"/>
  <c r="M29" i="1"/>
  <c r="M38" i="1" s="1"/>
  <c r="M43" i="1" s="1"/>
  <c r="L39" i="1"/>
  <c r="J54" i="1"/>
  <c r="K44" i="1"/>
  <c r="K70" i="1"/>
  <c r="N55" i="1"/>
  <c r="N66" i="1"/>
  <c r="N67" i="1"/>
  <c r="O17" i="1"/>
  <c r="N61" i="1"/>
  <c r="N20" i="1"/>
  <c r="N21" i="1"/>
  <c r="N25" i="1" s="1"/>
  <c r="O19" i="1"/>
  <c r="Q27" i="1"/>
  <c r="L41" i="1" l="1"/>
  <c r="K53" i="1"/>
  <c r="H62" i="1"/>
  <c r="H63" i="1" s="1"/>
  <c r="H64" i="1" s="1"/>
  <c r="O20" i="1"/>
  <c r="O21" i="1" s="1"/>
  <c r="O25" i="1" s="1"/>
  <c r="P19" i="1"/>
  <c r="N29" i="1"/>
  <c r="N38" i="1" s="1"/>
  <c r="N43" i="1" s="1"/>
  <c r="O66" i="1"/>
  <c r="O67" i="1"/>
  <c r="O55" i="1"/>
  <c r="O61" i="1"/>
  <c r="P17" i="1"/>
  <c r="J57" i="1"/>
  <c r="M39" i="1"/>
  <c r="O29" i="1" l="1"/>
  <c r="O38" i="1" s="1"/>
  <c r="O43" i="1" s="1"/>
  <c r="O39" i="1"/>
  <c r="I60" i="1"/>
  <c r="H56" i="1"/>
  <c r="H69" i="1" s="1"/>
  <c r="L44" i="1"/>
  <c r="L70" i="1"/>
  <c r="N39" i="1"/>
  <c r="K54" i="1"/>
  <c r="K57" i="1" s="1"/>
  <c r="P21" i="1"/>
  <c r="P25" i="1" s="1"/>
  <c r="Q19" i="1"/>
  <c r="P20" i="1"/>
  <c r="M41" i="1"/>
  <c r="L53" i="1"/>
  <c r="Q17" i="1"/>
  <c r="P61" i="1"/>
  <c r="P66" i="1"/>
  <c r="P67" i="1"/>
  <c r="P55" i="1"/>
  <c r="P29" i="1" l="1"/>
  <c r="P38" i="1" s="1"/>
  <c r="P43" i="1" s="1"/>
  <c r="P39" i="1"/>
  <c r="N41" i="1"/>
  <c r="M53" i="1"/>
  <c r="M44" i="1"/>
  <c r="M70" i="1"/>
  <c r="I62" i="1"/>
  <c r="I63" i="1" s="1"/>
  <c r="I64" i="1" s="1"/>
  <c r="Q61" i="1"/>
  <c r="Q67" i="1"/>
  <c r="Q53" i="1"/>
  <c r="Q55" i="1"/>
  <c r="Q66" i="1"/>
  <c r="O41" i="1"/>
  <c r="N53" i="1"/>
  <c r="L54" i="1"/>
  <c r="Q20" i="1"/>
  <c r="Q21" i="1" s="1"/>
  <c r="Q25" i="1" s="1"/>
  <c r="J60" i="1" l="1"/>
  <c r="I56" i="1"/>
  <c r="I69" i="1" s="1"/>
  <c r="Q29" i="1"/>
  <c r="Q38" i="1" s="1"/>
  <c r="Q43" i="1" s="1"/>
  <c r="Q39" i="1"/>
  <c r="N54" i="1"/>
  <c r="N57" i="1" s="1"/>
  <c r="O44" i="1"/>
  <c r="O70" i="1"/>
  <c r="Q54" i="1"/>
  <c r="Q57" i="1" s="1"/>
  <c r="M54" i="1"/>
  <c r="N44" i="1"/>
  <c r="N70" i="1"/>
  <c r="P41" i="1"/>
  <c r="O53" i="1"/>
  <c r="L57" i="1"/>
  <c r="P44" i="1" l="1"/>
  <c r="P70" i="1"/>
  <c r="Q41" i="1"/>
  <c r="P53" i="1"/>
  <c r="O54" i="1"/>
  <c r="M57" i="1"/>
  <c r="J62" i="1"/>
  <c r="J63" i="1" s="1"/>
  <c r="J64" i="1" s="1"/>
  <c r="K60" i="1" l="1"/>
  <c r="J56" i="1"/>
  <c r="J69" i="1" s="1"/>
  <c r="Q44" i="1"/>
  <c r="Q70" i="1"/>
  <c r="O57" i="1"/>
  <c r="P54" i="1"/>
  <c r="P57" i="1" s="1"/>
  <c r="K62" i="1" l="1"/>
  <c r="K63" i="1" s="1"/>
  <c r="K64" i="1" s="1"/>
  <c r="L60" i="1" l="1"/>
  <c r="K56" i="1"/>
  <c r="K69" i="1" s="1"/>
  <c r="L62" i="1" l="1"/>
  <c r="L63" i="1" s="1"/>
  <c r="L64" i="1"/>
  <c r="M60" i="1" l="1"/>
  <c r="L56" i="1"/>
  <c r="L69" i="1" s="1"/>
  <c r="M62" i="1" l="1"/>
  <c r="M63" i="1" s="1"/>
  <c r="M64" i="1"/>
  <c r="N60" i="1" l="1"/>
  <c r="M56" i="1"/>
  <c r="M69" i="1" s="1"/>
  <c r="N62" i="1" l="1"/>
  <c r="N63" i="1" s="1"/>
  <c r="N64" i="1"/>
  <c r="O60" i="1" l="1"/>
  <c r="N56" i="1"/>
  <c r="N69" i="1" s="1"/>
  <c r="O62" i="1" l="1"/>
  <c r="O63" i="1" s="1"/>
  <c r="O64" i="1" s="1"/>
  <c r="P60" i="1" l="1"/>
  <c r="O56" i="1"/>
  <c r="O69" i="1" s="1"/>
  <c r="P62" i="1" l="1"/>
  <c r="P63" i="1" s="1"/>
  <c r="P64" i="1"/>
  <c r="Q60" i="1" l="1"/>
  <c r="P56" i="1"/>
  <c r="P69" i="1" s="1"/>
  <c r="Q62" i="1" l="1"/>
  <c r="Q63" i="1" s="1"/>
  <c r="Q64" i="1"/>
  <c r="Q56" i="1" s="1"/>
  <c r="Q69" i="1" s="1"/>
  <c r="K4" i="1" l="1"/>
  <c r="K3" i="1"/>
  <c r="K5" i="1"/>
</calcChain>
</file>

<file path=xl/sharedStrings.xml><?xml version="1.0" encoding="utf-8"?>
<sst xmlns="http://schemas.openxmlformats.org/spreadsheetml/2006/main" count="85" uniqueCount="74">
  <si>
    <t>x</t>
  </si>
  <si>
    <t>Deal Information</t>
  </si>
  <si>
    <t>Debt Assumptions</t>
  </si>
  <si>
    <t>Returns Analysis</t>
  </si>
  <si>
    <t>Project Name</t>
  </si>
  <si>
    <t>Property 1</t>
  </si>
  <si>
    <t>Loan to Value</t>
  </si>
  <si>
    <t>IRR</t>
  </si>
  <si>
    <t>Address</t>
  </si>
  <si>
    <t>123 Fly Dr</t>
  </si>
  <si>
    <t>Min. DSCR</t>
  </si>
  <si>
    <t>Multiple</t>
  </si>
  <si>
    <t>City, State, Zip</t>
  </si>
  <si>
    <t>Rate</t>
  </si>
  <si>
    <t>Profit</t>
  </si>
  <si>
    <t>Rentable SF</t>
  </si>
  <si>
    <t>Amortization</t>
  </si>
  <si>
    <t>Avg. Annual $/SF Rent (As Is)</t>
  </si>
  <si>
    <t>Loan Amount</t>
  </si>
  <si>
    <t>Acreage</t>
  </si>
  <si>
    <t>Payment</t>
  </si>
  <si>
    <t>Purchase Price</t>
  </si>
  <si>
    <t>Total Equity</t>
  </si>
  <si>
    <t>Purchase Price per SF</t>
  </si>
  <si>
    <t>Hold Period</t>
  </si>
  <si>
    <t>Seller Note</t>
  </si>
  <si>
    <t>Exit Cap Rate</t>
  </si>
  <si>
    <t>Note to Value</t>
  </si>
  <si>
    <t>Closing Costs</t>
  </si>
  <si>
    <t>Immediate CAPEX</t>
  </si>
  <si>
    <t>Note Amount</t>
  </si>
  <si>
    <t>Working Capital</t>
  </si>
  <si>
    <t>Annual PMT</t>
  </si>
  <si>
    <t>Proforma</t>
  </si>
  <si>
    <t>Year -&gt;</t>
  </si>
  <si>
    <t>Assumption</t>
  </si>
  <si>
    <t>Growth</t>
  </si>
  <si>
    <t>Current</t>
  </si>
  <si>
    <t>Stabilized</t>
  </si>
  <si>
    <t>Rental Income</t>
  </si>
  <si>
    <t>Vacancy / Credit Loss</t>
  </si>
  <si>
    <t>Potential Gross Income</t>
  </si>
  <si>
    <t>Other Income</t>
  </si>
  <si>
    <t>Misc. Income</t>
  </si>
  <si>
    <t>Effective Gross Income</t>
  </si>
  <si>
    <t>Real Estate Taxes</t>
  </si>
  <si>
    <t>Insurance</t>
  </si>
  <si>
    <t>Management Fee</t>
  </si>
  <si>
    <t>Payroll</t>
  </si>
  <si>
    <t>Repair &amp; Maintenance</t>
  </si>
  <si>
    <t>Landscaping / Snow Plow</t>
  </si>
  <si>
    <t>Utilities</t>
  </si>
  <si>
    <t>General &amp; Administrative</t>
  </si>
  <si>
    <t>Misc. Expense</t>
  </si>
  <si>
    <t>Total Expenses</t>
  </si>
  <si>
    <t>NOI before CAPEX</t>
  </si>
  <si>
    <t>Capital Reserves</t>
  </si>
  <si>
    <t>NOI after CAPEX</t>
  </si>
  <si>
    <t>Expense Ratio</t>
  </si>
  <si>
    <t>DSCR</t>
  </si>
  <si>
    <t>Mortgage</t>
  </si>
  <si>
    <t>Sales Price</t>
  </si>
  <si>
    <t>Return of Working Capital</t>
  </si>
  <si>
    <t>Mortgage Repayment</t>
  </si>
  <si>
    <t>Seller Note Repayment</t>
  </si>
  <si>
    <t>Debt</t>
  </si>
  <si>
    <t>Mortgage Beginning Balance</t>
  </si>
  <si>
    <t>Interest</t>
  </si>
  <si>
    <t>Principal</t>
  </si>
  <si>
    <t>Mortgage Ending Balance</t>
  </si>
  <si>
    <t>Seller Note Payment</t>
  </si>
  <si>
    <t>Preferred Equity Payment</t>
  </si>
  <si>
    <t>Net Cash Flow</t>
  </si>
  <si>
    <t>Cash-on-Cash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</si>
</sst>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0.00\x"/>
    <numFmt numFmtId="166" formatCode="0&quot;-yrs.&quot;"/>
    <numFmt numFmtId="167" formatCode="_(* #,##0.000_);_(* \(#,##0.000\);_(* &quot;-&quot;???_);_(@_)"/>
  </numFmts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0" fillId="3" borderId="7" xfId="0" applyFill="1" applyBorder="1"/>
    <xf numFmtId="0" fontId="3" fillId="3" borderId="8" xfId="0" applyFont="1" applyFill="1" applyBorder="1" applyAlignment="1">
      <alignment horizontal="right"/>
    </xf>
    <xf numFmtId="0" fontId="0" fillId="0" borderId="9" xfId="0" applyBorder="1"/>
    <xf numFmtId="164" fontId="3" fillId="3" borderId="10" xfId="0" applyNumberFormat="1" applyFont="1" applyFill="1" applyBorder="1" applyAlignment="1">
      <alignment horizontal="right"/>
    </xf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3" borderId="12" xfId="0" applyFill="1" applyBorder="1"/>
    <xf numFmtId="0" fontId="3" fillId="3" borderId="13" xfId="0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65" fontId="0" fillId="0" borderId="14" xfId="0" applyNumberFormat="1" applyBorder="1"/>
    <xf numFmtId="10" fontId="3" fillId="3" borderId="14" xfId="0" applyNumberFormat="1" applyFont="1" applyFill="1" applyBorder="1" applyAlignment="1">
      <alignment horizontal="right"/>
    </xf>
    <xf numFmtId="0" fontId="0" fillId="0" borderId="15" xfId="0" applyBorder="1"/>
    <xf numFmtId="42" fontId="0" fillId="0" borderId="16" xfId="0" applyNumberFormat="1" applyBorder="1"/>
    <xf numFmtId="41" fontId="4" fillId="0" borderId="13" xfId="0" applyNumberFormat="1" applyFont="1" applyBorder="1" applyAlignment="1">
      <alignment horizontal="right"/>
    </xf>
    <xf numFmtId="166" fontId="3" fillId="3" borderId="16" xfId="0" applyNumberFormat="1" applyFont="1" applyFill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7" xfId="0" applyNumberFormat="1" applyFont="1" applyBorder="1" applyAlignment="1">
      <alignment horizontal="right"/>
    </xf>
    <xf numFmtId="10" fontId="0" fillId="0" borderId="0" xfId="0" applyNumberFormat="1"/>
    <xf numFmtId="0" fontId="0" fillId="0" borderId="18" xfId="0" applyBorder="1"/>
    <xf numFmtId="167" fontId="3" fillId="3" borderId="19" xfId="0" applyNumberFormat="1" applyFont="1" applyFill="1" applyBorder="1"/>
    <xf numFmtId="0" fontId="0" fillId="0" borderId="20" xfId="0" applyBorder="1"/>
    <xf numFmtId="42" fontId="4" fillId="0" borderId="21" xfId="0" applyNumberFormat="1" applyFont="1" applyBorder="1" applyAlignment="1">
      <alignment horizontal="right"/>
    </xf>
    <xf numFmtId="42" fontId="3" fillId="3" borderId="13" xfId="0" applyNumberFormat="1" applyFont="1" applyFill="1" applyBorder="1" applyAlignment="1">
      <alignment horizontal="right"/>
    </xf>
    <xf numFmtId="42" fontId="0" fillId="0" borderId="21" xfId="0" applyNumberFormat="1" applyBorder="1"/>
    <xf numFmtId="42" fontId="4" fillId="0" borderId="0" xfId="0" applyNumberFormat="1" applyFont="1" applyAlignment="1">
      <alignment horizontal="right"/>
    </xf>
    <xf numFmtId="0" fontId="0" fillId="0" borderId="22" xfId="0" applyBorder="1"/>
    <xf numFmtId="166" fontId="3" fillId="3" borderId="13" xfId="0" applyNumberFormat="1" applyFont="1" applyFill="1" applyBorder="1" applyAlignment="1">
      <alignment horizontal="right"/>
    </xf>
    <xf numFmtId="10" fontId="3" fillId="3" borderId="13" xfId="0" applyNumberFormat="1" applyFont="1" applyFill="1" applyBorder="1" applyAlignment="1">
      <alignment horizontal="right"/>
    </xf>
    <xf numFmtId="0" fontId="0" fillId="0" borderId="23" xfId="0" applyBorder="1"/>
    <xf numFmtId="0" fontId="0" fillId="0" borderId="24" xfId="0" applyBorder="1"/>
    <xf numFmtId="10" fontId="3" fillId="3" borderId="25" xfId="0" applyNumberFormat="1" applyFont="1" applyFill="1" applyBorder="1" applyAlignment="1">
      <alignment horizontal="right"/>
    </xf>
    <xf numFmtId="10" fontId="3" fillId="3" borderId="16" xfId="0" applyNumberFormat="1" applyFont="1" applyFill="1" applyBorder="1" applyAlignment="1">
      <alignment horizontal="right"/>
    </xf>
    <xf numFmtId="0" fontId="0" fillId="0" borderId="26" xfId="0" applyBorder="1"/>
    <xf numFmtId="42" fontId="3" fillId="3" borderId="27" xfId="0" applyNumberFormat="1" applyFont="1" applyFill="1" applyBorder="1" applyAlignment="1">
      <alignment horizontal="right"/>
    </xf>
    <xf numFmtId="0" fontId="1" fillId="2" borderId="28" xfId="0" applyFont="1" applyFill="1" applyBorder="1" applyAlignment="1">
      <alignment horizontal="centerContinuous"/>
    </xf>
    <xf numFmtId="0" fontId="1" fillId="2" borderId="29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0" fillId="0" borderId="13" xfId="0" applyBorder="1"/>
    <xf numFmtId="0" fontId="5" fillId="0" borderId="3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33" xfId="0" applyBorder="1"/>
    <xf numFmtId="0" fontId="5" fillId="0" borderId="34" xfId="0" applyFont="1" applyBorder="1" applyAlignment="1">
      <alignment horizontal="center"/>
    </xf>
    <xf numFmtId="0" fontId="0" fillId="0" borderId="34" xfId="0" applyBorder="1"/>
    <xf numFmtId="0" fontId="0" fillId="0" borderId="14" xfId="0" applyBorder="1"/>
    <xf numFmtId="0" fontId="0" fillId="0" borderId="32" xfId="0" applyBorder="1"/>
    <xf numFmtId="164" fontId="3" fillId="3" borderId="14" xfId="0" applyNumberFormat="1" applyFont="1" applyFill="1" applyBorder="1"/>
    <xf numFmtId="41" fontId="0" fillId="0" borderId="33" xfId="0" applyNumberFormat="1" applyBorder="1"/>
    <xf numFmtId="41" fontId="0" fillId="0" borderId="34" xfId="0" applyNumberFormat="1" applyBorder="1"/>
    <xf numFmtId="41" fontId="0" fillId="0" borderId="14" xfId="0" applyNumberFormat="1" applyBorder="1"/>
    <xf numFmtId="0" fontId="0" fillId="0" borderId="27" xfId="0" applyBorder="1"/>
    <xf numFmtId="164" fontId="3" fillId="3" borderId="35" xfId="0" applyNumberFormat="1" applyFont="1" applyFill="1" applyBorder="1"/>
    <xf numFmtId="0" fontId="0" fillId="0" borderId="16" xfId="0" applyBorder="1"/>
    <xf numFmtId="41" fontId="0" fillId="0" borderId="36" xfId="0" applyNumberFormat="1" applyBorder="1"/>
    <xf numFmtId="41" fontId="0" fillId="0" borderId="37" xfId="0" applyNumberFormat="1" applyBorder="1"/>
    <xf numFmtId="41" fontId="0" fillId="0" borderId="16" xfId="0" applyNumberFormat="1" applyBorder="1"/>
    <xf numFmtId="0" fontId="0" fillId="0" borderId="19" xfId="0" applyBorder="1"/>
    <xf numFmtId="0" fontId="0" fillId="0" borderId="38" xfId="0" applyBorder="1"/>
    <xf numFmtId="0" fontId="0" fillId="0" borderId="10" xfId="0" applyBorder="1"/>
    <xf numFmtId="42" fontId="0" fillId="0" borderId="39" xfId="0" applyNumberFormat="1" applyBorder="1"/>
    <xf numFmtId="42" fontId="0" fillId="0" borderId="40" xfId="0" applyNumberFormat="1" applyBorder="1"/>
    <xf numFmtId="42" fontId="0" fillId="0" borderId="10" xfId="0" applyNumberFormat="1" applyBorder="1"/>
    <xf numFmtId="41" fontId="3" fillId="3" borderId="34" xfId="0" applyNumberFormat="1" applyFont="1" applyFill="1" applyBorder="1"/>
    <xf numFmtId="0" fontId="0" fillId="0" borderId="35" xfId="0" applyBorder="1"/>
    <xf numFmtId="164" fontId="3" fillId="3" borderId="16" xfId="0" applyNumberFormat="1" applyFont="1" applyFill="1" applyBorder="1"/>
    <xf numFmtId="0" fontId="0" fillId="0" borderId="36" xfId="0" applyBorder="1"/>
    <xf numFmtId="41" fontId="3" fillId="3" borderId="37" xfId="0" applyNumberFormat="1" applyFont="1" applyFill="1" applyBorder="1"/>
    <xf numFmtId="0" fontId="2" fillId="0" borderId="9" xfId="0" applyFont="1" applyBorder="1"/>
    <xf numFmtId="0" fontId="2" fillId="0" borderId="19" xfId="0" applyFont="1" applyBorder="1"/>
    <xf numFmtId="0" fontId="2" fillId="0" borderId="38" xfId="0" applyFont="1" applyBorder="1"/>
    <xf numFmtId="0" fontId="2" fillId="0" borderId="10" xfId="0" applyFont="1" applyBorder="1"/>
    <xf numFmtId="0" fontId="2" fillId="0" borderId="39" xfId="0" applyFont="1" applyBorder="1"/>
    <xf numFmtId="42" fontId="2" fillId="0" borderId="40" xfId="0" applyNumberFormat="1" applyFont="1" applyBorder="1"/>
    <xf numFmtId="42" fontId="2" fillId="0" borderId="10" xfId="0" applyNumberFormat="1" applyFont="1" applyBorder="1"/>
    <xf numFmtId="164" fontId="3" fillId="3" borderId="32" xfId="0" applyNumberFormat="1" applyFont="1" applyFill="1" applyBorder="1"/>
    <xf numFmtId="0" fontId="2" fillId="0" borderId="4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5" xfId="0" applyFont="1" applyBorder="1"/>
    <xf numFmtId="0" fontId="2" fillId="0" borderId="30" xfId="0" applyFont="1" applyBorder="1"/>
    <xf numFmtId="42" fontId="2" fillId="0" borderId="31" xfId="0" applyNumberFormat="1" applyFont="1" applyBorder="1"/>
    <xf numFmtId="42" fontId="2" fillId="0" borderId="5" xfId="0" applyNumberFormat="1" applyFont="1" applyBorder="1"/>
    <xf numFmtId="0" fontId="2" fillId="4" borderId="9" xfId="0" applyFont="1" applyFill="1" applyBorder="1"/>
    <xf numFmtId="0" fontId="2" fillId="4" borderId="19" xfId="0" applyFont="1" applyFill="1" applyBorder="1"/>
    <xf numFmtId="0" fontId="2" fillId="4" borderId="38" xfId="0" applyFont="1" applyFill="1" applyBorder="1"/>
    <xf numFmtId="0" fontId="2" fillId="4" borderId="10" xfId="0" applyFont="1" applyFill="1" applyBorder="1"/>
    <xf numFmtId="0" fontId="2" fillId="4" borderId="39" xfId="0" applyFont="1" applyFill="1" applyBorder="1"/>
    <xf numFmtId="42" fontId="2" fillId="4" borderId="40" xfId="0" applyNumberFormat="1" applyFont="1" applyFill="1" applyBorder="1"/>
    <xf numFmtId="42" fontId="2" fillId="4" borderId="10" xfId="0" applyNumberFormat="1" applyFont="1" applyFill="1" applyBorder="1"/>
    <xf numFmtId="0" fontId="6" fillId="0" borderId="11" xfId="0" applyFont="1" applyBorder="1"/>
    <xf numFmtId="0" fontId="6" fillId="0" borderId="13" xfId="0" applyFont="1" applyBorder="1"/>
    <xf numFmtId="0" fontId="6" fillId="0" borderId="32" xfId="0" applyFont="1" applyBorder="1"/>
    <xf numFmtId="0" fontId="6" fillId="0" borderId="14" xfId="0" applyFont="1" applyBorder="1"/>
    <xf numFmtId="0" fontId="6" fillId="0" borderId="33" xfId="0" applyFont="1" applyBorder="1"/>
    <xf numFmtId="164" fontId="6" fillId="0" borderId="34" xfId="0" applyNumberFormat="1" applyFont="1" applyBorder="1"/>
    <xf numFmtId="164" fontId="6" fillId="0" borderId="14" xfId="0" applyNumberFormat="1" applyFont="1" applyBorder="1"/>
    <xf numFmtId="165" fontId="6" fillId="0" borderId="34" xfId="0" applyNumberFormat="1" applyFont="1" applyBorder="1"/>
    <xf numFmtId="165" fontId="6" fillId="0" borderId="14" xfId="0" applyNumberFormat="1" applyFont="1" applyBorder="1"/>
    <xf numFmtId="41" fontId="4" fillId="0" borderId="33" xfId="0" applyNumberFormat="1" applyFont="1" applyBorder="1"/>
    <xf numFmtId="44" fontId="0" fillId="0" borderId="33" xfId="0" applyNumberFormat="1" applyBorder="1"/>
    <xf numFmtId="0" fontId="5" fillId="0" borderId="11" xfId="0" applyFont="1" applyBorder="1"/>
    <xf numFmtId="41" fontId="0" fillId="0" borderId="0" xfId="0" applyNumberFormat="1"/>
    <xf numFmtId="42" fontId="0" fillId="0" borderId="33" xfId="0" applyNumberFormat="1" applyBorder="1"/>
    <xf numFmtId="42" fontId="0" fillId="0" borderId="34" xfId="0" applyNumberFormat="1" applyBorder="1"/>
    <xf numFmtId="42" fontId="0" fillId="0" borderId="14" xfId="0" applyNumberFormat="1" applyBorder="1"/>
    <xf numFmtId="0" fontId="0" fillId="0" borderId="41" xfId="0" applyBorder="1"/>
    <xf numFmtId="10" fontId="3" fillId="3" borderId="42" xfId="0" applyNumberFormat="1" applyFont="1" applyFill="1" applyBorder="1"/>
    <xf numFmtId="0" fontId="0" fillId="0" borderId="43" xfId="0" applyBorder="1"/>
    <xf numFmtId="42" fontId="0" fillId="0" borderId="44" xfId="0" applyNumberFormat="1" applyBorder="1"/>
    <xf numFmtId="0" fontId="0" fillId="0" borderId="25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" fillId="4" borderId="4" xfId="0" applyFont="1" applyFill="1" applyBorder="1"/>
    <xf numFmtId="0" fontId="2" fillId="4" borderId="28" xfId="0" applyFont="1" applyFill="1" applyBorder="1"/>
    <xf numFmtId="0" fontId="2" fillId="4" borderId="29" xfId="0" applyFont="1" applyFill="1" applyBorder="1"/>
    <xf numFmtId="0" fontId="2" fillId="4" borderId="5" xfId="0" applyFont="1" applyFill="1" applyBorder="1"/>
    <xf numFmtId="42" fontId="2" fillId="4" borderId="30" xfId="0" applyNumberFormat="1" applyFont="1" applyFill="1" applyBorder="1"/>
    <xf numFmtId="42" fontId="2" fillId="4" borderId="28" xfId="0" applyNumberFormat="1" applyFont="1" applyFill="1" applyBorder="1"/>
    <xf numFmtId="0" fontId="6" fillId="0" borderId="4" xfId="0" applyFont="1" applyBorder="1"/>
    <xf numFmtId="42" fontId="2" fillId="0" borderId="30" xfId="0" applyNumberFormat="1" applyFont="1" applyBorder="1"/>
    <xf numFmtId="164" fontId="6" fillId="0" borderId="31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/Downloads/Self%20Storage%20Proforma%20v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Mix - As Is"/>
      <sheetName val="Unit Mix - Stabilized"/>
      <sheetName val="Proforma - Buyer"/>
      <sheetName val="Proforma - Seller"/>
    </sheetNames>
    <sheetDataSet>
      <sheetData sheetId="0">
        <row r="52">
          <cell r="F52">
            <v>3750</v>
          </cell>
        </row>
        <row r="78">
          <cell r="K78">
            <v>255000</v>
          </cell>
        </row>
      </sheetData>
      <sheetData sheetId="1">
        <row r="78">
          <cell r="K78">
            <v>255000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C569-2966-4F1A-9CFB-289EED65C00C}">
  <sheetPr>
    <pageSetUpPr fitToPage="1"/>
  </sheetPr>
  <dimension ref="A1:R73"/>
  <sheetViews>
    <sheetView showGridLines="0" tabSelected="1" zoomScale="70" zoomScaleNormal="70" workbookViewId="0"/>
  </sheetViews>
  <sheetFormatPr defaultRowHeight="14.4"/>
  <cols>
    <col min="1" max="1" width="2.62890625" customWidth="1"/>
    <col min="2" max="17" width="12.62890625" customWidth="1"/>
    <col min="18" max="18" width="2.62890625" customWidth="1"/>
  </cols>
  <sheetData>
    <row r="1" spans="1:18">
      <c r="A1" t="s">
        <v>0</v>
      </c>
      <c r="R1" t="s">
        <v>0</v>
      </c>
    </row>
    <row r="2" spans="1:18">
      <c r="B2" s="1" t="s">
        <v>1</v>
      </c>
      <c r="C2" s="2"/>
      <c r="D2" s="2"/>
      <c r="E2" s="3"/>
      <c r="G2" s="4" t="s">
        <v>2</v>
      </c>
      <c r="H2" s="5"/>
      <c r="J2" s="4" t="s">
        <v>3</v>
      </c>
      <c r="K2" s="5"/>
    </row>
    <row r="3" spans="1:18">
      <c r="B3" s="6" t="s">
        <v>4</v>
      </c>
      <c r="C3" s="7"/>
      <c r="D3" s="8"/>
      <c r="E3" s="9" t="s">
        <v>5</v>
      </c>
      <c r="G3" s="10" t="s">
        <v>6</v>
      </c>
      <c r="H3" s="11">
        <v>0.7</v>
      </c>
      <c r="J3" s="10" t="s">
        <v>7</v>
      </c>
      <c r="K3" s="12">
        <f>IRR(F69:Q69)</f>
        <v>0.1986563207537082</v>
      </c>
    </row>
    <row r="4" spans="1:18">
      <c r="B4" s="13" t="s">
        <v>8</v>
      </c>
      <c r="C4" s="14"/>
      <c r="D4" s="15"/>
      <c r="E4" s="16" t="s">
        <v>9</v>
      </c>
      <c r="G4" s="13" t="s">
        <v>10</v>
      </c>
      <c r="H4" s="17">
        <v>1.3</v>
      </c>
      <c r="J4" s="13" t="s">
        <v>11</v>
      </c>
      <c r="K4" s="18">
        <f>SUMIF(F69:Q69,"&gt;0")/-SUMIF($F$69:$Q$69,"&lt;0")</f>
        <v>2.3678116555070505</v>
      </c>
    </row>
    <row r="5" spans="1:18">
      <c r="B5" s="13" t="s">
        <v>12</v>
      </c>
      <c r="C5" s="14"/>
      <c r="D5" s="15"/>
      <c r="E5" s="16"/>
      <c r="G5" s="13" t="s">
        <v>13</v>
      </c>
      <c r="H5" s="19">
        <v>4.4999999999999998E-2</v>
      </c>
      <c r="J5" s="20" t="s">
        <v>14</v>
      </c>
      <c r="K5" s="21">
        <f>SUM(F69:Q69)</f>
        <v>451377.84631732665</v>
      </c>
    </row>
    <row r="6" spans="1:18">
      <c r="B6" s="13" t="s">
        <v>15</v>
      </c>
      <c r="C6" s="14"/>
      <c r="D6" s="14"/>
      <c r="E6" s="22">
        <f>'[1]Unit Mix - As Is'!$F$52</f>
        <v>3750</v>
      </c>
      <c r="G6" s="20" t="s">
        <v>16</v>
      </c>
      <c r="H6" s="23">
        <v>25</v>
      </c>
    </row>
    <row r="7" spans="1:18">
      <c r="B7" s="13" t="s">
        <v>17</v>
      </c>
      <c r="C7" s="14"/>
      <c r="D7" s="14"/>
      <c r="E7" s="24">
        <f>G19/E6</f>
        <v>68</v>
      </c>
      <c r="G7" s="6" t="s">
        <v>18</v>
      </c>
      <c r="H7" s="25">
        <f>MIN($H$3*$E$9,PV(H$5/12,$H$6*12,-$G$41/$H$4/12))</f>
        <v>700000</v>
      </c>
      <c r="K7" s="26"/>
    </row>
    <row r="8" spans="1:18">
      <c r="B8" s="10" t="s">
        <v>19</v>
      </c>
      <c r="C8" s="27"/>
      <c r="D8" s="27"/>
      <c r="E8" s="28">
        <v>0.55900000000000005</v>
      </c>
      <c r="G8" s="29" t="s">
        <v>20</v>
      </c>
      <c r="H8" s="30">
        <f>PMT($H$5,$H$6,-$H$7)</f>
        <v>47207.319627086137</v>
      </c>
    </row>
    <row r="9" spans="1:18">
      <c r="B9" s="13" t="s">
        <v>21</v>
      </c>
      <c r="C9" s="14"/>
      <c r="D9" s="14"/>
      <c r="E9" s="31">
        <v>1000000</v>
      </c>
      <c r="G9" s="29" t="s">
        <v>22</v>
      </c>
      <c r="H9" s="32">
        <f>$E$9*(1+$E$13)-$H$7-$H$14+SUM($E$14:$E$15)</f>
        <v>330000</v>
      </c>
      <c r="I9" s="33"/>
    </row>
    <row r="10" spans="1:18">
      <c r="B10" s="34" t="s">
        <v>23</v>
      </c>
      <c r="E10" s="24">
        <f>E9/E6</f>
        <v>266.66666666666669</v>
      </c>
    </row>
    <row r="11" spans="1:18">
      <c r="B11" s="13" t="s">
        <v>24</v>
      </c>
      <c r="C11" s="14"/>
      <c r="D11" s="14"/>
      <c r="E11" s="35">
        <v>6</v>
      </c>
      <c r="G11" s="4" t="s">
        <v>25</v>
      </c>
      <c r="H11" s="5"/>
    </row>
    <row r="12" spans="1:18">
      <c r="B12" s="13" t="s">
        <v>26</v>
      </c>
      <c r="C12" s="14"/>
      <c r="D12" s="14"/>
      <c r="E12" s="36">
        <v>7.0000000000000007E-2</v>
      </c>
      <c r="G12" s="10" t="s">
        <v>27</v>
      </c>
      <c r="H12" s="11">
        <v>0.1</v>
      </c>
    </row>
    <row r="13" spans="1:18">
      <c r="B13" s="37" t="s">
        <v>28</v>
      </c>
      <c r="C13" s="38"/>
      <c r="D13" s="38"/>
      <c r="E13" s="39">
        <v>0.03</v>
      </c>
      <c r="G13" s="20" t="s">
        <v>13</v>
      </c>
      <c r="H13" s="40">
        <v>0.05</v>
      </c>
    </row>
    <row r="14" spans="1:18">
      <c r="B14" s="13" t="s">
        <v>29</v>
      </c>
      <c r="C14" s="14"/>
      <c r="D14" s="14"/>
      <c r="E14" s="31">
        <v>50000</v>
      </c>
      <c r="G14" s="6" t="s">
        <v>30</v>
      </c>
      <c r="H14" s="25">
        <f>$H$12*$E$9</f>
        <v>100000</v>
      </c>
    </row>
    <row r="15" spans="1:18">
      <c r="B15" s="20" t="s">
        <v>31</v>
      </c>
      <c r="C15" s="41"/>
      <c r="D15" s="41"/>
      <c r="E15" s="42">
        <v>50000</v>
      </c>
      <c r="G15" s="29" t="s">
        <v>32</v>
      </c>
      <c r="H15" s="30">
        <f>H14*H13</f>
        <v>5000</v>
      </c>
    </row>
    <row r="17" spans="2:17">
      <c r="B17" s="4" t="s">
        <v>33</v>
      </c>
      <c r="C17" s="43"/>
      <c r="D17" s="44"/>
      <c r="E17" s="45" t="s">
        <v>34</v>
      </c>
      <c r="F17" s="46">
        <v>0</v>
      </c>
      <c r="G17" s="47">
        <f t="shared" ref="G17:Q17" si="0">F17+1</f>
        <v>1</v>
      </c>
      <c r="H17" s="47">
        <f t="shared" si="0"/>
        <v>2</v>
      </c>
      <c r="I17" s="47">
        <f t="shared" si="0"/>
        <v>3</v>
      </c>
      <c r="J17" s="47">
        <f t="shared" si="0"/>
        <v>4</v>
      </c>
      <c r="K17" s="47">
        <f t="shared" si="0"/>
        <v>5</v>
      </c>
      <c r="L17" s="47">
        <f t="shared" si="0"/>
        <v>6</v>
      </c>
      <c r="M17" s="47">
        <f t="shared" si="0"/>
        <v>7</v>
      </c>
      <c r="N17" s="47">
        <f t="shared" si="0"/>
        <v>8</v>
      </c>
      <c r="O17" s="47">
        <f t="shared" si="0"/>
        <v>9</v>
      </c>
      <c r="P17" s="47">
        <f t="shared" si="0"/>
        <v>10</v>
      </c>
      <c r="Q17" s="45">
        <f t="shared" si="0"/>
        <v>11</v>
      </c>
    </row>
    <row r="18" spans="2:17">
      <c r="B18" s="13"/>
      <c r="C18" s="48"/>
      <c r="D18" s="49" t="s">
        <v>35</v>
      </c>
      <c r="E18" s="50" t="s">
        <v>36</v>
      </c>
      <c r="F18" s="51"/>
      <c r="G18" s="52" t="s">
        <v>37</v>
      </c>
      <c r="H18" s="52" t="s">
        <v>38</v>
      </c>
      <c r="I18" s="53"/>
      <c r="J18" s="53"/>
      <c r="K18" s="53"/>
      <c r="L18" s="53"/>
      <c r="M18" s="53"/>
      <c r="N18" s="53"/>
      <c r="O18" s="53"/>
      <c r="P18" s="53"/>
      <c r="Q18" s="54"/>
    </row>
    <row r="19" spans="2:17">
      <c r="B19" s="13" t="s">
        <v>39</v>
      </c>
      <c r="C19" s="48"/>
      <c r="D19" s="55"/>
      <c r="E19" s="56">
        <v>0.03</v>
      </c>
      <c r="F19" s="57"/>
      <c r="G19" s="58">
        <f>'[1]Unit Mix - As Is'!$K$78</f>
        <v>255000</v>
      </c>
      <c r="H19" s="58">
        <f>'[1]Unit Mix - Stabilized'!$K$78</f>
        <v>255000</v>
      </c>
      <c r="I19" s="58">
        <f t="shared" ref="I19:Q19" si="1">H19*(1+$E19)</f>
        <v>262650</v>
      </c>
      <c r="J19" s="58">
        <f t="shared" si="1"/>
        <v>270529.5</v>
      </c>
      <c r="K19" s="58">
        <f t="shared" si="1"/>
        <v>278645.38500000001</v>
      </c>
      <c r="L19" s="58">
        <f t="shared" si="1"/>
        <v>287004.74655000004</v>
      </c>
      <c r="M19" s="58">
        <f t="shared" si="1"/>
        <v>295614.88894650002</v>
      </c>
      <c r="N19" s="58">
        <f t="shared" si="1"/>
        <v>304483.33561489504</v>
      </c>
      <c r="O19" s="58">
        <f t="shared" si="1"/>
        <v>313617.83568334189</v>
      </c>
      <c r="P19" s="58">
        <f t="shared" si="1"/>
        <v>323026.37075384217</v>
      </c>
      <c r="Q19" s="59">
        <f t="shared" si="1"/>
        <v>332717.16187645745</v>
      </c>
    </row>
    <row r="20" spans="2:17">
      <c r="B20" s="20" t="s">
        <v>40</v>
      </c>
      <c r="C20" s="60"/>
      <c r="D20" s="61">
        <v>0.1</v>
      </c>
      <c r="E20" s="62"/>
      <c r="F20" s="63"/>
      <c r="G20" s="64">
        <f t="shared" ref="G20:Q20" si="2">G19*$D$20</f>
        <v>25500</v>
      </c>
      <c r="H20" s="64">
        <f t="shared" si="2"/>
        <v>25500</v>
      </c>
      <c r="I20" s="64">
        <f t="shared" si="2"/>
        <v>26265</v>
      </c>
      <c r="J20" s="64">
        <f t="shared" si="2"/>
        <v>27052.95</v>
      </c>
      <c r="K20" s="64">
        <f t="shared" si="2"/>
        <v>27864.538500000002</v>
      </c>
      <c r="L20" s="64">
        <f t="shared" si="2"/>
        <v>28700.474655000005</v>
      </c>
      <c r="M20" s="64">
        <f t="shared" si="2"/>
        <v>29561.488894650003</v>
      </c>
      <c r="N20" s="64">
        <f t="shared" si="2"/>
        <v>30448.333561489504</v>
      </c>
      <c r="O20" s="64">
        <f t="shared" si="2"/>
        <v>31361.783568334191</v>
      </c>
      <c r="P20" s="64">
        <f t="shared" si="2"/>
        <v>32302.63707538422</v>
      </c>
      <c r="Q20" s="65">
        <f t="shared" si="2"/>
        <v>33271.716187645747</v>
      </c>
    </row>
    <row r="21" spans="2:17">
      <c r="B21" s="10" t="s">
        <v>41</v>
      </c>
      <c r="C21" s="66"/>
      <c r="D21" s="67"/>
      <c r="E21" s="68"/>
      <c r="F21" s="69"/>
      <c r="G21" s="70">
        <f t="shared" ref="G21:Q21" si="3">SUM(G19:G20)</f>
        <v>280500</v>
      </c>
      <c r="H21" s="70">
        <f t="shared" si="3"/>
        <v>280500</v>
      </c>
      <c r="I21" s="70">
        <f t="shared" si="3"/>
        <v>288915</v>
      </c>
      <c r="J21" s="70">
        <f t="shared" si="3"/>
        <v>297582.45</v>
      </c>
      <c r="K21" s="70">
        <f t="shared" si="3"/>
        <v>306509.92350000003</v>
      </c>
      <c r="L21" s="70">
        <f t="shared" si="3"/>
        <v>315705.22120500007</v>
      </c>
      <c r="M21" s="70">
        <f t="shared" si="3"/>
        <v>325176.37784115004</v>
      </c>
      <c r="N21" s="70">
        <f t="shared" si="3"/>
        <v>334931.66917638457</v>
      </c>
      <c r="O21" s="70">
        <f t="shared" si="3"/>
        <v>344979.61925167608</v>
      </c>
      <c r="P21" s="70">
        <f t="shared" si="3"/>
        <v>355329.00782922638</v>
      </c>
      <c r="Q21" s="71">
        <f t="shared" si="3"/>
        <v>365988.87806410319</v>
      </c>
    </row>
    <row r="22" spans="2:17">
      <c r="B22" s="13"/>
      <c r="C22" s="48"/>
      <c r="D22" s="55"/>
      <c r="E22" s="54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</row>
    <row r="23" spans="2:17">
      <c r="B23" s="13" t="s">
        <v>42</v>
      </c>
      <c r="C23" s="48"/>
      <c r="D23" s="55"/>
      <c r="E23" s="56">
        <v>0.03</v>
      </c>
      <c r="F23" s="51"/>
      <c r="G23" s="72">
        <v>1000</v>
      </c>
      <c r="H23" s="72">
        <v>1000</v>
      </c>
      <c r="I23" s="58">
        <f t="shared" ref="I23:Q24" si="4">H23*(1+$E23)</f>
        <v>1030</v>
      </c>
      <c r="J23" s="58">
        <f t="shared" si="4"/>
        <v>1060.9000000000001</v>
      </c>
      <c r="K23" s="58">
        <f t="shared" si="4"/>
        <v>1092.7270000000001</v>
      </c>
      <c r="L23" s="58">
        <f t="shared" si="4"/>
        <v>1125.50881</v>
      </c>
      <c r="M23" s="58">
        <f t="shared" si="4"/>
        <v>1159.2740743000002</v>
      </c>
      <c r="N23" s="58">
        <f t="shared" si="4"/>
        <v>1194.0522965290002</v>
      </c>
      <c r="O23" s="58">
        <f t="shared" si="4"/>
        <v>1229.8738654248702</v>
      </c>
      <c r="P23" s="58">
        <f t="shared" si="4"/>
        <v>1266.7700813876163</v>
      </c>
      <c r="Q23" s="59">
        <f t="shared" si="4"/>
        <v>1304.7731838292448</v>
      </c>
    </row>
    <row r="24" spans="2:17">
      <c r="B24" s="20" t="s">
        <v>43</v>
      </c>
      <c r="C24" s="60"/>
      <c r="D24" s="73"/>
      <c r="E24" s="74">
        <v>0.03</v>
      </c>
      <c r="F24" s="75"/>
      <c r="G24" s="76">
        <v>750</v>
      </c>
      <c r="H24" s="76">
        <v>750</v>
      </c>
      <c r="I24" s="64">
        <f t="shared" si="4"/>
        <v>772.5</v>
      </c>
      <c r="J24" s="64">
        <f t="shared" si="4"/>
        <v>795.67500000000007</v>
      </c>
      <c r="K24" s="64">
        <f t="shared" si="4"/>
        <v>819.54525000000012</v>
      </c>
      <c r="L24" s="64">
        <f t="shared" si="4"/>
        <v>844.1316075000002</v>
      </c>
      <c r="M24" s="64">
        <f t="shared" si="4"/>
        <v>869.45555572500018</v>
      </c>
      <c r="N24" s="64">
        <f t="shared" si="4"/>
        <v>895.53922239675023</v>
      </c>
      <c r="O24" s="64">
        <f t="shared" si="4"/>
        <v>922.40539906865274</v>
      </c>
      <c r="P24" s="64">
        <f t="shared" si="4"/>
        <v>950.07756104071234</v>
      </c>
      <c r="Q24" s="65">
        <f t="shared" si="4"/>
        <v>978.57988787193369</v>
      </c>
    </row>
    <row r="25" spans="2:17">
      <c r="B25" s="77" t="s">
        <v>44</v>
      </c>
      <c r="C25" s="78"/>
      <c r="D25" s="79"/>
      <c r="E25" s="80"/>
      <c r="F25" s="81"/>
      <c r="G25" s="82">
        <f t="shared" ref="G25:Q25" si="5">SUM(G21,G23:G24)</f>
        <v>282250</v>
      </c>
      <c r="H25" s="82">
        <f t="shared" si="5"/>
        <v>282250</v>
      </c>
      <c r="I25" s="82">
        <f t="shared" si="5"/>
        <v>290717.5</v>
      </c>
      <c r="J25" s="82">
        <f t="shared" si="5"/>
        <v>299439.02500000002</v>
      </c>
      <c r="K25" s="82">
        <f t="shared" si="5"/>
        <v>308422.19575000007</v>
      </c>
      <c r="L25" s="82">
        <f t="shared" si="5"/>
        <v>317674.86162250012</v>
      </c>
      <c r="M25" s="82">
        <f t="shared" si="5"/>
        <v>327205.10747117508</v>
      </c>
      <c r="N25" s="82">
        <f t="shared" si="5"/>
        <v>337021.26069531031</v>
      </c>
      <c r="O25" s="82">
        <f t="shared" si="5"/>
        <v>347131.89851616963</v>
      </c>
      <c r="P25" s="82">
        <f t="shared" si="5"/>
        <v>357545.85547165468</v>
      </c>
      <c r="Q25" s="83">
        <f t="shared" si="5"/>
        <v>368272.23113580438</v>
      </c>
    </row>
    <row r="26" spans="2:17">
      <c r="B26" s="13"/>
      <c r="C26" s="48"/>
      <c r="D26" s="55"/>
      <c r="E26" s="54"/>
      <c r="F26" s="51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</row>
    <row r="27" spans="2:17">
      <c r="B27" s="13" t="s">
        <v>45</v>
      </c>
      <c r="C27" s="48"/>
      <c r="D27" s="55"/>
      <c r="E27" s="56">
        <v>0.03</v>
      </c>
      <c r="F27" s="51"/>
      <c r="G27" s="72">
        <v>25000</v>
      </c>
      <c r="H27" s="72">
        <v>25000</v>
      </c>
      <c r="I27" s="58">
        <f t="shared" ref="I27:Q28" si="6">H27*(1+$E27)</f>
        <v>25750</v>
      </c>
      <c r="J27" s="58">
        <f t="shared" si="6"/>
        <v>26522.5</v>
      </c>
      <c r="K27" s="58">
        <f t="shared" si="6"/>
        <v>27318.174999999999</v>
      </c>
      <c r="L27" s="58">
        <f t="shared" si="6"/>
        <v>28137.720249999998</v>
      </c>
      <c r="M27" s="58">
        <f t="shared" si="6"/>
        <v>28981.851857499998</v>
      </c>
      <c r="N27" s="58">
        <f t="shared" si="6"/>
        <v>29851.307413225</v>
      </c>
      <c r="O27" s="58">
        <f t="shared" si="6"/>
        <v>30746.84663562175</v>
      </c>
      <c r="P27" s="58">
        <f t="shared" si="6"/>
        <v>31669.252034690402</v>
      </c>
      <c r="Q27" s="59">
        <f t="shared" si="6"/>
        <v>32619.329595731117</v>
      </c>
    </row>
    <row r="28" spans="2:17">
      <c r="B28" s="13" t="s">
        <v>46</v>
      </c>
      <c r="C28" s="48"/>
      <c r="D28" s="55"/>
      <c r="E28" s="56">
        <v>0.03</v>
      </c>
      <c r="F28" s="51"/>
      <c r="G28" s="72">
        <v>7500</v>
      </c>
      <c r="H28" s="72">
        <v>7500</v>
      </c>
      <c r="I28" s="58">
        <f t="shared" si="6"/>
        <v>7725</v>
      </c>
      <c r="J28" s="58">
        <f t="shared" si="6"/>
        <v>7956.75</v>
      </c>
      <c r="K28" s="58">
        <f t="shared" si="6"/>
        <v>8195.4524999999994</v>
      </c>
      <c r="L28" s="58">
        <f t="shared" si="6"/>
        <v>8441.3160749999988</v>
      </c>
      <c r="M28" s="58">
        <f t="shared" si="6"/>
        <v>8694.5555572499998</v>
      </c>
      <c r="N28" s="58">
        <f t="shared" si="6"/>
        <v>8955.3922239674994</v>
      </c>
      <c r="O28" s="58">
        <f t="shared" si="6"/>
        <v>9224.0539906865251</v>
      </c>
      <c r="P28" s="58">
        <f t="shared" si="6"/>
        <v>9500.7756104071213</v>
      </c>
      <c r="Q28" s="59">
        <f t="shared" si="6"/>
        <v>9785.7988787193353</v>
      </c>
    </row>
    <row r="29" spans="2:17">
      <c r="B29" s="13" t="s">
        <v>47</v>
      </c>
      <c r="C29" s="48"/>
      <c r="D29" s="84">
        <v>0.05</v>
      </c>
      <c r="E29" s="54"/>
      <c r="F29" s="51"/>
      <c r="G29" s="58">
        <f t="shared" ref="G29:Q29" si="7">G25*$D29</f>
        <v>14112.5</v>
      </c>
      <c r="H29" s="58">
        <f t="shared" si="7"/>
        <v>14112.5</v>
      </c>
      <c r="I29" s="58">
        <f t="shared" si="7"/>
        <v>14535.875</v>
      </c>
      <c r="J29" s="58">
        <f t="shared" si="7"/>
        <v>14971.951250000002</v>
      </c>
      <c r="K29" s="58">
        <f t="shared" si="7"/>
        <v>15421.109787500005</v>
      </c>
      <c r="L29" s="58">
        <f t="shared" si="7"/>
        <v>15883.743081125007</v>
      </c>
      <c r="M29" s="58">
        <f t="shared" si="7"/>
        <v>16360.255373558755</v>
      </c>
      <c r="N29" s="58">
        <f t="shared" si="7"/>
        <v>16851.063034765517</v>
      </c>
      <c r="O29" s="58">
        <f t="shared" si="7"/>
        <v>17356.594925808484</v>
      </c>
      <c r="P29" s="58">
        <f t="shared" si="7"/>
        <v>17877.292773582736</v>
      </c>
      <c r="Q29" s="59">
        <f t="shared" si="7"/>
        <v>18413.61155679022</v>
      </c>
    </row>
    <row r="30" spans="2:17">
      <c r="B30" s="13" t="s">
        <v>48</v>
      </c>
      <c r="C30" s="48"/>
      <c r="D30" s="55"/>
      <c r="E30" s="56">
        <v>0.03</v>
      </c>
      <c r="F30" s="51"/>
      <c r="G30" s="72">
        <v>80000</v>
      </c>
      <c r="H30" s="72">
        <v>80000</v>
      </c>
      <c r="I30" s="58">
        <f t="shared" ref="I30:Q37" si="8">H30*(1+$E30)</f>
        <v>82400</v>
      </c>
      <c r="J30" s="58">
        <f t="shared" si="8"/>
        <v>84872</v>
      </c>
      <c r="K30" s="58">
        <f t="shared" si="8"/>
        <v>87418.16</v>
      </c>
      <c r="L30" s="58">
        <f t="shared" si="8"/>
        <v>90040.704800000007</v>
      </c>
      <c r="M30" s="58">
        <f t="shared" si="8"/>
        <v>92741.925944000002</v>
      </c>
      <c r="N30" s="58">
        <f t="shared" si="8"/>
        <v>95524.183722319998</v>
      </c>
      <c r="O30" s="58">
        <f t="shared" si="8"/>
        <v>98389.909233989601</v>
      </c>
      <c r="P30" s="58">
        <f t="shared" si="8"/>
        <v>101341.60651100929</v>
      </c>
      <c r="Q30" s="59">
        <f t="shared" si="8"/>
        <v>104381.85470633957</v>
      </c>
    </row>
    <row r="31" spans="2:17">
      <c r="B31" s="13" t="s">
        <v>49</v>
      </c>
      <c r="C31" s="48"/>
      <c r="D31" s="55"/>
      <c r="E31" s="56">
        <v>0.03</v>
      </c>
      <c r="F31" s="51"/>
      <c r="G31" s="72">
        <v>12000</v>
      </c>
      <c r="H31" s="72">
        <v>12000</v>
      </c>
      <c r="I31" s="58">
        <f t="shared" si="8"/>
        <v>12360</v>
      </c>
      <c r="J31" s="58">
        <f t="shared" si="8"/>
        <v>12730.800000000001</v>
      </c>
      <c r="K31" s="58">
        <f t="shared" si="8"/>
        <v>13112.724000000002</v>
      </c>
      <c r="L31" s="58">
        <f t="shared" si="8"/>
        <v>13506.105720000003</v>
      </c>
      <c r="M31" s="58">
        <f t="shared" si="8"/>
        <v>13911.288891600003</v>
      </c>
      <c r="N31" s="58">
        <f t="shared" si="8"/>
        <v>14328.627558348004</v>
      </c>
      <c r="O31" s="58">
        <f t="shared" si="8"/>
        <v>14758.486385098444</v>
      </c>
      <c r="P31" s="58">
        <f t="shared" si="8"/>
        <v>15201.240976651397</v>
      </c>
      <c r="Q31" s="59">
        <f t="shared" si="8"/>
        <v>15657.278205950939</v>
      </c>
    </row>
    <row r="32" spans="2:17">
      <c r="B32" s="13" t="s">
        <v>50</v>
      </c>
      <c r="C32" s="48"/>
      <c r="D32" s="55"/>
      <c r="E32" s="56">
        <v>0.03</v>
      </c>
      <c r="F32" s="51"/>
      <c r="G32" s="72">
        <v>2500</v>
      </c>
      <c r="H32" s="72">
        <v>2500</v>
      </c>
      <c r="I32" s="58">
        <f t="shared" si="8"/>
        <v>2575</v>
      </c>
      <c r="J32" s="58">
        <f t="shared" si="8"/>
        <v>2652.25</v>
      </c>
      <c r="K32" s="58">
        <f t="shared" si="8"/>
        <v>2731.8175000000001</v>
      </c>
      <c r="L32" s="58">
        <f t="shared" si="8"/>
        <v>2813.7720250000002</v>
      </c>
      <c r="M32" s="58">
        <f t="shared" si="8"/>
        <v>2898.1851857500001</v>
      </c>
      <c r="N32" s="58">
        <f t="shared" si="8"/>
        <v>2985.1307413224999</v>
      </c>
      <c r="O32" s="58">
        <f t="shared" si="8"/>
        <v>3074.684663562175</v>
      </c>
      <c r="P32" s="58">
        <f t="shared" si="8"/>
        <v>3166.9252034690403</v>
      </c>
      <c r="Q32" s="59">
        <f t="shared" si="8"/>
        <v>3261.9329595731115</v>
      </c>
    </row>
    <row r="33" spans="2:17">
      <c r="B33" s="13" t="s">
        <v>51</v>
      </c>
      <c r="C33" s="48"/>
      <c r="D33" s="55"/>
      <c r="E33" s="56">
        <v>0.03</v>
      </c>
      <c r="F33" s="51"/>
      <c r="G33" s="72">
        <v>15000</v>
      </c>
      <c r="H33" s="72">
        <v>15000</v>
      </c>
      <c r="I33" s="58">
        <f t="shared" si="8"/>
        <v>15450</v>
      </c>
      <c r="J33" s="58">
        <f t="shared" si="8"/>
        <v>15913.5</v>
      </c>
      <c r="K33" s="58">
        <f t="shared" si="8"/>
        <v>16390.904999999999</v>
      </c>
      <c r="L33" s="58">
        <f t="shared" si="8"/>
        <v>16882.632149999998</v>
      </c>
      <c r="M33" s="58">
        <f t="shared" si="8"/>
        <v>17389.1111145</v>
      </c>
      <c r="N33" s="58">
        <f t="shared" si="8"/>
        <v>17910.784447934999</v>
      </c>
      <c r="O33" s="58">
        <f t="shared" si="8"/>
        <v>18448.10798137305</v>
      </c>
      <c r="P33" s="58">
        <f t="shared" si="8"/>
        <v>19001.551220814243</v>
      </c>
      <c r="Q33" s="59">
        <f t="shared" si="8"/>
        <v>19571.597757438671</v>
      </c>
    </row>
    <row r="34" spans="2:17">
      <c r="B34" s="13" t="s">
        <v>52</v>
      </c>
      <c r="C34" s="48"/>
      <c r="D34" s="55"/>
      <c r="E34" s="56">
        <v>0.03</v>
      </c>
      <c r="F34" s="51"/>
      <c r="G34" s="72">
        <v>25000</v>
      </c>
      <c r="H34" s="72">
        <v>25000</v>
      </c>
      <c r="I34" s="58">
        <f t="shared" si="8"/>
        <v>25750</v>
      </c>
      <c r="J34" s="58">
        <f t="shared" si="8"/>
        <v>26522.5</v>
      </c>
      <c r="K34" s="58">
        <f t="shared" si="8"/>
        <v>27318.174999999999</v>
      </c>
      <c r="L34" s="58">
        <f t="shared" si="8"/>
        <v>28137.720249999998</v>
      </c>
      <c r="M34" s="58">
        <f t="shared" si="8"/>
        <v>28981.851857499998</v>
      </c>
      <c r="N34" s="58">
        <f t="shared" si="8"/>
        <v>29851.307413225</v>
      </c>
      <c r="O34" s="58">
        <f t="shared" si="8"/>
        <v>30746.84663562175</v>
      </c>
      <c r="P34" s="58">
        <f t="shared" si="8"/>
        <v>31669.252034690402</v>
      </c>
      <c r="Q34" s="59">
        <f t="shared" si="8"/>
        <v>32619.329595731117</v>
      </c>
    </row>
    <row r="35" spans="2:17">
      <c r="B35" s="13" t="s">
        <v>53</v>
      </c>
      <c r="C35" s="48"/>
      <c r="D35" s="55"/>
      <c r="E35" s="56">
        <v>0.03</v>
      </c>
      <c r="F35" s="51"/>
      <c r="G35" s="72">
        <v>0</v>
      </c>
      <c r="H35" s="72">
        <v>0</v>
      </c>
      <c r="I35" s="58">
        <f t="shared" si="8"/>
        <v>0</v>
      </c>
      <c r="J35" s="58">
        <f t="shared" si="8"/>
        <v>0</v>
      </c>
      <c r="K35" s="58">
        <f t="shared" si="8"/>
        <v>0</v>
      </c>
      <c r="L35" s="58">
        <f t="shared" si="8"/>
        <v>0</v>
      </c>
      <c r="M35" s="58">
        <f t="shared" si="8"/>
        <v>0</v>
      </c>
      <c r="N35" s="58">
        <f t="shared" si="8"/>
        <v>0</v>
      </c>
      <c r="O35" s="58">
        <f t="shared" si="8"/>
        <v>0</v>
      </c>
      <c r="P35" s="58">
        <f t="shared" si="8"/>
        <v>0</v>
      </c>
      <c r="Q35" s="59">
        <f t="shared" si="8"/>
        <v>0</v>
      </c>
    </row>
    <row r="36" spans="2:17">
      <c r="B36" s="13" t="s">
        <v>53</v>
      </c>
      <c r="C36" s="48"/>
      <c r="D36" s="55"/>
      <c r="E36" s="56">
        <v>0.03</v>
      </c>
      <c r="F36" s="51"/>
      <c r="G36" s="72">
        <v>0</v>
      </c>
      <c r="H36" s="72">
        <v>0</v>
      </c>
      <c r="I36" s="58">
        <f t="shared" si="8"/>
        <v>0</v>
      </c>
      <c r="J36" s="58">
        <f t="shared" si="8"/>
        <v>0</v>
      </c>
      <c r="K36" s="58">
        <f t="shared" si="8"/>
        <v>0</v>
      </c>
      <c r="L36" s="58">
        <f t="shared" si="8"/>
        <v>0</v>
      </c>
      <c r="M36" s="58">
        <f t="shared" si="8"/>
        <v>0</v>
      </c>
      <c r="N36" s="58">
        <f t="shared" si="8"/>
        <v>0</v>
      </c>
      <c r="O36" s="58">
        <f t="shared" si="8"/>
        <v>0</v>
      </c>
      <c r="P36" s="58">
        <f t="shared" si="8"/>
        <v>0</v>
      </c>
      <c r="Q36" s="59">
        <f t="shared" si="8"/>
        <v>0</v>
      </c>
    </row>
    <row r="37" spans="2:17">
      <c r="B37" s="20" t="s">
        <v>53</v>
      </c>
      <c r="C37" s="60"/>
      <c r="D37" s="73"/>
      <c r="E37" s="74">
        <v>0.03</v>
      </c>
      <c r="F37" s="75"/>
      <c r="G37" s="76">
        <v>0</v>
      </c>
      <c r="H37" s="76">
        <v>0</v>
      </c>
      <c r="I37" s="64">
        <f t="shared" si="8"/>
        <v>0</v>
      </c>
      <c r="J37" s="64">
        <f t="shared" si="8"/>
        <v>0</v>
      </c>
      <c r="K37" s="64">
        <f t="shared" si="8"/>
        <v>0</v>
      </c>
      <c r="L37" s="64">
        <f t="shared" si="8"/>
        <v>0</v>
      </c>
      <c r="M37" s="64">
        <f t="shared" si="8"/>
        <v>0</v>
      </c>
      <c r="N37" s="64">
        <f t="shared" si="8"/>
        <v>0</v>
      </c>
      <c r="O37" s="64">
        <f t="shared" si="8"/>
        <v>0</v>
      </c>
      <c r="P37" s="64">
        <f t="shared" si="8"/>
        <v>0</v>
      </c>
      <c r="Q37" s="65">
        <f t="shared" si="8"/>
        <v>0</v>
      </c>
    </row>
    <row r="38" spans="2:17">
      <c r="B38" s="85" t="s">
        <v>54</v>
      </c>
      <c r="C38" s="86"/>
      <c r="D38" s="87"/>
      <c r="E38" s="88"/>
      <c r="F38" s="89"/>
      <c r="G38" s="90">
        <f t="shared" ref="G38:Q38" si="9">SUM(G27:G37)</f>
        <v>181112.5</v>
      </c>
      <c r="H38" s="90">
        <f t="shared" si="9"/>
        <v>181112.5</v>
      </c>
      <c r="I38" s="90">
        <f t="shared" si="9"/>
        <v>186545.875</v>
      </c>
      <c r="J38" s="90">
        <f t="shared" si="9"/>
        <v>192142.25124999997</v>
      </c>
      <c r="K38" s="90">
        <f t="shared" si="9"/>
        <v>197906.51878750001</v>
      </c>
      <c r="L38" s="90">
        <f t="shared" si="9"/>
        <v>203843.714351125</v>
      </c>
      <c r="M38" s="90">
        <f t="shared" si="9"/>
        <v>209959.02578165877</v>
      </c>
      <c r="N38" s="90">
        <f t="shared" si="9"/>
        <v>216257.79655510854</v>
      </c>
      <c r="O38" s="90">
        <f t="shared" si="9"/>
        <v>222745.53045176179</v>
      </c>
      <c r="P38" s="90">
        <f t="shared" si="9"/>
        <v>229427.89636531461</v>
      </c>
      <c r="Q38" s="91">
        <f t="shared" si="9"/>
        <v>236310.73325627405</v>
      </c>
    </row>
    <row r="39" spans="2:17">
      <c r="B39" s="77" t="s">
        <v>55</v>
      </c>
      <c r="C39" s="78"/>
      <c r="D39" s="79"/>
      <c r="E39" s="80"/>
      <c r="F39" s="81"/>
      <c r="G39" s="82">
        <f t="shared" ref="G39:Q39" si="10">G25-G38</f>
        <v>101137.5</v>
      </c>
      <c r="H39" s="82">
        <f t="shared" si="10"/>
        <v>101137.5</v>
      </c>
      <c r="I39" s="82">
        <f t="shared" si="10"/>
        <v>104171.625</v>
      </c>
      <c r="J39" s="82">
        <f t="shared" si="10"/>
        <v>107296.77375000005</v>
      </c>
      <c r="K39" s="82">
        <f t="shared" si="10"/>
        <v>110515.67696250006</v>
      </c>
      <c r="L39" s="82">
        <f t="shared" si="10"/>
        <v>113831.14727137511</v>
      </c>
      <c r="M39" s="82">
        <f t="shared" si="10"/>
        <v>117246.08168951632</v>
      </c>
      <c r="N39" s="82">
        <f t="shared" si="10"/>
        <v>120763.46414020177</v>
      </c>
      <c r="O39" s="82">
        <f t="shared" si="10"/>
        <v>124386.36806440784</v>
      </c>
      <c r="P39" s="82">
        <f t="shared" si="10"/>
        <v>128117.95910634007</v>
      </c>
      <c r="Q39" s="83">
        <f t="shared" si="10"/>
        <v>131961.49787953033</v>
      </c>
    </row>
    <row r="40" spans="2:17">
      <c r="B40" s="20" t="s">
        <v>56</v>
      </c>
      <c r="C40" s="60"/>
      <c r="D40" s="73"/>
      <c r="E40" s="74">
        <v>0.03</v>
      </c>
      <c r="F40" s="75"/>
      <c r="G40" s="76">
        <v>0</v>
      </c>
      <c r="H40" s="76">
        <v>0</v>
      </c>
      <c r="I40" s="64">
        <f t="shared" ref="I40:Q40" si="11">H40*(1+$E40)</f>
        <v>0</v>
      </c>
      <c r="J40" s="64">
        <f t="shared" si="11"/>
        <v>0</v>
      </c>
      <c r="K40" s="64">
        <f t="shared" si="11"/>
        <v>0</v>
      </c>
      <c r="L40" s="64">
        <f t="shared" si="11"/>
        <v>0</v>
      </c>
      <c r="M40" s="64">
        <f t="shared" si="11"/>
        <v>0</v>
      </c>
      <c r="N40" s="64">
        <f t="shared" si="11"/>
        <v>0</v>
      </c>
      <c r="O40" s="64">
        <f t="shared" si="11"/>
        <v>0</v>
      </c>
      <c r="P40" s="64">
        <f t="shared" si="11"/>
        <v>0</v>
      </c>
      <c r="Q40" s="65">
        <f t="shared" si="11"/>
        <v>0</v>
      </c>
    </row>
    <row r="41" spans="2:17">
      <c r="B41" s="92" t="s">
        <v>57</v>
      </c>
      <c r="C41" s="93"/>
      <c r="D41" s="94"/>
      <c r="E41" s="95"/>
      <c r="F41" s="96"/>
      <c r="G41" s="97">
        <f t="shared" ref="G41:Q41" si="12">G39-G40</f>
        <v>101137.5</v>
      </c>
      <c r="H41" s="97">
        <f t="shared" si="12"/>
        <v>101137.5</v>
      </c>
      <c r="I41" s="97">
        <f t="shared" si="12"/>
        <v>104171.625</v>
      </c>
      <c r="J41" s="97">
        <f t="shared" si="12"/>
        <v>107296.77375000005</v>
      </c>
      <c r="K41" s="97">
        <f t="shared" si="12"/>
        <v>110515.67696250006</v>
      </c>
      <c r="L41" s="97">
        <f t="shared" si="12"/>
        <v>113831.14727137511</v>
      </c>
      <c r="M41" s="97">
        <f t="shared" si="12"/>
        <v>117246.08168951632</v>
      </c>
      <c r="N41" s="97">
        <f t="shared" si="12"/>
        <v>120763.46414020177</v>
      </c>
      <c r="O41" s="97">
        <f t="shared" si="12"/>
        <v>124386.36806440784</v>
      </c>
      <c r="P41" s="97">
        <f t="shared" si="12"/>
        <v>128117.95910634007</v>
      </c>
      <c r="Q41" s="98">
        <f t="shared" si="12"/>
        <v>131961.49787953033</v>
      </c>
    </row>
    <row r="42" spans="2:17">
      <c r="B42" s="13"/>
      <c r="C42" s="48"/>
      <c r="D42" s="55"/>
      <c r="E42" s="54"/>
      <c r="F42" s="51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4"/>
    </row>
    <row r="43" spans="2:17">
      <c r="B43" s="99" t="s">
        <v>58</v>
      </c>
      <c r="C43" s="100"/>
      <c r="D43" s="101"/>
      <c r="E43" s="102"/>
      <c r="F43" s="103"/>
      <c r="G43" s="104">
        <f t="shared" ref="G43:Q43" si="13">(G$17&lt;=$E$11)*(G$38/G$25)</f>
        <v>0.64167404782993798</v>
      </c>
      <c r="H43" s="104">
        <f t="shared" si="13"/>
        <v>0.64167404782993798</v>
      </c>
      <c r="I43" s="104">
        <f t="shared" si="13"/>
        <v>0.64167404782993798</v>
      </c>
      <c r="J43" s="104">
        <f t="shared" si="13"/>
        <v>0.64167404782993787</v>
      </c>
      <c r="K43" s="104">
        <f t="shared" si="13"/>
        <v>0.64167404782993787</v>
      </c>
      <c r="L43" s="104">
        <f t="shared" si="13"/>
        <v>0.64167404782993775</v>
      </c>
      <c r="M43" s="104">
        <f t="shared" si="13"/>
        <v>0</v>
      </c>
      <c r="N43" s="104">
        <f t="shared" si="13"/>
        <v>0</v>
      </c>
      <c r="O43" s="104">
        <f t="shared" si="13"/>
        <v>0</v>
      </c>
      <c r="P43" s="104">
        <f t="shared" si="13"/>
        <v>0</v>
      </c>
      <c r="Q43" s="105">
        <f t="shared" si="13"/>
        <v>0</v>
      </c>
    </row>
    <row r="44" spans="2:17">
      <c r="B44" s="99" t="s">
        <v>59</v>
      </c>
      <c r="C44" s="100"/>
      <c r="D44" s="101"/>
      <c r="E44" s="102"/>
      <c r="F44" s="103"/>
      <c r="G44" s="106">
        <f t="shared" ref="G44:Q44" si="14">IFERROR((G$41/-G$61),0)</f>
        <v>2.1424114056662167</v>
      </c>
      <c r="H44" s="106">
        <f t="shared" si="14"/>
        <v>2.1424114056662167</v>
      </c>
      <c r="I44" s="106">
        <f t="shared" si="14"/>
        <v>2.2066837478362036</v>
      </c>
      <c r="J44" s="106">
        <f t="shared" si="14"/>
        <v>2.2728842602712906</v>
      </c>
      <c r="K44" s="106">
        <f t="shared" si="14"/>
        <v>2.3410707880794295</v>
      </c>
      <c r="L44" s="106">
        <f t="shared" si="14"/>
        <v>2.4113029117218132</v>
      </c>
      <c r="M44" s="106">
        <f t="shared" si="14"/>
        <v>0</v>
      </c>
      <c r="N44" s="106">
        <f t="shared" si="14"/>
        <v>0</v>
      </c>
      <c r="O44" s="106">
        <f t="shared" si="14"/>
        <v>0</v>
      </c>
      <c r="P44" s="106">
        <f t="shared" si="14"/>
        <v>0</v>
      </c>
      <c r="Q44" s="107">
        <f t="shared" si="14"/>
        <v>0</v>
      </c>
    </row>
    <row r="45" spans="2:17">
      <c r="B45" s="13"/>
      <c r="C45" s="48"/>
      <c r="D45" s="55"/>
      <c r="E45" s="54"/>
      <c r="F45" s="51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</row>
    <row r="46" spans="2:17">
      <c r="B46" s="13" t="s">
        <v>21</v>
      </c>
      <c r="C46" s="48"/>
      <c r="D46" s="55"/>
      <c r="E46" s="54"/>
      <c r="F46" s="108">
        <f>-$E$9</f>
        <v>-1000000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9"/>
    </row>
    <row r="47" spans="2:17">
      <c r="B47" s="13" t="s">
        <v>28</v>
      </c>
      <c r="C47" s="48"/>
      <c r="D47" s="55"/>
      <c r="E47" s="54"/>
      <c r="F47" s="108">
        <f>F$46*$E$13</f>
        <v>-30000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9"/>
    </row>
    <row r="48" spans="2:17">
      <c r="B48" s="13" t="str">
        <f>B14</f>
        <v>Immediate CAPEX</v>
      </c>
      <c r="C48" s="48"/>
      <c r="D48" s="55"/>
      <c r="E48" s="54"/>
      <c r="F48" s="108">
        <f>-$E$14</f>
        <v>-50000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/>
    </row>
    <row r="49" spans="2:18">
      <c r="B49" s="13" t="str">
        <f>B15</f>
        <v>Working Capital</v>
      </c>
      <c r="C49" s="48"/>
      <c r="D49" s="55"/>
      <c r="E49" s="54"/>
      <c r="F49" s="108">
        <f>-$E$15</f>
        <v>-50000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</row>
    <row r="50" spans="2:18">
      <c r="B50" s="13" t="s">
        <v>60</v>
      </c>
      <c r="C50" s="48"/>
      <c r="D50" s="55"/>
      <c r="E50" s="54"/>
      <c r="F50" s="57">
        <f>$H$7</f>
        <v>700000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</row>
    <row r="51" spans="2:18">
      <c r="B51" s="13" t="s">
        <v>25</v>
      </c>
      <c r="C51" s="48"/>
      <c r="D51" s="55"/>
      <c r="E51" s="54"/>
      <c r="F51" s="57">
        <f>$H$12*E9</f>
        <v>100000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</row>
    <row r="52" spans="2:18">
      <c r="B52" s="13"/>
      <c r="C52" s="48"/>
      <c r="D52" s="55"/>
      <c r="E52" s="54"/>
      <c r="F52" s="51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4"/>
    </row>
    <row r="53" spans="2:18">
      <c r="B53" s="13" t="s">
        <v>61</v>
      </c>
      <c r="C53" s="48"/>
      <c r="D53" s="55"/>
      <c r="E53" s="54"/>
      <c r="F53" s="109"/>
      <c r="G53" s="58">
        <f t="shared" ref="G53:Q53" si="15">(G$17=$E$11)*(H$39/$E$12)</f>
        <v>0</v>
      </c>
      <c r="H53" s="58">
        <f t="shared" si="15"/>
        <v>0</v>
      </c>
      <c r="I53" s="58">
        <f t="shared" si="15"/>
        <v>0</v>
      </c>
      <c r="J53" s="58">
        <f t="shared" si="15"/>
        <v>0</v>
      </c>
      <c r="K53" s="58">
        <f t="shared" si="15"/>
        <v>0</v>
      </c>
      <c r="L53" s="58">
        <f t="shared" si="15"/>
        <v>1674944.0241359472</v>
      </c>
      <c r="M53" s="58">
        <f t="shared" si="15"/>
        <v>0</v>
      </c>
      <c r="N53" s="58">
        <f t="shared" si="15"/>
        <v>0</v>
      </c>
      <c r="O53" s="58">
        <f t="shared" si="15"/>
        <v>0</v>
      </c>
      <c r="P53" s="58">
        <f t="shared" si="15"/>
        <v>0</v>
      </c>
      <c r="Q53" s="59">
        <f t="shared" si="15"/>
        <v>0</v>
      </c>
    </row>
    <row r="54" spans="2:18">
      <c r="B54" s="13" t="s">
        <v>28</v>
      </c>
      <c r="C54" s="48"/>
      <c r="D54" s="55"/>
      <c r="E54" s="54"/>
      <c r="F54" s="51"/>
      <c r="G54" s="58">
        <f t="shared" ref="G54:Q54" si="16">G53*-$E$13</f>
        <v>0</v>
      </c>
      <c r="H54" s="58">
        <f t="shared" si="16"/>
        <v>0</v>
      </c>
      <c r="I54" s="58">
        <f t="shared" si="16"/>
        <v>0</v>
      </c>
      <c r="J54" s="58">
        <f t="shared" si="16"/>
        <v>0</v>
      </c>
      <c r="K54" s="58">
        <f t="shared" si="16"/>
        <v>0</v>
      </c>
      <c r="L54" s="58">
        <f t="shared" si="16"/>
        <v>-50248.320724078418</v>
      </c>
      <c r="M54" s="58">
        <f t="shared" si="16"/>
        <v>0</v>
      </c>
      <c r="N54" s="58">
        <f t="shared" si="16"/>
        <v>0</v>
      </c>
      <c r="O54" s="58">
        <f t="shared" si="16"/>
        <v>0</v>
      </c>
      <c r="P54" s="58">
        <f t="shared" si="16"/>
        <v>0</v>
      </c>
      <c r="Q54" s="59">
        <f t="shared" si="16"/>
        <v>0</v>
      </c>
    </row>
    <row r="55" spans="2:18">
      <c r="B55" s="13" t="s">
        <v>62</v>
      </c>
      <c r="C55" s="48"/>
      <c r="D55" s="55"/>
      <c r="E55" s="54"/>
      <c r="F55" s="51"/>
      <c r="G55" s="58">
        <f t="shared" ref="G55:Q55" si="17">(G$17=$E$11)*$E$15</f>
        <v>0</v>
      </c>
      <c r="H55" s="58">
        <f t="shared" si="17"/>
        <v>0</v>
      </c>
      <c r="I55" s="58">
        <f t="shared" si="17"/>
        <v>0</v>
      </c>
      <c r="J55" s="58">
        <f t="shared" si="17"/>
        <v>0</v>
      </c>
      <c r="K55" s="58">
        <f t="shared" si="17"/>
        <v>0</v>
      </c>
      <c r="L55" s="58">
        <f t="shared" si="17"/>
        <v>50000</v>
      </c>
      <c r="M55" s="58">
        <f t="shared" si="17"/>
        <v>0</v>
      </c>
      <c r="N55" s="58">
        <f t="shared" si="17"/>
        <v>0</v>
      </c>
      <c r="O55" s="58">
        <f t="shared" si="17"/>
        <v>0</v>
      </c>
      <c r="P55" s="58">
        <f t="shared" si="17"/>
        <v>0</v>
      </c>
      <c r="Q55" s="59">
        <f t="shared" si="17"/>
        <v>0</v>
      </c>
    </row>
    <row r="56" spans="2:18">
      <c r="B56" s="13" t="s">
        <v>63</v>
      </c>
      <c r="C56" s="48"/>
      <c r="D56" s="55"/>
      <c r="E56" s="54"/>
      <c r="F56" s="51"/>
      <c r="G56" s="58">
        <f t="shared" ref="G56:Q56" si="18">(G53&lt;&gt;0)*(-G$64)</f>
        <v>0</v>
      </c>
      <c r="H56" s="58">
        <f t="shared" si="18"/>
        <v>0</v>
      </c>
      <c r="I56" s="58">
        <f t="shared" si="18"/>
        <v>0</v>
      </c>
      <c r="J56" s="58">
        <f t="shared" si="18"/>
        <v>0</v>
      </c>
      <c r="K56" s="58">
        <f t="shared" si="18"/>
        <v>0</v>
      </c>
      <c r="L56" s="58">
        <f t="shared" si="18"/>
        <v>-594495.6357443803</v>
      </c>
      <c r="M56" s="58">
        <f t="shared" si="18"/>
        <v>0</v>
      </c>
      <c r="N56" s="58">
        <f t="shared" si="18"/>
        <v>0</v>
      </c>
      <c r="O56" s="58">
        <f t="shared" si="18"/>
        <v>0</v>
      </c>
      <c r="P56" s="58">
        <f t="shared" si="18"/>
        <v>0</v>
      </c>
      <c r="Q56" s="59">
        <f t="shared" si="18"/>
        <v>0</v>
      </c>
    </row>
    <row r="57" spans="2:18">
      <c r="B57" s="13" t="s">
        <v>64</v>
      </c>
      <c r="C57" s="48"/>
      <c r="D57" s="55"/>
      <c r="E57" s="54"/>
      <c r="F57" s="51"/>
      <c r="G57" s="58">
        <f>(G54&lt;&gt;0)*(-$F$51)</f>
        <v>0</v>
      </c>
      <c r="H57" s="58">
        <f t="shared" ref="H57:Q57" si="19">(H54&lt;&gt;0)*(-$F$51)</f>
        <v>0</v>
      </c>
      <c r="I57" s="58">
        <f t="shared" si="19"/>
        <v>0</v>
      </c>
      <c r="J57" s="58">
        <f t="shared" si="19"/>
        <v>0</v>
      </c>
      <c r="K57" s="58">
        <f t="shared" si="19"/>
        <v>0</v>
      </c>
      <c r="L57" s="58">
        <f t="shared" si="19"/>
        <v>-100000</v>
      </c>
      <c r="M57" s="58">
        <f t="shared" si="19"/>
        <v>0</v>
      </c>
      <c r="N57" s="58">
        <f t="shared" si="19"/>
        <v>0</v>
      </c>
      <c r="O57" s="58">
        <f t="shared" si="19"/>
        <v>0</v>
      </c>
      <c r="P57" s="58">
        <f t="shared" si="19"/>
        <v>0</v>
      </c>
      <c r="Q57" s="59">
        <f t="shared" si="19"/>
        <v>0</v>
      </c>
    </row>
    <row r="58" spans="2:18">
      <c r="B58" s="13"/>
      <c r="C58" s="48"/>
      <c r="D58" s="55"/>
      <c r="E58" s="54"/>
      <c r="F58" s="51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2:18">
      <c r="B59" s="110" t="s">
        <v>65</v>
      </c>
      <c r="C59" s="48"/>
      <c r="D59" s="55"/>
      <c r="E59" s="54"/>
      <c r="F59" s="51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2:18">
      <c r="B60" s="13" t="s">
        <v>66</v>
      </c>
      <c r="C60" s="48"/>
      <c r="D60" s="55"/>
      <c r="E60" s="54"/>
      <c r="F60" s="57"/>
      <c r="G60" s="58">
        <f t="shared" ref="G60:Q60" si="20">(G$17&lt;=$E$11)*(F$64)</f>
        <v>700000</v>
      </c>
      <c r="H60" s="58">
        <f t="shared" si="20"/>
        <v>684292.68037291383</v>
      </c>
      <c r="I60" s="58">
        <f t="shared" si="20"/>
        <v>667878.53136260877</v>
      </c>
      <c r="J60" s="58">
        <f t="shared" si="20"/>
        <v>650725.74564684008</v>
      </c>
      <c r="K60" s="58">
        <f t="shared" si="20"/>
        <v>632801.08457386179</v>
      </c>
      <c r="L60" s="58">
        <f t="shared" si="20"/>
        <v>614069.81375259941</v>
      </c>
      <c r="M60" s="58">
        <f t="shared" si="20"/>
        <v>0</v>
      </c>
      <c r="N60" s="58">
        <f t="shared" si="20"/>
        <v>0</v>
      </c>
      <c r="O60" s="58">
        <f t="shared" si="20"/>
        <v>0</v>
      </c>
      <c r="P60" s="58">
        <f t="shared" si="20"/>
        <v>0</v>
      </c>
      <c r="Q60" s="59">
        <f t="shared" si="20"/>
        <v>0</v>
      </c>
      <c r="R60" s="111"/>
    </row>
    <row r="61" spans="2:18">
      <c r="B61" s="13" t="s">
        <v>20</v>
      </c>
      <c r="C61" s="48"/>
      <c r="D61" s="55"/>
      <c r="E61" s="54"/>
      <c r="F61" s="57"/>
      <c r="G61" s="58">
        <f t="shared" ref="G61:Q61" si="21">(G$17&lt;=$E$11)*PMT($H$5,$H$6,$F$50)</f>
        <v>-47207.319627086137</v>
      </c>
      <c r="H61" s="58">
        <f t="shared" si="21"/>
        <v>-47207.319627086137</v>
      </c>
      <c r="I61" s="58">
        <f t="shared" si="21"/>
        <v>-47207.319627086137</v>
      </c>
      <c r="J61" s="58">
        <f t="shared" si="21"/>
        <v>-47207.319627086137</v>
      </c>
      <c r="K61" s="58">
        <f t="shared" si="21"/>
        <v>-47207.319627086137</v>
      </c>
      <c r="L61" s="58">
        <f t="shared" si="21"/>
        <v>-47207.319627086137</v>
      </c>
      <c r="M61" s="58">
        <f t="shared" si="21"/>
        <v>0</v>
      </c>
      <c r="N61" s="58">
        <f t="shared" si="21"/>
        <v>0</v>
      </c>
      <c r="O61" s="58">
        <f t="shared" si="21"/>
        <v>0</v>
      </c>
      <c r="P61" s="58">
        <f t="shared" si="21"/>
        <v>0</v>
      </c>
      <c r="Q61" s="59">
        <f t="shared" si="21"/>
        <v>0</v>
      </c>
      <c r="R61" s="111"/>
    </row>
    <row r="62" spans="2:18">
      <c r="B62" s="13" t="s">
        <v>67</v>
      </c>
      <c r="C62" s="48"/>
      <c r="D62" s="55"/>
      <c r="E62" s="54"/>
      <c r="F62" s="57"/>
      <c r="G62" s="58">
        <f t="shared" ref="G62:Q62" si="22">G60*-$H$5</f>
        <v>-31500</v>
      </c>
      <c r="H62" s="58">
        <f t="shared" si="22"/>
        <v>-30793.170616781121</v>
      </c>
      <c r="I62" s="58">
        <f t="shared" si="22"/>
        <v>-30054.533911317394</v>
      </c>
      <c r="J62" s="58">
        <f t="shared" si="22"/>
        <v>-29282.658554107802</v>
      </c>
      <c r="K62" s="58">
        <f t="shared" si="22"/>
        <v>-28476.048805823779</v>
      </c>
      <c r="L62" s="58">
        <f t="shared" si="22"/>
        <v>-27633.141618866972</v>
      </c>
      <c r="M62" s="58">
        <f t="shared" si="22"/>
        <v>0</v>
      </c>
      <c r="N62" s="58">
        <f t="shared" si="22"/>
        <v>0</v>
      </c>
      <c r="O62" s="58">
        <f t="shared" si="22"/>
        <v>0</v>
      </c>
      <c r="P62" s="58">
        <f t="shared" si="22"/>
        <v>0</v>
      </c>
      <c r="Q62" s="59">
        <f t="shared" si="22"/>
        <v>0</v>
      </c>
      <c r="R62" s="111"/>
    </row>
    <row r="63" spans="2:18">
      <c r="B63" s="20" t="s">
        <v>68</v>
      </c>
      <c r="C63" s="60"/>
      <c r="D63" s="73"/>
      <c r="E63" s="62"/>
      <c r="F63" s="63"/>
      <c r="G63" s="64">
        <f t="shared" ref="G63:Q63" si="23">G61-G62</f>
        <v>-15707.319627086137</v>
      </c>
      <c r="H63" s="64">
        <f t="shared" si="23"/>
        <v>-16414.149010305016</v>
      </c>
      <c r="I63" s="64">
        <f t="shared" si="23"/>
        <v>-17152.785715768743</v>
      </c>
      <c r="J63" s="64">
        <f t="shared" si="23"/>
        <v>-17924.661072978335</v>
      </c>
      <c r="K63" s="64">
        <f t="shared" si="23"/>
        <v>-18731.270821262358</v>
      </c>
      <c r="L63" s="64">
        <f t="shared" si="23"/>
        <v>-19574.178008219165</v>
      </c>
      <c r="M63" s="64">
        <f t="shared" si="23"/>
        <v>0</v>
      </c>
      <c r="N63" s="64">
        <f t="shared" si="23"/>
        <v>0</v>
      </c>
      <c r="O63" s="64">
        <f t="shared" si="23"/>
        <v>0</v>
      </c>
      <c r="P63" s="64">
        <f t="shared" si="23"/>
        <v>0</v>
      </c>
      <c r="Q63" s="65">
        <f t="shared" si="23"/>
        <v>0</v>
      </c>
      <c r="R63" s="111"/>
    </row>
    <row r="64" spans="2:18">
      <c r="B64" s="10" t="s">
        <v>69</v>
      </c>
      <c r="C64" s="66"/>
      <c r="D64" s="67"/>
      <c r="E64" s="68"/>
      <c r="F64" s="69">
        <f>$F$50</f>
        <v>700000</v>
      </c>
      <c r="G64" s="70">
        <f t="shared" ref="G64:Q64" si="24">SUM(G60,G63)</f>
        <v>684292.68037291383</v>
      </c>
      <c r="H64" s="70">
        <f t="shared" si="24"/>
        <v>667878.53136260877</v>
      </c>
      <c r="I64" s="70">
        <f t="shared" si="24"/>
        <v>650725.74564684008</v>
      </c>
      <c r="J64" s="70">
        <f t="shared" si="24"/>
        <v>632801.08457386179</v>
      </c>
      <c r="K64" s="70">
        <f t="shared" si="24"/>
        <v>614069.81375259941</v>
      </c>
      <c r="L64" s="70">
        <f t="shared" si="24"/>
        <v>594495.6357443803</v>
      </c>
      <c r="M64" s="70">
        <f t="shared" si="24"/>
        <v>0</v>
      </c>
      <c r="N64" s="70">
        <f t="shared" si="24"/>
        <v>0</v>
      </c>
      <c r="O64" s="70">
        <f t="shared" si="24"/>
        <v>0</v>
      </c>
      <c r="P64" s="70">
        <f t="shared" si="24"/>
        <v>0</v>
      </c>
      <c r="Q64" s="71">
        <f t="shared" si="24"/>
        <v>0</v>
      </c>
      <c r="R64" s="111"/>
    </row>
    <row r="65" spans="1:18">
      <c r="B65" s="13"/>
      <c r="C65" s="48"/>
      <c r="D65" s="55"/>
      <c r="E65" s="54"/>
      <c r="F65" s="112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4"/>
      <c r="R65" s="111"/>
    </row>
    <row r="66" spans="1:18">
      <c r="B66" s="13" t="s">
        <v>70</v>
      </c>
      <c r="C66" s="48"/>
      <c r="D66" s="55"/>
      <c r="E66" s="54"/>
      <c r="F66" s="112"/>
      <c r="G66" s="58">
        <f t="shared" ref="G66:Q66" si="25">-(G$17&lt;=$E$11)*($H$15)</f>
        <v>-5000</v>
      </c>
      <c r="H66" s="58">
        <f t="shared" si="25"/>
        <v>-5000</v>
      </c>
      <c r="I66" s="58">
        <f t="shared" si="25"/>
        <v>-5000</v>
      </c>
      <c r="J66" s="58">
        <f t="shared" si="25"/>
        <v>-5000</v>
      </c>
      <c r="K66" s="58">
        <f t="shared" si="25"/>
        <v>-5000</v>
      </c>
      <c r="L66" s="58">
        <f t="shared" si="25"/>
        <v>-5000</v>
      </c>
      <c r="M66" s="58">
        <f t="shared" si="25"/>
        <v>0</v>
      </c>
      <c r="N66" s="58">
        <f t="shared" si="25"/>
        <v>0</v>
      </c>
      <c r="O66" s="58">
        <f t="shared" si="25"/>
        <v>0</v>
      </c>
      <c r="P66" s="58">
        <f t="shared" si="25"/>
        <v>0</v>
      </c>
      <c r="Q66" s="59">
        <f t="shared" si="25"/>
        <v>0</v>
      </c>
      <c r="R66" s="111"/>
    </row>
    <row r="67" spans="1:18">
      <c r="B67" s="34" t="s">
        <v>71</v>
      </c>
      <c r="C67" s="115"/>
      <c r="D67" s="116">
        <v>0.08</v>
      </c>
      <c r="E67" s="117"/>
      <c r="F67" s="118"/>
      <c r="G67" s="58">
        <f t="shared" ref="G67:Q67" si="26">(G$17=$E$11)*FV($D$67,$E$11,0,$H$9)</f>
        <v>0</v>
      </c>
      <c r="H67" s="58">
        <f t="shared" si="26"/>
        <v>0</v>
      </c>
      <c r="I67" s="58">
        <f t="shared" si="26"/>
        <v>0</v>
      </c>
      <c r="J67" s="58">
        <f t="shared" si="26"/>
        <v>0</v>
      </c>
      <c r="K67" s="58">
        <f t="shared" si="26"/>
        <v>0</v>
      </c>
      <c r="L67" s="58">
        <f t="shared" si="26"/>
        <v>-523668.5265715202</v>
      </c>
      <c r="M67" s="58">
        <f t="shared" si="26"/>
        <v>0</v>
      </c>
      <c r="N67" s="58">
        <f t="shared" si="26"/>
        <v>0</v>
      </c>
      <c r="O67" s="58">
        <f t="shared" si="26"/>
        <v>0</v>
      </c>
      <c r="P67" s="58">
        <f t="shared" si="26"/>
        <v>0</v>
      </c>
      <c r="Q67" s="59">
        <f t="shared" si="26"/>
        <v>0</v>
      </c>
      <c r="R67" s="111"/>
    </row>
    <row r="68" spans="1:18">
      <c r="B68" s="37"/>
      <c r="C68" s="119"/>
      <c r="D68" s="120"/>
      <c r="E68" s="121"/>
      <c r="F68" s="122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1"/>
    </row>
    <row r="69" spans="1:18">
      <c r="B69" s="124" t="s">
        <v>72</v>
      </c>
      <c r="C69" s="125"/>
      <c r="D69" s="126"/>
      <c r="E69" s="127"/>
      <c r="F69" s="128">
        <f t="shared" ref="F69:Q69" si="27">(F17&lt;=$E$11)*SUM(F41,F46:F51,F61,F53:F57,F66:F67)</f>
        <v>-330000</v>
      </c>
      <c r="G69" s="128">
        <f t="shared" si="27"/>
        <v>48930.180372913863</v>
      </c>
      <c r="H69" s="128">
        <f t="shared" si="27"/>
        <v>48930.180372913863</v>
      </c>
      <c r="I69" s="128">
        <f t="shared" si="27"/>
        <v>51964.305372913863</v>
      </c>
      <c r="J69" s="128">
        <f t="shared" si="27"/>
        <v>55089.454122913914</v>
      </c>
      <c r="K69" s="128">
        <f t="shared" si="27"/>
        <v>58308.357335413923</v>
      </c>
      <c r="L69" s="128">
        <f t="shared" si="27"/>
        <v>518155.36874025728</v>
      </c>
      <c r="M69" s="128">
        <f t="shared" si="27"/>
        <v>0</v>
      </c>
      <c r="N69" s="128">
        <f t="shared" si="27"/>
        <v>0</v>
      </c>
      <c r="O69" s="128">
        <f t="shared" si="27"/>
        <v>0</v>
      </c>
      <c r="P69" s="128">
        <f t="shared" si="27"/>
        <v>0</v>
      </c>
      <c r="Q69" s="129">
        <f t="shared" si="27"/>
        <v>0</v>
      </c>
    </row>
    <row r="70" spans="1:18">
      <c r="B70" s="130" t="s">
        <v>73</v>
      </c>
      <c r="C70" s="86"/>
      <c r="D70" s="87"/>
      <c r="E70" s="88"/>
      <c r="F70" s="131"/>
      <c r="G70" s="132">
        <f t="shared" ref="G70:Q70" si="28">(G$17&lt;=$E$11)*(G$41/$H$9)</f>
        <v>0.30647727272727271</v>
      </c>
      <c r="H70" s="132">
        <f t="shared" si="28"/>
        <v>0.30647727272727271</v>
      </c>
      <c r="I70" s="132">
        <f t="shared" si="28"/>
        <v>0.31567159090909092</v>
      </c>
      <c r="J70" s="132">
        <f t="shared" si="28"/>
        <v>0.32514173863636381</v>
      </c>
      <c r="K70" s="132">
        <f t="shared" si="28"/>
        <v>0.33489599079545473</v>
      </c>
      <c r="L70" s="132">
        <f t="shared" si="28"/>
        <v>0.34494287051931855</v>
      </c>
      <c r="M70" s="132">
        <f t="shared" si="28"/>
        <v>0</v>
      </c>
      <c r="N70" s="132">
        <f t="shared" si="28"/>
        <v>0</v>
      </c>
      <c r="O70" s="132">
        <f t="shared" si="28"/>
        <v>0</v>
      </c>
      <c r="P70" s="132">
        <f t="shared" si="28"/>
        <v>0</v>
      </c>
      <c r="Q70" s="133">
        <f t="shared" si="28"/>
        <v>0</v>
      </c>
    </row>
    <row r="71" spans="1:18">
      <c r="A71" t="s">
        <v>0</v>
      </c>
      <c r="R71" t="s">
        <v>0</v>
      </c>
    </row>
    <row r="72" spans="1:18">
      <c r="G72" s="134"/>
      <c r="H72" s="134"/>
      <c r="I72" s="134"/>
      <c r="J72" s="134"/>
      <c r="K72" s="134"/>
      <c r="L72" s="134"/>
    </row>
    <row r="73" spans="1:18">
      <c r="G73" s="134"/>
    </row>
  </sheetData>
  <printOptions horizontalCentered="1"/>
  <pageMargins left="0.25" right="0.25" top="0.75" bottom="0.75" header="0.3" footer="0.3"/>
  <pageSetup scale="49" orientation="landscape" r:id="rId1"/>
  <headerFooter>
    <oddHeader>&amp;F</oddHeader>
    <oddFooter>&amp;L&amp;B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Proforma - Buyer</vt:lpstr>
      <vt:lpstr>'Proforma - Buyer'!Print_Area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dcterms:created xsi:type="dcterms:W3CDTF">2020-09-03T20:50:46Z</dcterms:created>
  <dcterms:modified xsi:type="dcterms:W3CDTF">2020-09-03T20:51:15Z</dcterms:modified>
</cp:coreProperties>
</file>