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CMA-PL" sheetId="1" r:id="rId1"/>
    <sheet name="CMA- BS" sheetId="2" r:id="rId2"/>
    <sheet name="CMA-CF" sheetId="3" state="hidden" r:id="rId3"/>
    <sheet name="CMA IV" sheetId="4" state="hidden" r:id="rId4"/>
    <sheet name="term loan" sheetId="5" r:id="rId5"/>
    <sheet name="DSCR" sheetId="6" r:id="rId6"/>
  </sheets>
  <externalReferences>
    <externalReference r:id="rId9"/>
  </externalReferences>
  <definedNames>
    <definedName name="_xlnm.Print_Area" localSheetId="3">'CMA IV'!$A$1:$L$114</definedName>
    <definedName name="_xlnm.Print_Area" localSheetId="1">'CMA- BS'!$A$1:$I$152</definedName>
    <definedName name="_xlnm.Print_Area" localSheetId="2">'CMA-CF'!$A$1:$I$104</definedName>
    <definedName name="_xlnm.Print_Area" localSheetId="0">'CMA-PL'!$A$1:$I$85</definedName>
    <definedName name="_xlnm.Print_Area" localSheetId="4">'term loan'!$A$1:$G$47</definedName>
    <definedName name="Excel_BuiltIn_Print_Area" localSheetId="0">'CMA-PL'!$A$1:$I$85</definedName>
    <definedName name="Excel_BuiltIn_Print_Area" localSheetId="1">'CMA- BS'!$A$1:$I$152</definedName>
    <definedName name="Excel_BuiltIn_Print_Area" localSheetId="2">'CMA-CF'!$A$1:$I$104</definedName>
    <definedName name="Excel_BuiltIn_Print_Area" localSheetId="3">'CMA IV'!$A$1:$L$114</definedName>
    <definedName name="Excel_BuiltIn_Print_Area" localSheetId="4">'term loan'!$A$1:$G$47</definedName>
  </definedNames>
  <calcPr fullCalcOnLoad="1"/>
</workbook>
</file>

<file path=xl/sharedStrings.xml><?xml version="1.0" encoding="utf-8"?>
<sst xmlns="http://schemas.openxmlformats.org/spreadsheetml/2006/main" count="615" uniqueCount="357">
  <si>
    <t>OPERATING STATEMENT</t>
  </si>
  <si>
    <t>Borrower's Name : XXXXXXXXXXXXXXXXX</t>
  </si>
  <si>
    <t>As per profit and Loss A/c</t>
  </si>
  <si>
    <t>for the year ending</t>
  </si>
  <si>
    <t>31.03.18</t>
  </si>
  <si>
    <t>31.03.19</t>
  </si>
  <si>
    <t>31.03.20</t>
  </si>
  <si>
    <t>31.03.21</t>
  </si>
  <si>
    <t>31.03.22</t>
  </si>
  <si>
    <t>31.03.23</t>
  </si>
  <si>
    <t>31.03.24</t>
  </si>
  <si>
    <t>31.03.25</t>
  </si>
  <si>
    <t>Following</t>
  </si>
  <si>
    <t>year</t>
  </si>
  <si>
    <t>projections</t>
  </si>
  <si>
    <t xml:space="preserve">a. Gross Sales </t>
  </si>
  <si>
    <t xml:space="preserve">b. Jobwork </t>
  </si>
  <si>
    <t xml:space="preserve">1. Total Sales </t>
  </si>
  <si>
    <t xml:space="preserve">    </t>
  </si>
  <si>
    <t>2. Less : Excise duty</t>
  </si>
  <si>
    <t>Net Sales</t>
  </si>
  <si>
    <t>3. Cost of Sales :</t>
  </si>
  <si>
    <t xml:space="preserve">   a. Raw Materials</t>
  </si>
  <si>
    <t xml:space="preserve">       (incl.stores)</t>
  </si>
  <si>
    <t xml:space="preserve">            - imported</t>
  </si>
  <si>
    <t>total</t>
  </si>
  <si>
    <t xml:space="preserve">            - indigenous</t>
  </si>
  <si>
    <t>RM</t>
  </si>
  <si>
    <t xml:space="preserve">  b. Other spares</t>
  </si>
  <si>
    <t>Wip</t>
  </si>
  <si>
    <t xml:space="preserve">  c. Power &amp; Fuel</t>
  </si>
  <si>
    <t>Finished</t>
  </si>
  <si>
    <t xml:space="preserve">  d. Direct labour</t>
  </si>
  <si>
    <t xml:space="preserve">  e. Other Manufacturing Exp. (Freight,</t>
  </si>
  <si>
    <t xml:space="preserve">      Jobwork Charges, EPF &amp; ESI )</t>
  </si>
  <si>
    <t xml:space="preserve">  f. Depreciation</t>
  </si>
  <si>
    <t xml:space="preserve">         Sub Total :</t>
  </si>
  <si>
    <t xml:space="preserve">   Add : Opening Stocks-in-process</t>
  </si>
  <si>
    <t>Deduct : Closing Stock-in-process</t>
  </si>
  <si>
    <t>(Cost of Production )Sub Total</t>
  </si>
  <si>
    <t>Add : Opening Stocks of Finished Goods</t>
  </si>
  <si>
    <t>Deduct : Closing Stock of finished goods</t>
  </si>
  <si>
    <t>(TOTAL COST OF SALES )</t>
  </si>
  <si>
    <t>5. Gross profit ( 3- 4 )</t>
  </si>
  <si>
    <t>6. Interest --On Term Loan</t>
  </si>
  <si>
    <t xml:space="preserve">                    On CC Limit</t>
  </si>
  <si>
    <t>7. Selling, General &amp; Administrative Expenses.</t>
  </si>
  <si>
    <t xml:space="preserve">               Sub Total ( 6 + 7 )</t>
  </si>
  <si>
    <t>8. Operating Profit ( 5-( 6 + 7 ) )</t>
  </si>
  <si>
    <t>9. Other Income/Expenses</t>
  </si>
  <si>
    <t xml:space="preserve">              Add : Income</t>
  </si>
  <si>
    <t xml:space="preserve">              Deduct : Expenses</t>
  </si>
  <si>
    <t xml:space="preserve">              Sub Total  (+)  (-)</t>
  </si>
  <si>
    <t>10 Profit before tax/ loss  ( 8 + 9 )</t>
  </si>
  <si>
    <t>Less : Provision for Development Rebate/</t>
  </si>
  <si>
    <t xml:space="preserve">          Investment Allowance</t>
  </si>
  <si>
    <t>Less : Provision for Taxes</t>
  </si>
  <si>
    <t xml:space="preserve">          Provision for Divid.</t>
  </si>
  <si>
    <t xml:space="preserve">          Sub Total</t>
  </si>
  <si>
    <t xml:space="preserve">11 Net Profit </t>
  </si>
  <si>
    <t>Gross Profit as a percent of Sales</t>
  </si>
  <si>
    <t>Net Profit Before tax as a % of Sales</t>
  </si>
  <si>
    <t>DSCR</t>
  </si>
  <si>
    <t>ANALYSIS ON BALANCE SHEET : ( Rs. In Lacs)</t>
  </si>
  <si>
    <t>Liabilities</t>
  </si>
  <si>
    <t>proj</t>
  </si>
  <si>
    <t>as on</t>
  </si>
  <si>
    <r>
      <rPr>
        <b/>
        <u val="single"/>
        <sz val="12"/>
        <rFont val="Arial"/>
        <family val="2"/>
      </rPr>
      <t>Current Liabilities</t>
    </r>
    <r>
      <rPr>
        <b/>
        <sz val="12"/>
        <rFont val="Arial"/>
        <family val="2"/>
      </rPr>
      <t xml:space="preserve"> :</t>
    </r>
  </si>
  <si>
    <t>1. Short-term borrwings from Banks</t>
  </si>
  <si>
    <t xml:space="preserve"> (a) from our Bank</t>
  </si>
  <si>
    <t xml:space="preserve"> (b) from Other Banks</t>
  </si>
  <si>
    <t>Sub Total (A)</t>
  </si>
  <si>
    <t>2. Short term borrowings from others</t>
  </si>
  <si>
    <t>3. Deposits ( maturing in one year )</t>
  </si>
  <si>
    <t>4. Sundry Creditors (Trade)</t>
  </si>
  <si>
    <t>5. Unsecured Loans</t>
  </si>
  <si>
    <t>6. Advances/progress payments from</t>
  </si>
  <si>
    <t xml:space="preserve">   customers/ deposits from dealers.</t>
  </si>
  <si>
    <t xml:space="preserve">   not due for payment.</t>
  </si>
  <si>
    <t>8. Provision for taxation</t>
  </si>
  <si>
    <t xml:space="preserve">    Provision for Gratuity</t>
  </si>
  <si>
    <t>9. Dividend payable</t>
  </si>
  <si>
    <t>10.Other statutory liabilities</t>
  </si>
  <si>
    <t xml:space="preserve">    (due in one year)</t>
  </si>
  <si>
    <t>11.Instalments of term loans/deferred payment</t>
  </si>
  <si>
    <t xml:space="preserve">    Credits/debentures redeemable preference</t>
  </si>
  <si>
    <t xml:space="preserve">    Shares ( due in one year )</t>
  </si>
  <si>
    <t>12. Other Current liabilities and provisions</t>
  </si>
  <si>
    <t>Sub Total (B)</t>
  </si>
  <si>
    <t>13.Total Current Liabilities ( A + B )</t>
  </si>
  <si>
    <r>
      <rPr>
        <b/>
        <u val="single"/>
        <sz val="12"/>
        <rFont val="Arial"/>
        <family val="2"/>
      </rPr>
      <t>Term Liabilities</t>
    </r>
    <r>
      <rPr>
        <b/>
        <sz val="12"/>
        <rFont val="Arial"/>
        <family val="2"/>
      </rPr>
      <t xml:space="preserve"> :</t>
    </r>
  </si>
  <si>
    <t>14. Debentures ( not maturing in one year )</t>
  </si>
  <si>
    <t xml:space="preserve">15. Redeemable preference shares (maturing </t>
  </si>
  <si>
    <t xml:space="preserve">     after 1 But before 12 years)</t>
  </si>
  <si>
    <t>16a . Borrowings from  company Directors,</t>
  </si>
  <si>
    <t xml:space="preserve">         friends, relatives.</t>
  </si>
  <si>
    <t>17. Deferred payment credits</t>
  </si>
  <si>
    <t>18. Term Deposits ( repayable after one year )</t>
  </si>
  <si>
    <t>19. Other term liabilities ( Other Loan )</t>
  </si>
  <si>
    <t xml:space="preserve">                      Term Loan</t>
  </si>
  <si>
    <t>20. Total term liabilities</t>
  </si>
  <si>
    <t xml:space="preserve">      (total of items 14 to 19 )</t>
  </si>
  <si>
    <t>21. Total Outside liabilities (13 + 20)</t>
  </si>
  <si>
    <t>NET WORTH</t>
  </si>
  <si>
    <t>22. Ordinary Share Capital</t>
  </si>
  <si>
    <t>23. Preference Share Capital</t>
  </si>
  <si>
    <t xml:space="preserve">     (maturing after 12 Yrs)</t>
  </si>
  <si>
    <t>24. General Reverse</t>
  </si>
  <si>
    <t>25. Development Rebate Reserve/Investment</t>
  </si>
  <si>
    <t xml:space="preserve">     Allowance</t>
  </si>
  <si>
    <t xml:space="preserve">     Quasi Equity (Unsecured Loans from Family Members</t>
  </si>
  <si>
    <t>26. Other Reserves ( excl. provisions)</t>
  </si>
  <si>
    <t>27. Profit &amp; Loss Account</t>
  </si>
  <si>
    <t>28. Surplus (+) or Deficit (-) in P &amp; L Account</t>
  </si>
  <si>
    <t>28. Net worth (total of 22 to 27)</t>
  </si>
  <si>
    <t>29. Total Liabilities ( 21 + 28)</t>
  </si>
  <si>
    <t>Assets as on</t>
  </si>
  <si>
    <r>
      <rPr>
        <b/>
        <u val="single"/>
        <sz val="12"/>
        <rFont val="Arial"/>
        <family val="2"/>
      </rPr>
      <t>Current Assets</t>
    </r>
    <r>
      <rPr>
        <b/>
        <sz val="12"/>
        <rFont val="Arial"/>
        <family val="2"/>
      </rPr>
      <t xml:space="preserve"> :</t>
    </r>
  </si>
  <si>
    <t>30. Cash &amp; Bank Balances</t>
  </si>
  <si>
    <t>31. Investments : (Other than long term</t>
  </si>
  <si>
    <t xml:space="preserve">     investments,sinking fund,gratuity fund etc.)</t>
  </si>
  <si>
    <t xml:space="preserve">     (a ) Govt. and other trustee securities</t>
  </si>
  <si>
    <t xml:space="preserve">     (b) FDs in banks</t>
  </si>
  <si>
    <t>32. (a) Receivable other than deferred and</t>
  </si>
  <si>
    <t xml:space="preserve">          (due in one year)</t>
  </si>
  <si>
    <t xml:space="preserve">     (b) Export receivables</t>
  </si>
  <si>
    <t xml:space="preserve">      c) Duty Draw Back</t>
  </si>
  <si>
    <t>33. Instalments of deferred receivables</t>
  </si>
  <si>
    <t xml:space="preserve">     (due with in one years)</t>
  </si>
  <si>
    <t>34. Inventory :</t>
  </si>
  <si>
    <t xml:space="preserve">     (a) Raw Materials Imp.(incl.stores)-Ind</t>
  </si>
  <si>
    <t xml:space="preserve">     (b) Stock-in-process</t>
  </si>
  <si>
    <t>debtors</t>
  </si>
  <si>
    <t xml:space="preserve">     (c) Finished Goods</t>
  </si>
  <si>
    <t>stock</t>
  </si>
  <si>
    <t xml:space="preserve">     (d) Other consumables spares</t>
  </si>
  <si>
    <t>Less Cr</t>
  </si>
  <si>
    <t xml:space="preserve">    e) Goods in Transit</t>
  </si>
  <si>
    <t>35. Advances to supplies or raw materials and</t>
  </si>
  <si>
    <t xml:space="preserve">     store/ spares consumables.</t>
  </si>
  <si>
    <t>36. Advance payment of taxes</t>
  </si>
  <si>
    <t xml:space="preserve">37. Other current assets. </t>
  </si>
  <si>
    <t>38. Total Current Assets (Total of items 30 to37)</t>
  </si>
  <si>
    <r>
      <rPr>
        <b/>
        <u val="single"/>
        <sz val="12"/>
        <rFont val="Arial"/>
        <family val="2"/>
      </rPr>
      <t>Fixed Assets</t>
    </r>
    <r>
      <rPr>
        <b/>
        <sz val="12"/>
        <rFont val="Arial"/>
        <family val="2"/>
      </rPr>
      <t xml:space="preserve"> :</t>
    </r>
  </si>
  <si>
    <t>39.Gross block (Land Building machinery,</t>
  </si>
  <si>
    <t xml:space="preserve">     constructions in progress etc.)</t>
  </si>
  <si>
    <t>40.Depreciation to date</t>
  </si>
  <si>
    <t>41.Net Block (39-40)</t>
  </si>
  <si>
    <r>
      <rPr>
        <b/>
        <u val="single"/>
        <sz val="12"/>
        <rFont val="Arial"/>
        <family val="2"/>
      </rPr>
      <t>Other Non Current Assets</t>
    </r>
    <r>
      <rPr>
        <b/>
        <sz val="12"/>
        <rFont val="Arial"/>
        <family val="2"/>
      </rPr>
      <t xml:space="preserve"> :</t>
    </r>
  </si>
  <si>
    <t>42.Investments/book debts/advance/deposits</t>
  </si>
  <si>
    <t xml:space="preserve">    which are not current assets.</t>
  </si>
  <si>
    <t>(a)i Investment in subsidary Companies/</t>
  </si>
  <si>
    <t xml:space="preserve">     affidavits etc)</t>
  </si>
  <si>
    <t xml:space="preserve">  ii) Others</t>
  </si>
  <si>
    <t xml:space="preserve">(b) Advances to supplies of capital goods </t>
  </si>
  <si>
    <t xml:space="preserve">    spares and contractors for capital expenditure</t>
  </si>
  <si>
    <t>(c) Deferred receivables maturing beyond one</t>
  </si>
  <si>
    <t>43.Non-consumables store and spares</t>
  </si>
  <si>
    <t xml:space="preserve">44.Other miscelaneous assets </t>
  </si>
  <si>
    <t>Debtors(more than six month)</t>
  </si>
  <si>
    <t>45.Total other non-current assets</t>
  </si>
  <si>
    <t xml:space="preserve">    (42+ 43 + 44 )</t>
  </si>
  <si>
    <t>46.Intangible assets (patents goodwill premliminary</t>
  </si>
  <si>
    <t xml:space="preserve">     and formation Exp. Bad/doubtfull debts not</t>
  </si>
  <si>
    <t xml:space="preserve">     provided for etc.)</t>
  </si>
  <si>
    <t>47.Total Assets</t>
  </si>
  <si>
    <t xml:space="preserve">    (38 + 41 + 45 + 46)</t>
  </si>
  <si>
    <t>48. Trangible net worth ( 28-46)</t>
  </si>
  <si>
    <t>49. Net working capital</t>
  </si>
  <si>
    <t>50. Current Ratio (Item 38/13)</t>
  </si>
  <si>
    <t>51. Total Outside Liabilities/</t>
  </si>
  <si>
    <t xml:space="preserve">           Tangible Net Worth(21/48)</t>
  </si>
  <si>
    <t>52. Total Term Liabilities/</t>
  </si>
  <si>
    <t xml:space="preserve">           Tangible Net Worth</t>
  </si>
  <si>
    <t>FUNDS FLOW STATEMENT</t>
  </si>
  <si>
    <t>31.03.14</t>
  </si>
  <si>
    <t>31.03.15</t>
  </si>
  <si>
    <t>31.03.16</t>
  </si>
  <si>
    <t>31.03.17</t>
  </si>
  <si>
    <t>Projection</t>
  </si>
  <si>
    <r>
      <rPr>
        <b/>
        <u val="single"/>
        <sz val="10"/>
        <rFont val="Arial"/>
        <family val="2"/>
      </rPr>
      <t>SOURCES</t>
    </r>
    <r>
      <rPr>
        <b/>
        <i/>
        <sz val="10"/>
        <rFont val="Arial"/>
        <family val="2"/>
      </rPr>
      <t xml:space="preserve"> :</t>
    </r>
  </si>
  <si>
    <t>Profit before tax</t>
  </si>
  <si>
    <t>Add : Depreciation Inv. Allowance</t>
  </si>
  <si>
    <t>Gross Funds Generated</t>
  </si>
  <si>
    <t>Less : Taxes paid/payable</t>
  </si>
  <si>
    <t>Add : Preliminary expenses</t>
  </si>
  <si>
    <t>A: Sub -total : Net Fund Generated</t>
  </si>
  <si>
    <t>Increase in :</t>
  </si>
  <si>
    <t>a) Capital</t>
  </si>
  <si>
    <t>b) Term Loans/debentures</t>
  </si>
  <si>
    <t>b) Deffered payments</t>
  </si>
  <si>
    <t>c) Public deposit/ Unsecured Loan</t>
  </si>
  <si>
    <t xml:space="preserve">e) Investment </t>
  </si>
  <si>
    <t xml:space="preserve">    Term Loan</t>
  </si>
  <si>
    <t xml:space="preserve">   Housing Loan</t>
  </si>
  <si>
    <t>Decrease In :</t>
  </si>
  <si>
    <t>a) Fixed Assets</t>
  </si>
  <si>
    <t>b) Inter-corporate investment and advance</t>
  </si>
  <si>
    <t>c) Other non-current assets</t>
  </si>
  <si>
    <t>B) Sub Total :</t>
  </si>
  <si>
    <t>Increase in Short term Bank borrowings.</t>
  </si>
  <si>
    <t>Increase in other current liabilities</t>
  </si>
  <si>
    <t>Decrease in inventory</t>
  </si>
  <si>
    <t xml:space="preserve">Decrease in Receivables </t>
  </si>
  <si>
    <t>Decrease in other current assets</t>
  </si>
  <si>
    <t>C) Sub Total</t>
  </si>
  <si>
    <t>Total funds available (A+ B + C)</t>
  </si>
  <si>
    <t>Uses</t>
  </si>
  <si>
    <t xml:space="preserve">Increase in fixed assets </t>
  </si>
  <si>
    <t>Decreases :</t>
  </si>
  <si>
    <t>Aa) Term loan/Debentures/Deferred payment</t>
  </si>
  <si>
    <t>b) Public deposits/ Unsecured Loan</t>
  </si>
  <si>
    <t xml:space="preserve">   Other Unsecured Loans from Banks</t>
  </si>
  <si>
    <t xml:space="preserve">   car Loan</t>
  </si>
  <si>
    <t>c) Capital/Inv. Allowance Increase in Inter-Corpn.</t>
  </si>
  <si>
    <t xml:space="preserve">    Investment and advances Increase in other </t>
  </si>
  <si>
    <t xml:space="preserve">    non-current assets</t>
  </si>
  <si>
    <t>Decrease in other current liablities</t>
  </si>
  <si>
    <t>Increase in inventory</t>
  </si>
  <si>
    <t>Increase in Receivables</t>
  </si>
  <si>
    <t>Increase in other current assets</t>
  </si>
  <si>
    <t>E) : Sub Total :</t>
  </si>
  <si>
    <t>Loss</t>
  </si>
  <si>
    <t>Less : Inv. Allowance</t>
  </si>
  <si>
    <t xml:space="preserve">          Depreciation</t>
  </si>
  <si>
    <t xml:space="preserve">          Balance Gross funds lost (-) or</t>
  </si>
  <si>
    <t xml:space="preserve">          Gross funds generated (+)</t>
  </si>
  <si>
    <t>Add : Taxes paid/payable</t>
  </si>
  <si>
    <t>Add : Dividends paid/payable</t>
  </si>
  <si>
    <t>F) Sub-Total :</t>
  </si>
  <si>
    <t>Total funds used (D+E+F)</t>
  </si>
  <si>
    <t>SUMMARY :</t>
  </si>
  <si>
    <t>Long term sources</t>
  </si>
  <si>
    <t>(a+b-f, if F is -ve)</t>
  </si>
  <si>
    <t>Less-Long term uses</t>
  </si>
  <si>
    <t>( d - g )</t>
  </si>
  <si>
    <t>Surplues (+)/ short fall (-)</t>
  </si>
  <si>
    <t>Short-term Sources ( C)</t>
  </si>
  <si>
    <t>Less : Short term uses (E)</t>
  </si>
  <si>
    <t>Surplus (+)/ Short Fall (-)</t>
  </si>
  <si>
    <t>FORM -IV</t>
  </si>
  <si>
    <t>COMPRAATIVE STATEMENT OF</t>
  </si>
  <si>
    <t>CURRENT ASSETS &amp; CURRENT LIABILITIES</t>
  </si>
  <si>
    <t>Actual</t>
  </si>
  <si>
    <t>ESTIMATED</t>
  </si>
  <si>
    <t>PROJ.</t>
  </si>
  <si>
    <t>31.03.11</t>
  </si>
  <si>
    <t>31.03.12</t>
  </si>
  <si>
    <t>31.03.13</t>
  </si>
  <si>
    <t>A.</t>
  </si>
  <si>
    <t>CURRENT ASSETS</t>
  </si>
  <si>
    <t>Raw Materials (including stores and other</t>
  </si>
  <si>
    <t>items used in the process of manufacture)</t>
  </si>
  <si>
    <t>(a)</t>
  </si>
  <si>
    <t>Imported</t>
  </si>
  <si>
    <t>(Months consumption)</t>
  </si>
  <si>
    <t>(b)</t>
  </si>
  <si>
    <t>Indigenous</t>
  </si>
  <si>
    <t xml:space="preserve">Other consumable spares ( excluding </t>
  </si>
  <si>
    <t>those in 1 above)</t>
  </si>
  <si>
    <t>Work-in-progress</t>
  </si>
  <si>
    <t>(Months cost of production)</t>
  </si>
  <si>
    <t>Finished goods</t>
  </si>
  <si>
    <t>(Months cost of sales)</t>
  </si>
  <si>
    <t>Receivables other than export and defferred</t>
  </si>
  <si>
    <t>(including bills purchased &amp; discounted by</t>
  </si>
  <si>
    <t>bankers)</t>
  </si>
  <si>
    <t>Months domestic sales :</t>
  </si>
  <si>
    <t>Excluding defferred payment sales :</t>
  </si>
  <si>
    <t>Export receivables</t>
  </si>
  <si>
    <t>(Including bills purchased and discounted by)</t>
  </si>
  <si>
    <t>Months Export Sales :</t>
  </si>
  <si>
    <t>Advances to supplies of raw materials and</t>
  </si>
  <si>
    <t>sotores,spares consumables</t>
  </si>
  <si>
    <t>Advance Income Tax</t>
  </si>
  <si>
    <t>Other current assets excluding cash and</t>
  </si>
  <si>
    <t>bank balance and defferred receivables due</t>
  </si>
  <si>
    <t>within one year (specify major items)</t>
  </si>
  <si>
    <t>Cash &amp; Bank Balances</t>
  </si>
  <si>
    <t>Total Current assets ( to agree with item 38</t>
  </si>
  <si>
    <t>in form III)</t>
  </si>
  <si>
    <t>II</t>
  </si>
  <si>
    <t>Current Liablities</t>
  </si>
  <si>
    <t>(Other than bank borrowings for working</t>
  </si>
  <si>
    <t>capital)</t>
  </si>
  <si>
    <t>Creditors for purcahses of raw materials and</t>
  </si>
  <si>
    <t>stores and consumables spares</t>
  </si>
  <si>
    <t>Adance from Customers</t>
  </si>
  <si>
    <t xml:space="preserve">Statutory liabilities </t>
  </si>
  <si>
    <t>Provision for Gratuity</t>
  </si>
  <si>
    <t>Provision for Taxation</t>
  </si>
  <si>
    <t>Other current liabilities (major items to be</t>
  </si>
  <si>
    <t>specified)</t>
  </si>
  <si>
    <t>Short term borrowings/unsecured loan's /</t>
  </si>
  <si>
    <t>dividend payable/instalment of T.L./DIP</t>
  </si>
  <si>
    <t>Installment of Term Loan</t>
  </si>
  <si>
    <t>Others</t>
  </si>
  <si>
    <t>Total</t>
  </si>
  <si>
    <t>(To agree with sub-total in Form III)</t>
  </si>
  <si>
    <t>I</t>
  </si>
  <si>
    <t>Total current Assets (9 in form IV)</t>
  </si>
  <si>
    <t>Total Current Liabilities (Other than bank</t>
  </si>
  <si>
    <t>borrowing) (14 of form IV)</t>
  </si>
  <si>
    <t>III</t>
  </si>
  <si>
    <t>Working Capital Gap (WCC) ( I-II)</t>
  </si>
  <si>
    <t>IV</t>
  </si>
  <si>
    <t>Actual /Projected Bank Borrowings</t>
  </si>
  <si>
    <t>V</t>
  </si>
  <si>
    <t>Total Current Liabilities ( II + IV)</t>
  </si>
  <si>
    <t>VI</t>
  </si>
  <si>
    <t>Actual / projected net working capital (I-V)</t>
  </si>
  <si>
    <t>VII</t>
  </si>
  <si>
    <t>Minimum Stipulated Net Working Capital</t>
  </si>
  <si>
    <t>(25% of iii or I as case may be)</t>
  </si>
  <si>
    <t>VIII</t>
  </si>
  <si>
    <t>Item III- Item VII</t>
  </si>
  <si>
    <t>IX</t>
  </si>
  <si>
    <t>Item III- Item VI</t>
  </si>
  <si>
    <t>X</t>
  </si>
  <si>
    <t>Maximum Permissible Bank Finance (Item</t>
  </si>
  <si>
    <t>VIII or Item IX whichever is lower)</t>
  </si>
  <si>
    <t>XI</t>
  </si>
  <si>
    <t>Excess Borrowings (representing shortfall in</t>
  </si>
  <si>
    <t xml:space="preserve">Net working Capital to be converted into </t>
  </si>
  <si>
    <t>Working Capital Term Loan)</t>
  </si>
  <si>
    <t>Annexure 3.1</t>
  </si>
  <si>
    <t>CALCULATION OF INTEREST ON TERM LOAN</t>
  </si>
  <si>
    <t xml:space="preserve">  Principal</t>
  </si>
  <si>
    <t xml:space="preserve">  Repayment</t>
  </si>
  <si>
    <t xml:space="preserve">     Balance</t>
  </si>
  <si>
    <t>Interest</t>
  </si>
  <si>
    <t>Yearly</t>
  </si>
  <si>
    <t>Working days</t>
  </si>
  <si>
    <t xml:space="preserve"> outstanding</t>
  </si>
  <si>
    <t>per quarter</t>
  </si>
  <si>
    <t>2019-20</t>
  </si>
  <si>
    <r>
      <rPr>
        <sz val="8"/>
        <rFont val="Arial"/>
        <family val="2"/>
      </rPr>
      <t>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2"/>
      </rPr>
      <t>.Quarter</t>
    </r>
  </si>
  <si>
    <r>
      <rPr>
        <sz val="8"/>
        <rFont val="Arial"/>
        <family val="2"/>
      </rPr>
      <t>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>.Quarter</t>
    </r>
  </si>
  <si>
    <r>
      <rPr>
        <sz val="8"/>
        <rFont val="Arial"/>
        <family val="2"/>
      </rPr>
      <t>3</t>
    </r>
    <r>
      <rPr>
        <vertAlign val="superscript"/>
        <sz val="8"/>
        <rFont val="Arial"/>
        <family val="2"/>
      </rPr>
      <t>rd</t>
    </r>
    <r>
      <rPr>
        <sz val="8"/>
        <rFont val="Arial"/>
        <family val="2"/>
      </rPr>
      <t>.Quarter</t>
    </r>
  </si>
  <si>
    <r>
      <rPr>
        <sz val="8"/>
        <rFont val="Arial"/>
        <family val="2"/>
      </rPr>
      <t>4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>.Quarter</t>
    </r>
  </si>
  <si>
    <t xml:space="preserve"> TOTAL</t>
  </si>
  <si>
    <t>2020-21</t>
  </si>
  <si>
    <t>2021-22</t>
  </si>
  <si>
    <t>2022-23</t>
  </si>
  <si>
    <t>2023-24</t>
  </si>
  <si>
    <t>2024-25</t>
  </si>
  <si>
    <t>2025-26</t>
  </si>
  <si>
    <t>2026-26</t>
  </si>
  <si>
    <t>Net Profit</t>
  </si>
  <si>
    <t>Depreciation</t>
  </si>
  <si>
    <t>Intt.on T/L</t>
  </si>
  <si>
    <t>Total- A</t>
  </si>
  <si>
    <t>Intt. On T/L</t>
  </si>
  <si>
    <t>Install. Of T/L</t>
  </si>
  <si>
    <t>Total- B</t>
  </si>
  <si>
    <t>DSCR-A/B</t>
  </si>
  <si>
    <t>Avg. DSCR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</si>
</sst>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0"/>
    <numFmt numFmtId="167" formatCode="0.0000"/>
    <numFmt numFmtId="168" formatCode="General"/>
    <numFmt numFmtId="169" formatCode="_(* #,##0.00_);_(* \(#,##0.00\);_(* \-??_);_(@_)"/>
    <numFmt numFmtId="170" formatCode="_(* #,##0_);_(* \(#,##0\);_(* \-??_);_(@_)"/>
    <numFmt numFmtId="171" formatCode="0.00%"/>
    <numFmt numFmtId="172" formatCode="0.00000"/>
  </numFmts>
  <fonts count="1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4" xfId="0" applyFont="1" applyBorder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5" fontId="1" fillId="0" borderId="6" xfId="0" applyNumberFormat="1" applyFont="1" applyBorder="1" applyAlignment="1">
      <alignment/>
    </xf>
    <xf numFmtId="164" fontId="1" fillId="2" borderId="0" xfId="0" applyFont="1" applyFill="1" applyAlignment="1">
      <alignment/>
    </xf>
    <xf numFmtId="165" fontId="1" fillId="2" borderId="0" xfId="0" applyNumberFormat="1" applyFont="1" applyFill="1" applyAlignment="1">
      <alignment/>
    </xf>
    <xf numFmtId="167" fontId="1" fillId="0" borderId="0" xfId="0" applyNumberFormat="1" applyFont="1" applyAlignment="1">
      <alignment/>
    </xf>
    <xf numFmtId="165" fontId="1" fillId="0" borderId="0" xfId="0" applyNumberFormat="1" applyFont="1" applyFill="1" applyAlignment="1">
      <alignment/>
    </xf>
    <xf numFmtId="164" fontId="1" fillId="0" borderId="0" xfId="0" applyFont="1" applyFill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9" xfId="0" applyFont="1" applyBorder="1" applyAlignment="1">
      <alignment/>
    </xf>
    <xf numFmtId="164" fontId="3" fillId="0" borderId="0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Alignment="1">
      <alignment/>
    </xf>
    <xf numFmtId="165" fontId="2" fillId="0" borderId="1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0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4" fontId="0" fillId="0" borderId="2" xfId="0" applyFont="1" applyFill="1" applyBorder="1" applyAlignment="1">
      <alignment/>
    </xf>
    <xf numFmtId="164" fontId="0" fillId="0" borderId="4" xfId="0" applyFont="1" applyFill="1" applyBorder="1" applyAlignment="1">
      <alignment/>
    </xf>
    <xf numFmtId="164" fontId="4" fillId="0" borderId="4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7" xfId="0" applyFont="1" applyFill="1" applyBorder="1" applyAlignment="1">
      <alignment/>
    </xf>
    <xf numFmtId="164" fontId="0" fillId="0" borderId="5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3" xfId="0" applyFont="1" applyFill="1" applyBorder="1" applyAlignment="1">
      <alignment/>
    </xf>
    <xf numFmtId="164" fontId="0" fillId="0" borderId="9" xfId="0" applyFont="1" applyFill="1" applyBorder="1" applyAlignment="1">
      <alignment/>
    </xf>
    <xf numFmtId="164" fontId="5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4" fontId="4" fillId="0" borderId="0" xfId="0" applyFont="1" applyFill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1" fillId="0" borderId="2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6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70" fontId="1" fillId="0" borderId="0" xfId="15" applyNumberFormat="1" applyFont="1" applyFill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4" fontId="0" fillId="0" borderId="0" xfId="20">
      <alignment/>
      <protection/>
    </xf>
    <xf numFmtId="164" fontId="4" fillId="0" borderId="0" xfId="20" applyFont="1">
      <alignment/>
      <protection/>
    </xf>
    <xf numFmtId="164" fontId="7" fillId="0" borderId="0" xfId="20" applyNumberFormat="1" applyFont="1" applyBorder="1" applyAlignment="1">
      <alignment horizontal="center"/>
      <protection/>
    </xf>
    <xf numFmtId="164" fontId="8" fillId="0" borderId="0" xfId="20" applyFont="1" applyBorder="1" applyAlignment="1">
      <alignment horizontal="center"/>
      <protection/>
    </xf>
    <xf numFmtId="164" fontId="9" fillId="0" borderId="0" xfId="20" applyFont="1">
      <alignment/>
      <protection/>
    </xf>
    <xf numFmtId="164" fontId="10" fillId="0" borderId="0" xfId="20" applyFont="1">
      <alignment/>
      <protection/>
    </xf>
    <xf numFmtId="164" fontId="8" fillId="0" borderId="0" xfId="20" applyFont="1">
      <alignment/>
      <protection/>
    </xf>
    <xf numFmtId="164" fontId="8" fillId="0" borderId="12" xfId="20" applyFont="1" applyBorder="1">
      <alignment/>
      <protection/>
    </xf>
    <xf numFmtId="164" fontId="8" fillId="0" borderId="13" xfId="20" applyFont="1" applyBorder="1">
      <alignment/>
      <protection/>
    </xf>
    <xf numFmtId="164" fontId="8" fillId="0" borderId="14" xfId="20" applyFont="1" applyBorder="1" applyAlignment="1">
      <alignment horizontal="center"/>
      <protection/>
    </xf>
    <xf numFmtId="164" fontId="8" fillId="0" borderId="15" xfId="20" applyFont="1" applyBorder="1">
      <alignment/>
      <protection/>
    </xf>
    <xf numFmtId="164" fontId="8" fillId="0" borderId="14" xfId="20" applyFont="1" applyBorder="1">
      <alignment/>
      <protection/>
    </xf>
    <xf numFmtId="164" fontId="8" fillId="0" borderId="15" xfId="20" applyFont="1" applyBorder="1" applyAlignment="1">
      <alignment horizontal="center"/>
      <protection/>
    </xf>
    <xf numFmtId="164" fontId="8" fillId="0" borderId="16" xfId="20" applyFont="1" applyBorder="1" applyAlignment="1">
      <alignment horizontal="center"/>
      <protection/>
    </xf>
    <xf numFmtId="164" fontId="8" fillId="0" borderId="17" xfId="20" applyFont="1" applyBorder="1">
      <alignment/>
      <protection/>
    </xf>
    <xf numFmtId="164" fontId="8" fillId="0" borderId="9" xfId="20" applyFont="1" applyBorder="1">
      <alignment/>
      <protection/>
    </xf>
    <xf numFmtId="164" fontId="8" fillId="0" borderId="17" xfId="20" applyFont="1" applyBorder="1" applyAlignment="1">
      <alignment horizontal="center"/>
      <protection/>
    </xf>
    <xf numFmtId="164" fontId="8" fillId="0" borderId="4" xfId="20" applyFont="1" applyBorder="1">
      <alignment/>
      <protection/>
    </xf>
    <xf numFmtId="171" fontId="8" fillId="0" borderId="4" xfId="20" applyNumberFormat="1" applyFont="1" applyBorder="1" applyAlignment="1">
      <alignment horizontal="center"/>
      <protection/>
    </xf>
    <xf numFmtId="164" fontId="8" fillId="0" borderId="18" xfId="20" applyFont="1" applyBorder="1" applyAlignment="1">
      <alignment horizontal="center"/>
      <protection/>
    </xf>
    <xf numFmtId="164" fontId="10" fillId="0" borderId="11" xfId="20" applyFont="1" applyBorder="1">
      <alignment/>
      <protection/>
    </xf>
    <xf numFmtId="165" fontId="10" fillId="0" borderId="17" xfId="20" applyNumberFormat="1" applyFont="1" applyBorder="1">
      <alignment/>
      <protection/>
    </xf>
    <xf numFmtId="165" fontId="10" fillId="0" borderId="11" xfId="20" applyNumberFormat="1" applyFont="1" applyBorder="1">
      <alignment/>
      <protection/>
    </xf>
    <xf numFmtId="165" fontId="10" fillId="0" borderId="18" xfId="20" applyNumberFormat="1" applyFont="1" applyBorder="1">
      <alignment/>
      <protection/>
    </xf>
    <xf numFmtId="165" fontId="10" fillId="0" borderId="19" xfId="20" applyNumberFormat="1" applyFont="1" applyBorder="1">
      <alignment/>
      <protection/>
    </xf>
    <xf numFmtId="165" fontId="10" fillId="0" borderId="11" xfId="20" applyNumberFormat="1" applyFont="1" applyFill="1" applyBorder="1">
      <alignment/>
      <protection/>
    </xf>
    <xf numFmtId="164" fontId="0" fillId="2" borderId="0" xfId="20" applyFill="1">
      <alignment/>
      <protection/>
    </xf>
    <xf numFmtId="165" fontId="10" fillId="0" borderId="12" xfId="20" applyNumberFormat="1" applyFont="1" applyBorder="1">
      <alignment/>
      <protection/>
    </xf>
    <xf numFmtId="165" fontId="8" fillId="0" borderId="20" xfId="20" applyNumberFormat="1" applyFont="1" applyBorder="1">
      <alignment/>
      <protection/>
    </xf>
    <xf numFmtId="165" fontId="10" fillId="0" borderId="21" xfId="20" applyNumberFormat="1" applyFont="1" applyBorder="1" applyAlignment="1">
      <alignment horizontal="center"/>
      <protection/>
    </xf>
    <xf numFmtId="165" fontId="10" fillId="0" borderId="21" xfId="20" applyNumberFormat="1" applyFont="1" applyBorder="1">
      <alignment/>
      <protection/>
    </xf>
    <xf numFmtId="165" fontId="10" fillId="0" borderId="22" xfId="20" applyNumberFormat="1" applyFont="1" applyBorder="1">
      <alignment/>
      <protection/>
    </xf>
    <xf numFmtId="172" fontId="0" fillId="0" borderId="0" xfId="20" applyNumberFormat="1">
      <alignment/>
      <protection/>
    </xf>
    <xf numFmtId="165" fontId="10" fillId="0" borderId="16" xfId="20" applyNumberFormat="1" applyFont="1" applyBorder="1">
      <alignment/>
      <protection/>
    </xf>
    <xf numFmtId="165" fontId="10" fillId="0" borderId="23" xfId="20" applyNumberFormat="1" applyFont="1" applyBorder="1">
      <alignment/>
      <protection/>
    </xf>
    <xf numFmtId="165" fontId="8" fillId="0" borderId="24" xfId="20" applyNumberFormat="1" applyFont="1" applyBorder="1">
      <alignment/>
      <protection/>
    </xf>
    <xf numFmtId="164" fontId="10" fillId="0" borderId="21" xfId="20" applyFont="1" applyBorder="1">
      <alignment/>
      <protection/>
    </xf>
    <xf numFmtId="164" fontId="10" fillId="0" borderId="22" xfId="20" applyFont="1" applyBorder="1">
      <alignment/>
      <protection/>
    </xf>
    <xf numFmtId="164" fontId="10" fillId="0" borderId="16" xfId="20" applyFont="1" applyBorder="1">
      <alignment/>
      <protection/>
    </xf>
    <xf numFmtId="164" fontId="10" fillId="0" borderId="23" xfId="20" applyFont="1" applyBorder="1">
      <alignment/>
      <protection/>
    </xf>
    <xf numFmtId="164" fontId="10" fillId="0" borderId="21" xfId="20" applyFont="1" applyBorder="1" applyAlignment="1">
      <alignment horizontal="center"/>
      <protection/>
    </xf>
    <xf numFmtId="164" fontId="4" fillId="0" borderId="0" xfId="0" applyFont="1" applyAlignment="1">
      <alignment/>
    </xf>
    <xf numFmtId="164" fontId="12" fillId="0" borderId="11" xfId="0" applyFont="1" applyBorder="1" applyAlignment="1">
      <alignment vertical="top" wrapText="1"/>
    </xf>
    <xf numFmtId="164" fontId="13" fillId="0" borderId="11" xfId="0" applyFont="1" applyBorder="1" applyAlignment="1">
      <alignment vertical="top" wrapText="1"/>
    </xf>
    <xf numFmtId="164" fontId="0" fillId="0" borderId="11" xfId="0" applyFont="1" applyBorder="1" applyAlignment="1">
      <alignment/>
    </xf>
    <xf numFmtId="164" fontId="14" fillId="0" borderId="11" xfId="0" applyFont="1" applyBorder="1" applyAlignment="1">
      <alignment vertical="top" wrapText="1"/>
    </xf>
    <xf numFmtId="165" fontId="14" fillId="0" borderId="11" xfId="0" applyNumberFormat="1" applyFont="1" applyBorder="1" applyAlignment="1">
      <alignment vertical="top" wrapText="1"/>
    </xf>
    <xf numFmtId="165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165" fontId="4" fillId="0" borderId="11" xfId="0" applyNumberFormat="1" applyFont="1" applyBorder="1" applyAlignment="1">
      <alignment/>
    </xf>
    <xf numFmtId="165" fontId="15" fillId="0" borderId="11" xfId="0" applyNumberFormat="1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UDIT%20&amp;%20I%20TAX\FINANCE\RATAN%20H.P.%20GAS\PROVISION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Sch - liab"/>
      <sheetName val="Dep Chart"/>
      <sheetName val="Sch - assets"/>
      <sheetName val="Sch - PL"/>
    </sheetNames>
    <sheetDataSet>
      <sheetData sheetId="5">
        <row r="22">
          <cell r="B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view="pageBreakPreview" zoomScale="85" zoomScaleSheetLayoutView="85" workbookViewId="0" topLeftCell="A34">
      <selection activeCell="A4" sqref="A4"/>
    </sheetView>
  </sheetViews>
  <sheetFormatPr defaultColWidth="9.140625" defaultRowHeight="12.75"/>
  <cols>
    <col min="1" max="1" width="49.421875" style="1" customWidth="1"/>
    <col min="2" max="2" width="13.57421875" style="1" hidden="1" customWidth="1"/>
    <col min="3" max="3" width="13.57421875" style="1" customWidth="1"/>
    <col min="4" max="9" width="12.140625" style="1" customWidth="1"/>
    <col min="10" max="16384" width="9.140625" style="1" customWidth="1"/>
  </cols>
  <sheetData>
    <row r="1" ht="15.75">
      <c r="A1" s="2" t="s">
        <v>0</v>
      </c>
    </row>
    <row r="3" ht="15.75">
      <c r="A3" s="2" t="s">
        <v>1</v>
      </c>
    </row>
    <row r="6" spans="1:9" ht="15">
      <c r="A6" s="3" t="s">
        <v>2</v>
      </c>
      <c r="B6" s="4"/>
      <c r="C6" s="4"/>
      <c r="D6" s="4"/>
      <c r="E6" s="4"/>
      <c r="F6" s="4"/>
      <c r="G6" s="4"/>
      <c r="H6" s="4"/>
      <c r="I6" s="4"/>
    </row>
    <row r="7" spans="1:9" ht="15.75">
      <c r="A7" s="5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</row>
    <row r="8" spans="1:9" ht="15">
      <c r="A8" s="3"/>
      <c r="B8" s="4" t="s">
        <v>12</v>
      </c>
      <c r="C8" s="4" t="s">
        <v>12</v>
      </c>
      <c r="D8" s="4" t="s">
        <v>12</v>
      </c>
      <c r="E8" s="4" t="s">
        <v>12</v>
      </c>
      <c r="F8" s="4" t="s">
        <v>12</v>
      </c>
      <c r="G8" s="4" t="s">
        <v>12</v>
      </c>
      <c r="H8" s="4" t="s">
        <v>12</v>
      </c>
      <c r="I8" s="4" t="s">
        <v>12</v>
      </c>
    </row>
    <row r="9" spans="1:9" ht="15">
      <c r="A9" s="7"/>
      <c r="B9" s="8" t="s">
        <v>13</v>
      </c>
      <c r="C9" s="8" t="s">
        <v>13</v>
      </c>
      <c r="D9" s="8" t="s">
        <v>13</v>
      </c>
      <c r="E9" s="8" t="s">
        <v>13</v>
      </c>
      <c r="F9" s="8" t="s">
        <v>13</v>
      </c>
      <c r="G9" s="8" t="s">
        <v>13</v>
      </c>
      <c r="H9" s="8" t="s">
        <v>13</v>
      </c>
      <c r="I9" s="8" t="s">
        <v>13</v>
      </c>
    </row>
    <row r="10" spans="1:13" ht="15">
      <c r="A10" s="5"/>
      <c r="B10" s="9"/>
      <c r="C10" s="9"/>
      <c r="D10" s="9" t="s">
        <v>14</v>
      </c>
      <c r="E10" s="9" t="s">
        <v>14</v>
      </c>
      <c r="F10" s="9" t="s">
        <v>14</v>
      </c>
      <c r="G10" s="9" t="s">
        <v>14</v>
      </c>
      <c r="H10" s="9" t="s">
        <v>14</v>
      </c>
      <c r="I10" s="9" t="s">
        <v>14</v>
      </c>
      <c r="L10" s="1">
        <f>+B12/300*45</f>
        <v>0</v>
      </c>
      <c r="M10" s="1">
        <f>+(L10-2)*0.75</f>
        <v>-1.5</v>
      </c>
    </row>
    <row r="11" spans="1:13" ht="15">
      <c r="A11" s="8"/>
      <c r="B11" s="8"/>
      <c r="C11" s="8"/>
      <c r="D11" s="8"/>
      <c r="E11" s="8"/>
      <c r="F11" s="8"/>
      <c r="G11" s="8"/>
      <c r="H11" s="8"/>
      <c r="I11" s="8"/>
      <c r="L11" s="1">
        <f>+L10</f>
        <v>0</v>
      </c>
      <c r="M11" s="1">
        <f>+L11*0.6</f>
        <v>0</v>
      </c>
    </row>
    <row r="12" spans="1:13" ht="15">
      <c r="A12" s="8" t="s">
        <v>15</v>
      </c>
      <c r="B12" s="10"/>
      <c r="C12" s="10"/>
      <c r="D12" s="10"/>
      <c r="E12" s="10"/>
      <c r="F12" s="10"/>
      <c r="G12" s="10"/>
      <c r="H12" s="10"/>
      <c r="I12" s="10"/>
      <c r="M12" s="1">
        <f>+M11+M10</f>
        <v>-1.5</v>
      </c>
    </row>
    <row r="13" spans="1:9" ht="15">
      <c r="A13" s="8" t="s">
        <v>16</v>
      </c>
      <c r="B13" s="11"/>
      <c r="C13" s="11"/>
      <c r="D13" s="11"/>
      <c r="E13" s="11"/>
      <c r="F13" s="11"/>
      <c r="G13" s="11"/>
      <c r="H13" s="11"/>
      <c r="I13" s="11"/>
    </row>
    <row r="14" spans="1:9" ht="15">
      <c r="A14" s="1" t="s">
        <v>17</v>
      </c>
      <c r="B14" s="10"/>
      <c r="C14" s="10">
        <v>272.3</v>
      </c>
      <c r="D14" s="10">
        <v>275</v>
      </c>
      <c r="E14" s="10">
        <v>280</v>
      </c>
      <c r="F14" s="10">
        <v>300</v>
      </c>
      <c r="G14" s="10">
        <v>310</v>
      </c>
      <c r="H14" s="10">
        <v>320</v>
      </c>
      <c r="I14" s="10">
        <v>320</v>
      </c>
    </row>
    <row r="15" spans="1:9" ht="15">
      <c r="A15" s="1" t="s">
        <v>18</v>
      </c>
      <c r="B15" s="10"/>
      <c r="C15" s="10"/>
      <c r="D15" s="10"/>
      <c r="E15" s="10"/>
      <c r="F15" s="10"/>
      <c r="G15" s="10"/>
      <c r="H15" s="10"/>
      <c r="I15" s="10"/>
    </row>
    <row r="16" spans="1:9" ht="15">
      <c r="A16" s="1" t="s">
        <v>19</v>
      </c>
      <c r="B16" s="10"/>
      <c r="C16" s="10"/>
      <c r="D16" s="10"/>
      <c r="E16" s="10"/>
      <c r="F16" s="10"/>
      <c r="G16" s="10"/>
      <c r="H16" s="10"/>
      <c r="I16" s="10"/>
    </row>
    <row r="17" spans="1:9" ht="15">
      <c r="A17" s="1" t="s">
        <v>20</v>
      </c>
      <c r="B17" s="12">
        <f>B14-B16</f>
        <v>0</v>
      </c>
      <c r="C17" s="12">
        <f>C14-C16</f>
        <v>272.3</v>
      </c>
      <c r="D17" s="12">
        <f>D14-D16</f>
        <v>275</v>
      </c>
      <c r="E17" s="12">
        <f>E14-E16</f>
        <v>280</v>
      </c>
      <c r="F17" s="12">
        <f>F14-F16</f>
        <v>300</v>
      </c>
      <c r="G17" s="12">
        <f>G14-G16</f>
        <v>310</v>
      </c>
      <c r="H17" s="12">
        <f>H14-H16</f>
        <v>320</v>
      </c>
      <c r="I17" s="12">
        <f>I14-I16</f>
        <v>320</v>
      </c>
    </row>
    <row r="18" spans="2:9" ht="15">
      <c r="B18" s="10"/>
      <c r="C18" s="10"/>
      <c r="D18" s="10"/>
      <c r="E18" s="10"/>
      <c r="F18" s="10"/>
      <c r="G18" s="10"/>
      <c r="H18" s="10"/>
      <c r="I18" s="10"/>
    </row>
    <row r="19" spans="1:9" ht="15" hidden="1">
      <c r="A19" s="13"/>
      <c r="B19" s="14" t="e">
        <f aca="true" t="shared" si="0" ref="B19:B20">+B84</f>
        <v>#DIV/0!</v>
      </c>
      <c r="C19" s="14">
        <f aca="true" t="shared" si="1" ref="C19:C20">+C84</f>
        <v>7.976496511200882</v>
      </c>
      <c r="D19" s="14">
        <f aca="true" t="shared" si="2" ref="D19:D20">+D84</f>
        <v>8.653999999999996</v>
      </c>
      <c r="E19" s="14">
        <f aca="true" t="shared" si="3" ref="E19:E20">+E84</f>
        <v>9.326169642857138</v>
      </c>
      <c r="F19" s="14">
        <f aca="true" t="shared" si="4" ref="F19:F20">+F84</f>
        <v>9.345081250000002</v>
      </c>
      <c r="G19" s="14">
        <f aca="true" t="shared" si="5" ref="G19:G20">+G84</f>
        <v>9.830551350806422</v>
      </c>
      <c r="H19" s="14">
        <f aca="true" t="shared" si="6" ref="H19:H20">+H84</f>
        <v>10.335954752929695</v>
      </c>
      <c r="I19" s="14">
        <f aca="true" t="shared" si="7" ref="I19:I20">+I84</f>
        <v>10.474412439990228</v>
      </c>
    </row>
    <row r="20" spans="1:9" ht="15" hidden="1">
      <c r="A20" s="13"/>
      <c r="B20" s="14" t="e">
        <f t="shared" si="0"/>
        <v>#DIV/0!</v>
      </c>
      <c r="C20" s="14">
        <f t="shared" si="1"/>
        <v>2.240176276165993</v>
      </c>
      <c r="D20" s="14">
        <f t="shared" si="2"/>
        <v>2.39043835616438</v>
      </c>
      <c r="E20" s="14">
        <f t="shared" si="3"/>
        <v>2.4843425181716468</v>
      </c>
      <c r="F20" s="14">
        <f t="shared" si="4"/>
        <v>2.374614028864972</v>
      </c>
      <c r="G20" s="14">
        <f t="shared" si="5"/>
        <v>2.4604909063900333</v>
      </c>
      <c r="H20" s="14">
        <f t="shared" si="6"/>
        <v>2.5288850366870306</v>
      </c>
      <c r="I20" s="14">
        <f t="shared" si="7"/>
        <v>1.9313893755332778</v>
      </c>
    </row>
    <row r="21" spans="1:9" ht="15" hidden="1">
      <c r="A21" s="13"/>
      <c r="B21" s="14">
        <f>+B82</f>
        <v>0</v>
      </c>
      <c r="C21" s="14">
        <f>+C82</f>
        <v>6.1</v>
      </c>
      <c r="D21" s="14">
        <f>+D82</f>
        <v>6.573705479452045</v>
      </c>
      <c r="E21" s="14">
        <f>+E82</f>
        <v>6.956159050880611</v>
      </c>
      <c r="F21" s="14">
        <f>+F82</f>
        <v>7.123842086594916</v>
      </c>
      <c r="G21" s="14">
        <f>+G82</f>
        <v>7.627521809809103</v>
      </c>
      <c r="H21" s="14">
        <f>+H82</f>
        <v>8.092432117398499</v>
      </c>
      <c r="I21" s="14">
        <f>+I82</f>
        <v>6.180446001706489</v>
      </c>
    </row>
    <row r="22" spans="1:11" ht="15">
      <c r="A22" s="1" t="s">
        <v>21</v>
      </c>
      <c r="B22" s="10"/>
      <c r="C22" s="10"/>
      <c r="D22" s="10"/>
      <c r="E22" s="10"/>
      <c r="F22" s="10"/>
      <c r="G22" s="10"/>
      <c r="H22" s="10"/>
      <c r="I22" s="10"/>
      <c r="K22" s="10"/>
    </row>
    <row r="23" spans="1:11" ht="15">
      <c r="A23" s="1" t="s">
        <v>22</v>
      </c>
      <c r="B23" s="10"/>
      <c r="C23" s="10"/>
      <c r="D23" s="10"/>
      <c r="E23" s="10"/>
      <c r="F23" s="10"/>
      <c r="G23" s="10"/>
      <c r="H23" s="10"/>
      <c r="I23" s="10"/>
      <c r="K23" s="10"/>
    </row>
    <row r="24" spans="1:9" ht="15">
      <c r="A24" s="1" t="s">
        <v>23</v>
      </c>
      <c r="B24" s="10"/>
      <c r="C24" s="10"/>
      <c r="D24" s="10"/>
      <c r="E24" s="10"/>
      <c r="F24" s="10"/>
      <c r="G24" s="10"/>
      <c r="H24" s="10"/>
      <c r="I24" s="10"/>
    </row>
    <row r="25" spans="1:14" ht="15">
      <c r="A25" s="1" t="s">
        <v>24</v>
      </c>
      <c r="B25" s="10"/>
      <c r="C25" s="10"/>
      <c r="D25" s="10"/>
      <c r="E25" s="10"/>
      <c r="F25" s="10"/>
      <c r="G25" s="10"/>
      <c r="H25" s="10"/>
      <c r="I25" s="10"/>
      <c r="M25" s="1">
        <v>2011</v>
      </c>
      <c r="N25" s="1">
        <v>2012</v>
      </c>
    </row>
    <row r="26" spans="12:14" ht="15">
      <c r="L26" s="10" t="s">
        <v>25</v>
      </c>
      <c r="M26" s="1">
        <v>12.19</v>
      </c>
      <c r="N26" s="1">
        <v>27.25</v>
      </c>
    </row>
    <row r="27" spans="1:14" ht="15">
      <c r="A27" s="1" t="s">
        <v>26</v>
      </c>
      <c r="B27" s="10">
        <f>+B17*0.775</f>
        <v>0</v>
      </c>
      <c r="C27" s="10">
        <v>246.25</v>
      </c>
      <c r="D27" s="10">
        <f>+D17*0.905+1</f>
        <v>249.875</v>
      </c>
      <c r="E27" s="10">
        <f>+E17*0.9+1</f>
        <v>253</v>
      </c>
      <c r="F27" s="10">
        <f>+F17*0.9+1.5</f>
        <v>271.5</v>
      </c>
      <c r="G27" s="10">
        <f>+G17*0.8967+1.5</f>
        <v>279.47700000000003</v>
      </c>
      <c r="H27" s="10">
        <f>+H17*0.89+2.5</f>
        <v>287.3</v>
      </c>
      <c r="I27" s="10">
        <f>+I17*0.89+2.5</f>
        <v>287.3</v>
      </c>
      <c r="K27" s="15"/>
      <c r="L27" s="1" t="s">
        <v>27</v>
      </c>
      <c r="M27" s="10">
        <f>12.19*0.6</f>
        <v>7.313999999999999</v>
      </c>
      <c r="N27" s="10">
        <f>27.25*0.6</f>
        <v>16.349999999999998</v>
      </c>
    </row>
    <row r="28" spans="1:14" ht="18.75" customHeight="1">
      <c r="A28" s="1" t="s">
        <v>28</v>
      </c>
      <c r="B28" s="10"/>
      <c r="C28" s="10"/>
      <c r="D28" s="10"/>
      <c r="E28" s="10"/>
      <c r="F28" s="10"/>
      <c r="G28" s="10"/>
      <c r="H28" s="10"/>
      <c r="I28" s="10"/>
      <c r="K28" s="15"/>
      <c r="L28" s="10" t="s">
        <v>29</v>
      </c>
      <c r="M28" s="10">
        <f>12.19*0.1</f>
        <v>1.219</v>
      </c>
      <c r="N28" s="10">
        <f>27.25*0.1</f>
        <v>2.725</v>
      </c>
    </row>
    <row r="29" spans="1:14" ht="15">
      <c r="A29" s="1" t="s">
        <v>30</v>
      </c>
      <c r="B29" s="10"/>
      <c r="C29" s="10"/>
      <c r="D29" s="10"/>
      <c r="E29" s="10"/>
      <c r="F29" s="10"/>
      <c r="G29" s="10"/>
      <c r="H29" s="10"/>
      <c r="I29" s="10"/>
      <c r="K29" s="15"/>
      <c r="L29" s="10" t="s">
        <v>31</v>
      </c>
      <c r="M29" s="10">
        <f>12.19*0.3</f>
        <v>3.6569999999999996</v>
      </c>
      <c r="N29" s="10">
        <f>27.25*0.3</f>
        <v>8.174999999999999</v>
      </c>
    </row>
    <row r="30" spans="1:11" ht="15">
      <c r="A30" s="1" t="s">
        <v>32</v>
      </c>
      <c r="B30" s="10"/>
      <c r="C30" s="10"/>
      <c r="D30" s="10"/>
      <c r="E30" s="10"/>
      <c r="F30" s="10"/>
      <c r="G30" s="10"/>
      <c r="H30" s="10"/>
      <c r="I30" s="10"/>
      <c r="K30" s="15"/>
    </row>
    <row r="31" spans="1:11" ht="15">
      <c r="A31" s="1" t="s">
        <v>33</v>
      </c>
      <c r="B31" s="10"/>
      <c r="C31" s="10"/>
      <c r="D31" s="10"/>
      <c r="E31" s="10"/>
      <c r="F31" s="10"/>
      <c r="G31" s="10"/>
      <c r="H31" s="10"/>
      <c r="I31" s="10"/>
      <c r="K31" s="15"/>
    </row>
    <row r="32" ht="15">
      <c r="A32" s="1" t="s">
        <v>34</v>
      </c>
    </row>
    <row r="33" spans="1:11" ht="15">
      <c r="A33" s="1" t="s">
        <v>35</v>
      </c>
      <c r="B33" s="16">
        <v>0</v>
      </c>
      <c r="C33" s="10">
        <v>2.37</v>
      </c>
      <c r="D33" s="10">
        <f>+C33*85%</f>
        <v>2.0145</v>
      </c>
      <c r="E33" s="10">
        <f>+D33*85%</f>
        <v>1.7123249999999999</v>
      </c>
      <c r="F33" s="10">
        <f>+E33*85%</f>
        <v>1.4554762499999998</v>
      </c>
      <c r="G33" s="10">
        <f>+F33*85%</f>
        <v>1.2371548124999998</v>
      </c>
      <c r="H33" s="10">
        <f>+G33*85%</f>
        <v>1.051581590625</v>
      </c>
      <c r="I33" s="10">
        <f>+H33*85%</f>
        <v>0.8938443520312499</v>
      </c>
      <c r="K33" s="1">
        <f>5.35*0.15</f>
        <v>0.8024999999999999</v>
      </c>
    </row>
    <row r="35" spans="1:11" ht="15">
      <c r="A35" s="1" t="s">
        <v>36</v>
      </c>
      <c r="B35" s="10">
        <f>SUM(B25:B33)</f>
        <v>0</v>
      </c>
      <c r="C35" s="10">
        <f>SUM(C25:C33)</f>
        <v>248.62</v>
      </c>
      <c r="D35" s="10">
        <f>SUM(D25:D33)</f>
        <v>251.8895</v>
      </c>
      <c r="E35" s="10">
        <f>SUM(E25:E33)</f>
        <v>254.712325</v>
      </c>
      <c r="F35" s="10">
        <f>SUM(F25:F33)</f>
        <v>272.95547625</v>
      </c>
      <c r="G35" s="10">
        <f>SUM(G25:G33)</f>
        <v>280.71415481250006</v>
      </c>
      <c r="H35" s="10">
        <f>SUM(H25:H33)</f>
        <v>288.351581590625</v>
      </c>
      <c r="I35" s="10">
        <f>SUM(I25:I33)</f>
        <v>288.19384435203125</v>
      </c>
      <c r="J35" s="1">
        <v>5.37</v>
      </c>
      <c r="K35" s="1">
        <v>12.19</v>
      </c>
    </row>
    <row r="36" spans="10:11" ht="15">
      <c r="J36" s="10">
        <f>+J35*0.6005</f>
        <v>3.224685</v>
      </c>
      <c r="K36" s="1">
        <v>7.32</v>
      </c>
    </row>
    <row r="37" spans="1:11" ht="15">
      <c r="A37" s="1" t="s">
        <v>37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f>+J35*0.1001</f>
        <v>0.5375369999999999</v>
      </c>
      <c r="K37" s="1">
        <v>1.22</v>
      </c>
    </row>
    <row r="38" spans="1:11" ht="15">
      <c r="A38" s="1" t="s">
        <v>36</v>
      </c>
      <c r="B38" s="10">
        <f>SUM(B35:B37)</f>
        <v>0</v>
      </c>
      <c r="C38" s="10">
        <f>SUM(C35:C37)</f>
        <v>248.62</v>
      </c>
      <c r="D38" s="10">
        <f>SUM(D35:D37)</f>
        <v>251.8895</v>
      </c>
      <c r="E38" s="10">
        <f>SUM(E35:E37)</f>
        <v>254.712325</v>
      </c>
      <c r="F38" s="10">
        <f>SUM(F35:F37)</f>
        <v>272.95547625</v>
      </c>
      <c r="G38" s="10">
        <f>SUM(G35:G37)</f>
        <v>280.71415481250006</v>
      </c>
      <c r="H38" s="10">
        <f>SUM(H35:H37)</f>
        <v>288.351581590625</v>
      </c>
      <c r="I38" s="10">
        <f>SUM(I35:I37)</f>
        <v>288.19384435203125</v>
      </c>
      <c r="J38" s="10">
        <f>+J35-J36-J37</f>
        <v>1.6077780000000002</v>
      </c>
      <c r="K38" s="1">
        <v>3.66</v>
      </c>
    </row>
    <row r="39" spans="1:9" ht="15">
      <c r="A39" s="1" t="s">
        <v>38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</row>
    <row r="40" spans="2:11" ht="15">
      <c r="B40" s="17"/>
      <c r="K40" s="1">
        <f>+K36/K35</f>
        <v>0.6004922067268254</v>
      </c>
    </row>
    <row r="41" spans="1:11" ht="15.75">
      <c r="A41" s="2" t="s">
        <v>39</v>
      </c>
      <c r="B41" s="10">
        <f>B38-B39</f>
        <v>0</v>
      </c>
      <c r="C41" s="10">
        <f>C38-C39</f>
        <v>248.62</v>
      </c>
      <c r="D41" s="10">
        <f>D38-D39</f>
        <v>251.8895</v>
      </c>
      <c r="E41" s="10">
        <f>E38-E39</f>
        <v>254.712325</v>
      </c>
      <c r="F41" s="10">
        <f>F38-F39</f>
        <v>272.95547625</v>
      </c>
      <c r="G41" s="10">
        <f>G38-G39</f>
        <v>280.71415481250006</v>
      </c>
      <c r="H41" s="10">
        <f>H38-H39</f>
        <v>288.351581590625</v>
      </c>
      <c r="I41" s="10">
        <f>I38-I39</f>
        <v>288.19384435203125</v>
      </c>
      <c r="K41" s="1">
        <f>+K37/K35</f>
        <v>0.10008203445447088</v>
      </c>
    </row>
    <row r="42" spans="1:9" ht="15">
      <c r="A42" s="1" t="s">
        <v>40</v>
      </c>
      <c r="B42" s="10">
        <f>+'[1]Sch - PL'!$B$22</f>
        <v>0</v>
      </c>
      <c r="C42" s="10">
        <v>5.4</v>
      </c>
      <c r="D42" s="10">
        <f>+C52</f>
        <v>3.44</v>
      </c>
      <c r="E42" s="10">
        <f>+D52</f>
        <v>4.128</v>
      </c>
      <c r="F42" s="10">
        <f>+E52</f>
        <v>4.9536</v>
      </c>
      <c r="G42" s="10">
        <f>+F52</f>
        <v>5.944319999999999</v>
      </c>
      <c r="H42" s="10">
        <f>+G52</f>
        <v>7.133183999999999</v>
      </c>
      <c r="I42" s="10">
        <f>+H52</f>
        <v>8.559820799999999</v>
      </c>
    </row>
    <row r="44" spans="1:9" ht="15">
      <c r="A44" s="1" t="s">
        <v>36</v>
      </c>
      <c r="B44" s="10">
        <f>SUM(B41:B42)</f>
        <v>0</v>
      </c>
      <c r="C44" s="10">
        <f>SUM(C41:C42)</f>
        <v>254.02</v>
      </c>
      <c r="D44" s="10">
        <f>SUM(D41:D42)</f>
        <v>255.3295</v>
      </c>
      <c r="E44" s="10">
        <f>SUM(E41:E42)</f>
        <v>258.840325</v>
      </c>
      <c r="F44" s="10">
        <f>SUM(F41:F42)</f>
        <v>277.90907625</v>
      </c>
      <c r="G44" s="10">
        <f>SUM(G41:G42)</f>
        <v>286.65847481250006</v>
      </c>
      <c r="H44" s="10">
        <f>SUM(H41:H42)</f>
        <v>295.484765590625</v>
      </c>
      <c r="I44" s="10">
        <f>SUM(I41:I42)</f>
        <v>296.75366515203126</v>
      </c>
    </row>
    <row r="47" ht="15.75">
      <c r="A47" s="2">
        <f>A3</f>
        <v>0</v>
      </c>
    </row>
    <row r="48" spans="1:9" ht="15.75">
      <c r="A48" s="2"/>
      <c r="B48" s="9"/>
      <c r="C48" s="9"/>
      <c r="D48" s="9"/>
      <c r="E48" s="9"/>
      <c r="F48" s="9"/>
      <c r="G48" s="9"/>
      <c r="H48" s="9"/>
      <c r="I48" s="9"/>
    </row>
    <row r="49" ht="15">
      <c r="A49" s="3" t="s">
        <v>2</v>
      </c>
    </row>
    <row r="50" spans="1:9" ht="15.75">
      <c r="A50" s="5" t="s">
        <v>3</v>
      </c>
      <c r="B50" s="6" t="s">
        <v>4</v>
      </c>
      <c r="C50" s="6" t="s">
        <v>5</v>
      </c>
      <c r="D50" s="6" t="s">
        <v>6</v>
      </c>
      <c r="E50" s="6" t="s">
        <v>7</v>
      </c>
      <c r="F50" s="6" t="s">
        <v>8</v>
      </c>
      <c r="G50" s="6" t="s">
        <v>9</v>
      </c>
      <c r="H50" s="6" t="s">
        <v>10</v>
      </c>
      <c r="I50" s="6" t="s">
        <v>11</v>
      </c>
    </row>
    <row r="52" spans="1:10" ht="15">
      <c r="A52" s="1" t="s">
        <v>41</v>
      </c>
      <c r="B52" s="10">
        <v>0</v>
      </c>
      <c r="C52" s="10">
        <v>3.44</v>
      </c>
      <c r="D52" s="10">
        <f>+C52*1.2</f>
        <v>4.128</v>
      </c>
      <c r="E52" s="10">
        <f>+D52*1.2</f>
        <v>4.9536</v>
      </c>
      <c r="F52" s="10">
        <f>+E52*1.2</f>
        <v>5.944319999999999</v>
      </c>
      <c r="G52" s="10">
        <f>+F52*1.2</f>
        <v>7.133183999999999</v>
      </c>
      <c r="H52" s="10">
        <f>+G52*1.2</f>
        <v>8.559820799999999</v>
      </c>
      <c r="I52" s="10">
        <f>+H52*1.2</f>
        <v>10.271784959999998</v>
      </c>
      <c r="J52" s="1">
        <f>C27/300*20</f>
        <v>16.416666666666664</v>
      </c>
    </row>
    <row r="53" spans="1:2" ht="15">
      <c r="A53" s="17"/>
      <c r="B53" s="17"/>
    </row>
    <row r="54" spans="1:9" ht="15">
      <c r="A54" s="1" t="s">
        <v>36</v>
      </c>
      <c r="B54" s="10">
        <f>B44-B52</f>
        <v>0</v>
      </c>
      <c r="C54" s="10">
        <f>C44-C52</f>
        <v>250.58</v>
      </c>
      <c r="D54" s="10">
        <f>D44-D52</f>
        <v>251.2015</v>
      </c>
      <c r="E54" s="10">
        <f>E44-E52</f>
        <v>253.886725</v>
      </c>
      <c r="F54" s="10">
        <f>F44-F52</f>
        <v>271.96475625</v>
      </c>
      <c r="G54" s="10">
        <f>G44-G52</f>
        <v>279.5252908125001</v>
      </c>
      <c r="H54" s="10">
        <f>H44-H52</f>
        <v>286.924944790625</v>
      </c>
      <c r="I54" s="10">
        <f>I44-I52</f>
        <v>286.48188019203127</v>
      </c>
    </row>
    <row r="56" spans="1:9" ht="15.75">
      <c r="A56" s="2" t="s">
        <v>42</v>
      </c>
      <c r="B56" s="10">
        <f>B54</f>
        <v>0</v>
      </c>
      <c r="C56" s="10">
        <f>C54</f>
        <v>250.58</v>
      </c>
      <c r="D56" s="10">
        <f>D54</f>
        <v>251.2015</v>
      </c>
      <c r="E56" s="10">
        <f>E54</f>
        <v>253.886725</v>
      </c>
      <c r="F56" s="10">
        <f>F54</f>
        <v>271.96475625</v>
      </c>
      <c r="G56" s="10">
        <f>G54</f>
        <v>279.5252908125001</v>
      </c>
      <c r="H56" s="10">
        <f>H54</f>
        <v>286.924944790625</v>
      </c>
      <c r="I56" s="10">
        <f>I54</f>
        <v>286.48188019203127</v>
      </c>
    </row>
    <row r="58" spans="1:9" ht="15.75">
      <c r="A58" s="2" t="s">
        <v>43</v>
      </c>
      <c r="B58" s="18">
        <f>B14-B16-B56</f>
        <v>0</v>
      </c>
      <c r="C58" s="18">
        <f>C14-C16-C56</f>
        <v>21.72</v>
      </c>
      <c r="D58" s="18">
        <f>D14-D16-D56</f>
        <v>23.79849999999999</v>
      </c>
      <c r="E58" s="18">
        <f>E14-E16-E56</f>
        <v>26.113274999999987</v>
      </c>
      <c r="F58" s="18">
        <f>F14-F16-F56</f>
        <v>28.035243750000006</v>
      </c>
      <c r="G58" s="18">
        <f>G14-G16-G56</f>
        <v>30.47470918749991</v>
      </c>
      <c r="H58" s="18">
        <f>H14-H16-H56</f>
        <v>33.07505520937502</v>
      </c>
      <c r="I58" s="18">
        <f>I14-I16-I56</f>
        <v>33.51811980796873</v>
      </c>
    </row>
    <row r="59" spans="1:9" ht="15.75">
      <c r="A59" s="2"/>
      <c r="B59" s="18"/>
      <c r="C59" s="18"/>
      <c r="D59" s="18"/>
      <c r="E59" s="18"/>
      <c r="F59" s="18"/>
      <c r="G59" s="18"/>
      <c r="H59" s="18"/>
      <c r="I59" s="18"/>
    </row>
    <row r="60" spans="1:9" ht="15">
      <c r="A60" s="1" t="s">
        <v>44</v>
      </c>
      <c r="B60" s="1">
        <v>0</v>
      </c>
      <c r="C60" s="16">
        <v>0</v>
      </c>
      <c r="D60" s="10">
        <f>+'term loan'!$G$11</f>
        <v>0.1047945205479452</v>
      </c>
      <c r="E60" s="10">
        <f>+'term loan'!$G$16</f>
        <v>0.38711594911937375</v>
      </c>
      <c r="F60" s="10">
        <f>+'term loan'!$G$21</f>
        <v>0.326401663405088</v>
      </c>
      <c r="G60" s="10">
        <f>+'term loan'!$G$26</f>
        <v>0.2656873776908023</v>
      </c>
      <c r="H60" s="10">
        <f>+'term loan'!$G31</f>
        <v>0.20497309197651659</v>
      </c>
      <c r="I60" s="10">
        <f>+'term loan'!$G36</f>
        <v>0.14425880626223087</v>
      </c>
    </row>
    <row r="61" spans="1:9" ht="15">
      <c r="A61" s="1" t="s">
        <v>45</v>
      </c>
      <c r="B61" s="10"/>
      <c r="C61" s="10">
        <v>0.62</v>
      </c>
      <c r="D61" s="10">
        <f>+C61</f>
        <v>0.62</v>
      </c>
      <c r="E61" s="10">
        <f>+D61</f>
        <v>0.62</v>
      </c>
      <c r="F61" s="10">
        <f>+E61</f>
        <v>0.62</v>
      </c>
      <c r="G61" s="10">
        <f>+F61</f>
        <v>0.62</v>
      </c>
      <c r="H61" s="10">
        <f>+G61</f>
        <v>0.62</v>
      </c>
      <c r="I61" s="10">
        <f>+H61</f>
        <v>0.62</v>
      </c>
    </row>
    <row r="62" spans="1:15" ht="15">
      <c r="A62" s="1" t="s">
        <v>46</v>
      </c>
      <c r="B62" s="10"/>
      <c r="C62" s="10">
        <v>15</v>
      </c>
      <c r="D62" s="10">
        <f>+C62*1.1</f>
        <v>16.5</v>
      </c>
      <c r="E62" s="10">
        <f>+D62*1.1</f>
        <v>18.150000000000002</v>
      </c>
      <c r="F62" s="10">
        <f>+E62*1.1</f>
        <v>19.965000000000003</v>
      </c>
      <c r="G62" s="10">
        <f>+F62*1.1</f>
        <v>21.961500000000004</v>
      </c>
      <c r="H62" s="10">
        <f>+G62*1.1</f>
        <v>24.157650000000007</v>
      </c>
      <c r="I62" s="10">
        <f>+H62*1.1</f>
        <v>26.57341500000001</v>
      </c>
      <c r="J62" s="1" t="e">
        <f>+B62/B14</f>
        <v>#DIV/0!</v>
      </c>
      <c r="K62" s="1">
        <f>+C62/C14</f>
        <v>0.055086301872934264</v>
      </c>
      <c r="L62" s="1">
        <f>+D62/D14</f>
        <v>0.06</v>
      </c>
      <c r="M62" s="1">
        <f>+E62/E14</f>
        <v>0.06482142857142859</v>
      </c>
      <c r="N62" s="1">
        <f>+F62/F14</f>
        <v>0.06655000000000001</v>
      </c>
      <c r="O62" s="1">
        <f>+G62/G14</f>
        <v>0.07084354838709679</v>
      </c>
    </row>
    <row r="64" spans="1:9" ht="15">
      <c r="A64" s="1" t="s">
        <v>47</v>
      </c>
      <c r="B64" s="10">
        <f>SUM(B60:B62)</f>
        <v>0</v>
      </c>
      <c r="C64" s="10">
        <f>SUM(C60:C62)</f>
        <v>15.62</v>
      </c>
      <c r="D64" s="10">
        <f>SUM(D60:D62)</f>
        <v>17.224794520547945</v>
      </c>
      <c r="E64" s="10">
        <f>SUM(E60:E62)</f>
        <v>19.157115949119376</v>
      </c>
      <c r="F64" s="10">
        <f>SUM(F60:F62)</f>
        <v>20.91140166340509</v>
      </c>
      <c r="G64" s="10">
        <f>SUM(G60:G62)</f>
        <v>22.84718737769081</v>
      </c>
      <c r="H64" s="10">
        <f>SUM(H60:H62)</f>
        <v>24.982623091976524</v>
      </c>
      <c r="I64" s="10">
        <f>SUM(I60:I62)</f>
        <v>27.33767380626224</v>
      </c>
    </row>
    <row r="66" spans="1:9" ht="15.75">
      <c r="A66" s="2" t="s">
        <v>48</v>
      </c>
      <c r="B66" s="18">
        <f>B58-B64</f>
        <v>0</v>
      </c>
      <c r="C66" s="18">
        <f>C58-C64</f>
        <v>6.1</v>
      </c>
      <c r="D66" s="18">
        <f>D58-D64</f>
        <v>6.573705479452045</v>
      </c>
      <c r="E66" s="18">
        <f>E58-E64</f>
        <v>6.956159050880611</v>
      </c>
      <c r="F66" s="18">
        <f>F58-F64</f>
        <v>7.123842086594916</v>
      </c>
      <c r="G66" s="18">
        <f>G58-G64</f>
        <v>7.627521809809103</v>
      </c>
      <c r="H66" s="18">
        <f>H58-H64</f>
        <v>8.092432117398499</v>
      </c>
      <c r="I66" s="18">
        <f>I58-I64</f>
        <v>6.180446001706489</v>
      </c>
    </row>
    <row r="68" ht="15">
      <c r="A68" s="1" t="s">
        <v>49</v>
      </c>
    </row>
    <row r="69" spans="1:9" ht="15">
      <c r="A69" s="1" t="s">
        <v>50</v>
      </c>
      <c r="B69" s="10"/>
      <c r="C69" s="10"/>
      <c r="D69" s="10"/>
      <c r="E69" s="10"/>
      <c r="F69" s="10"/>
      <c r="G69" s="10"/>
      <c r="H69" s="10"/>
      <c r="I69" s="10"/>
    </row>
    <row r="70" spans="1:9" ht="15">
      <c r="A70" s="1" t="s">
        <v>51</v>
      </c>
      <c r="B70" s="10"/>
      <c r="C70" s="10"/>
      <c r="D70" s="10"/>
      <c r="E70" s="10"/>
      <c r="F70" s="10"/>
      <c r="G70" s="10"/>
      <c r="H70" s="10"/>
      <c r="I70" s="10"/>
    </row>
    <row r="71" spans="1:9" ht="15">
      <c r="A71" s="1" t="s">
        <v>52</v>
      </c>
      <c r="B71" s="10">
        <f>B69-B70</f>
        <v>0</v>
      </c>
      <c r="C71" s="10">
        <f>C69-C70</f>
        <v>0</v>
      </c>
      <c r="D71" s="10">
        <f>D69-D70</f>
        <v>0</v>
      </c>
      <c r="E71" s="10">
        <f>E69-E70</f>
        <v>0</v>
      </c>
      <c r="F71" s="10">
        <f>F69-F70</f>
        <v>0</v>
      </c>
      <c r="G71" s="10">
        <f>G69-G70</f>
        <v>0</v>
      </c>
      <c r="H71" s="10">
        <f>H69-H70</f>
        <v>0</v>
      </c>
      <c r="I71" s="10">
        <f>I69-I70</f>
        <v>0</v>
      </c>
    </row>
    <row r="73" spans="1:9" ht="15.75">
      <c r="A73" s="2" t="s">
        <v>53</v>
      </c>
      <c r="B73" s="18">
        <f>B66+B69-B70</f>
        <v>0</v>
      </c>
      <c r="C73" s="18">
        <f>C66+C69-C70</f>
        <v>6.1</v>
      </c>
      <c r="D73" s="18">
        <f>D66+D69-D70</f>
        <v>6.573705479452045</v>
      </c>
      <c r="E73" s="18">
        <f>E66+E69-E70</f>
        <v>6.956159050880611</v>
      </c>
      <c r="F73" s="18">
        <f>F66+F69-F70</f>
        <v>7.123842086594916</v>
      </c>
      <c r="G73" s="18">
        <f>G66+G69-G70</f>
        <v>7.627521809809103</v>
      </c>
      <c r="H73" s="18">
        <f>H66+H69-H70</f>
        <v>8.092432117398499</v>
      </c>
      <c r="I73" s="18">
        <f>I66+I69-I70</f>
        <v>6.180446001706489</v>
      </c>
    </row>
    <row r="74" ht="15.75">
      <c r="A74" s="2"/>
    </row>
    <row r="75" ht="15">
      <c r="A75" s="1" t="s">
        <v>54</v>
      </c>
    </row>
    <row r="76" ht="15">
      <c r="A76" s="1" t="s">
        <v>55</v>
      </c>
    </row>
    <row r="77" spans="1:9" ht="15">
      <c r="A77" s="1" t="s">
        <v>56</v>
      </c>
      <c r="B77" s="10"/>
      <c r="C77" s="10"/>
      <c r="D77" s="10"/>
      <c r="E77" s="10"/>
      <c r="F77" s="10"/>
      <c r="G77" s="10"/>
      <c r="H77" s="10"/>
      <c r="I77" s="10"/>
    </row>
    <row r="78" spans="1:9" ht="15">
      <c r="A78" s="1" t="s">
        <v>57</v>
      </c>
      <c r="B78" s="11"/>
      <c r="C78" s="11"/>
      <c r="D78" s="11"/>
      <c r="E78" s="11"/>
      <c r="F78" s="11"/>
      <c r="G78" s="11"/>
      <c r="H78" s="11"/>
      <c r="I78" s="11"/>
    </row>
    <row r="79" spans="2:9" ht="15">
      <c r="B79" s="10"/>
      <c r="C79" s="10"/>
      <c r="D79" s="10"/>
      <c r="E79" s="10"/>
      <c r="F79" s="10"/>
      <c r="G79" s="10"/>
      <c r="H79" s="10"/>
      <c r="I79" s="10"/>
    </row>
    <row r="80" spans="1:9" ht="15">
      <c r="A80" s="1" t="s">
        <v>58</v>
      </c>
      <c r="B80" s="10">
        <f>SUM(B75:B78)</f>
        <v>0</v>
      </c>
      <c r="C80" s="10">
        <f>SUM(C75:C78)</f>
        <v>0</v>
      </c>
      <c r="D80" s="10">
        <f>SUM(D75:D78)</f>
        <v>0</v>
      </c>
      <c r="E80" s="10">
        <f>SUM(E75:E78)</f>
        <v>0</v>
      </c>
      <c r="F80" s="10">
        <f>SUM(F75:F78)</f>
        <v>0</v>
      </c>
      <c r="G80" s="10">
        <f>SUM(G75:G78)</f>
        <v>0</v>
      </c>
      <c r="H80" s="10">
        <f>SUM(H75:H78)</f>
        <v>0</v>
      </c>
      <c r="I80" s="10">
        <f>SUM(I75:I78)</f>
        <v>0</v>
      </c>
    </row>
    <row r="81" spans="2:9" ht="15">
      <c r="B81" s="11"/>
      <c r="C81" s="11"/>
      <c r="D81" s="11"/>
      <c r="E81" s="11"/>
      <c r="F81" s="11"/>
      <c r="G81" s="11"/>
      <c r="H81" s="11"/>
      <c r="I81" s="11"/>
    </row>
    <row r="82" spans="1:9" ht="15.75">
      <c r="A82" s="2" t="s">
        <v>59</v>
      </c>
      <c r="B82" s="18">
        <f>B73-B80</f>
        <v>0</v>
      </c>
      <c r="C82" s="18">
        <f>C73-C80</f>
        <v>6.1</v>
      </c>
      <c r="D82" s="18">
        <f>D73-D80</f>
        <v>6.573705479452045</v>
      </c>
      <c r="E82" s="18">
        <f>E73-E80</f>
        <v>6.956159050880611</v>
      </c>
      <c r="F82" s="18">
        <f>F73-F80</f>
        <v>7.123842086594916</v>
      </c>
      <c r="G82" s="18">
        <f>G73-G80</f>
        <v>7.627521809809103</v>
      </c>
      <c r="H82" s="18">
        <f>H73-H80</f>
        <v>8.092432117398499</v>
      </c>
      <c r="I82" s="18">
        <f>I73-I80</f>
        <v>6.180446001706489</v>
      </c>
    </row>
    <row r="83" ht="15.75">
      <c r="A83" s="2"/>
    </row>
    <row r="84" spans="1:9" ht="15">
      <c r="A84" s="1" t="s">
        <v>60</v>
      </c>
      <c r="B84" s="10" t="e">
        <f>+B58/(B14-B16)*100</f>
        <v>#DIV/0!</v>
      </c>
      <c r="C84" s="10">
        <f>+C58/(C14-C16)*100</f>
        <v>7.976496511200882</v>
      </c>
      <c r="D84" s="10">
        <f>+D58/(D14-D16)*100</f>
        <v>8.653999999999996</v>
      </c>
      <c r="E84" s="10">
        <f>+E58/(E14-E16)*100</f>
        <v>9.326169642857138</v>
      </c>
      <c r="F84" s="10">
        <f>+F58/(F14-F16)*100</f>
        <v>9.345081250000002</v>
      </c>
      <c r="G84" s="10">
        <f>+G58/(G14-G16)*100</f>
        <v>9.830551350806422</v>
      </c>
      <c r="H84" s="10">
        <f>+H58/(H14-H16)*100</f>
        <v>10.335954752929695</v>
      </c>
      <c r="I84" s="10">
        <f>+I58/(I14-I16)*100</f>
        <v>10.474412439990228</v>
      </c>
    </row>
    <row r="85" spans="1:9" ht="15">
      <c r="A85" s="1" t="s">
        <v>61</v>
      </c>
      <c r="B85" s="10" t="e">
        <f>B73/B14*100</f>
        <v>#DIV/0!</v>
      </c>
      <c r="C85" s="10">
        <f>C73/C14*100</f>
        <v>2.240176276165993</v>
      </c>
      <c r="D85" s="10">
        <f>D73/D14*100</f>
        <v>2.39043835616438</v>
      </c>
      <c r="E85" s="10">
        <f>E73/E14*100</f>
        <v>2.4843425181716468</v>
      </c>
      <c r="F85" s="10">
        <f>F73/F14*100</f>
        <v>2.374614028864972</v>
      </c>
      <c r="G85" s="10">
        <f>G73/G14*100</f>
        <v>2.4604909063900333</v>
      </c>
      <c r="H85" s="10">
        <f>H73/H14*100</f>
        <v>2.5288850366870306</v>
      </c>
      <c r="I85" s="10">
        <f>I73/I14*100</f>
        <v>1.9313893755332778</v>
      </c>
    </row>
    <row r="87" spans="2:9" ht="15.75">
      <c r="B87" s="18"/>
      <c r="C87" s="18"/>
      <c r="D87" s="18"/>
      <c r="E87" s="18"/>
      <c r="F87" s="18"/>
      <c r="G87" s="18"/>
      <c r="H87" s="18"/>
      <c r="I87" s="18"/>
    </row>
    <row r="88" ht="15">
      <c r="B88" s="10"/>
    </row>
    <row r="89" spans="1:9" ht="15">
      <c r="A89" s="1" t="s">
        <v>62</v>
      </c>
      <c r="B89" s="10">
        <f>+DSCR!H11</f>
        <v>14.874049004537286</v>
      </c>
      <c r="C89" s="10"/>
      <c r="D89" s="10"/>
      <c r="E89" s="10"/>
      <c r="F89" s="10"/>
      <c r="G89" s="10"/>
      <c r="H89" s="10"/>
      <c r="I89" s="10"/>
    </row>
    <row r="92" ht="15.75">
      <c r="A92" s="2"/>
    </row>
  </sheetData>
  <sheetProtection selectLockedCells="1" selectUnlockedCells="1"/>
  <printOptions/>
  <pageMargins left="0.5" right="0.24027777777777778" top="0.5" bottom="0.5" header="0.5118110236220472" footer="0.5118110236220472"/>
  <pageSetup horizontalDpi="300" verticalDpi="300" orientation="landscape" paperSize="9" scale="72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53"/>
  <sheetViews>
    <sheetView view="pageBreakPreview" zoomScale="85" zoomScaleSheetLayoutView="85" workbookViewId="0" topLeftCell="A1">
      <selection activeCell="I123" sqref="I123"/>
    </sheetView>
  </sheetViews>
  <sheetFormatPr defaultColWidth="9.140625" defaultRowHeight="12.75"/>
  <cols>
    <col min="1" max="1" width="42.421875" style="1" customWidth="1"/>
    <col min="2" max="2" width="11.421875" style="1" hidden="1" customWidth="1"/>
    <col min="3" max="9" width="11.421875" style="1" customWidth="1"/>
    <col min="10" max="16384" width="9.140625" style="1" customWidth="1"/>
  </cols>
  <sheetData>
    <row r="1" ht="15">
      <c r="A1" s="8"/>
    </row>
    <row r="2" ht="15.75">
      <c r="A2" s="19" t="s">
        <v>63</v>
      </c>
    </row>
    <row r="3" ht="15.75">
      <c r="A3" s="19"/>
    </row>
    <row r="4" ht="15.75">
      <c r="A4" s="2">
        <f>'CMA-PL'!A3</f>
        <v>0</v>
      </c>
    </row>
    <row r="5" spans="1:9" ht="15">
      <c r="A5" s="3"/>
      <c r="B5" s="20" t="s">
        <v>12</v>
      </c>
      <c r="C5" s="20" t="s">
        <v>12</v>
      </c>
      <c r="D5" s="20" t="s">
        <v>12</v>
      </c>
      <c r="E5" s="20" t="s">
        <v>12</v>
      </c>
      <c r="F5" s="20" t="s">
        <v>12</v>
      </c>
      <c r="G5" s="20" t="s">
        <v>12</v>
      </c>
      <c r="H5" s="20" t="s">
        <v>12</v>
      </c>
      <c r="I5" s="20" t="s">
        <v>12</v>
      </c>
    </row>
    <row r="6" spans="1:9" ht="15">
      <c r="A6" s="7" t="s">
        <v>64</v>
      </c>
      <c r="B6" s="21" t="s">
        <v>13</v>
      </c>
      <c r="C6" s="21" t="s">
        <v>13</v>
      </c>
      <c r="D6" s="21" t="s">
        <v>13</v>
      </c>
      <c r="E6" s="21" t="s">
        <v>13</v>
      </c>
      <c r="F6" s="21" t="s">
        <v>13</v>
      </c>
      <c r="G6" s="21" t="s">
        <v>13</v>
      </c>
      <c r="H6" s="21" t="s">
        <v>13</v>
      </c>
      <c r="I6" s="21" t="s">
        <v>13</v>
      </c>
    </row>
    <row r="7" spans="1:9" ht="15">
      <c r="A7" s="8"/>
      <c r="B7" s="22" t="s">
        <v>65</v>
      </c>
      <c r="C7" s="22" t="s">
        <v>65</v>
      </c>
      <c r="D7" s="22" t="s">
        <v>65</v>
      </c>
      <c r="E7" s="22" t="s">
        <v>65</v>
      </c>
      <c r="F7" s="22" t="s">
        <v>65</v>
      </c>
      <c r="G7" s="22" t="s">
        <v>65</v>
      </c>
      <c r="H7" s="22" t="s">
        <v>65</v>
      </c>
      <c r="I7" s="22" t="s">
        <v>65</v>
      </c>
    </row>
    <row r="8" spans="1:9" ht="15.75">
      <c r="A8" s="5" t="s">
        <v>66</v>
      </c>
      <c r="B8" s="6">
        <f>+'CMA-PL'!B7</f>
        <v>0</v>
      </c>
      <c r="C8" s="6">
        <f>+'CMA-PL'!C7</f>
        <v>0</v>
      </c>
      <c r="D8" s="6">
        <f>+'CMA-PL'!D7</f>
        <v>0</v>
      </c>
      <c r="E8" s="6">
        <f>+'CMA-PL'!E7</f>
        <v>0</v>
      </c>
      <c r="F8" s="6">
        <f>+'CMA-PL'!F7</f>
        <v>0</v>
      </c>
      <c r="G8" s="6">
        <f>+'CMA-PL'!G7</f>
        <v>0</v>
      </c>
      <c r="H8" s="6">
        <f>+'CMA-PL'!H7</f>
        <v>0</v>
      </c>
      <c r="I8" s="6">
        <f>+'CMA-PL'!I7</f>
        <v>0</v>
      </c>
    </row>
    <row r="9" ht="15">
      <c r="A9" s="8"/>
    </row>
    <row r="10" ht="15.75">
      <c r="A10" s="23" t="s">
        <v>67</v>
      </c>
    </row>
    <row r="11" ht="15">
      <c r="A11" s="24" t="s">
        <v>68</v>
      </c>
    </row>
    <row r="12" spans="1:10" ht="15">
      <c r="A12" s="24" t="s">
        <v>69</v>
      </c>
      <c r="B12" s="10"/>
      <c r="C12" s="10"/>
      <c r="D12" s="10"/>
      <c r="E12" s="10"/>
      <c r="F12" s="10"/>
      <c r="G12" s="10"/>
      <c r="H12" s="10"/>
      <c r="I12" s="10"/>
      <c r="J12" s="10">
        <f>+C12-B12</f>
        <v>0</v>
      </c>
    </row>
    <row r="13" spans="1:9" ht="15">
      <c r="A13" s="24" t="s">
        <v>70</v>
      </c>
      <c r="C13" s="1">
        <f>5.11+2.26</f>
        <v>7.37</v>
      </c>
      <c r="D13" s="1">
        <v>8</v>
      </c>
      <c r="E13" s="1">
        <f>+D13</f>
        <v>8</v>
      </c>
      <c r="F13" s="1">
        <f>+E13</f>
        <v>8</v>
      </c>
      <c r="G13" s="1">
        <f>+F13</f>
        <v>8</v>
      </c>
      <c r="H13" s="1">
        <f>+G13</f>
        <v>8</v>
      </c>
      <c r="I13" s="1">
        <f>+H13</f>
        <v>8</v>
      </c>
    </row>
    <row r="14" ht="15">
      <c r="A14" s="24"/>
    </row>
    <row r="15" spans="1:9" ht="15.75">
      <c r="A15" s="25" t="s">
        <v>71</v>
      </c>
      <c r="B15" s="18">
        <f>SUM(B12:B14)</f>
        <v>0</v>
      </c>
      <c r="C15" s="18">
        <f>SUM(C12:C14)</f>
        <v>7.37</v>
      </c>
      <c r="D15" s="18">
        <f>SUM(D12:D14)</f>
        <v>8</v>
      </c>
      <c r="E15" s="18">
        <f>SUM(E12:E14)</f>
        <v>8</v>
      </c>
      <c r="F15" s="18">
        <f>SUM(F12:F14)</f>
        <v>8</v>
      </c>
      <c r="G15" s="18">
        <f>SUM(G12:G14)</f>
        <v>8</v>
      </c>
      <c r="H15" s="18">
        <f>SUM(H12:H14)</f>
        <v>8</v>
      </c>
      <c r="I15" s="18">
        <f>SUM(I12:I14)</f>
        <v>8</v>
      </c>
    </row>
    <row r="16" spans="1:9" ht="15.75">
      <c r="A16" s="25"/>
      <c r="B16" s="10"/>
      <c r="C16" s="18"/>
      <c r="D16" s="18"/>
      <c r="E16" s="18"/>
      <c r="F16" s="18"/>
      <c r="G16" s="18"/>
      <c r="H16" s="18"/>
      <c r="I16" s="18"/>
    </row>
    <row r="17" spans="1:9" ht="15.75">
      <c r="A17" s="24"/>
      <c r="B17" s="10"/>
      <c r="C17" s="18"/>
      <c r="D17" s="18"/>
      <c r="E17" s="18"/>
      <c r="F17" s="18"/>
      <c r="G17" s="18"/>
      <c r="H17" s="18"/>
      <c r="I17" s="18"/>
    </row>
    <row r="18" ht="15">
      <c r="A18" s="24" t="s">
        <v>72</v>
      </c>
    </row>
    <row r="19" ht="15">
      <c r="A19" s="24" t="s">
        <v>73</v>
      </c>
    </row>
    <row r="20" spans="1:9" ht="15">
      <c r="A20" s="24" t="s">
        <v>74</v>
      </c>
      <c r="B20" s="10"/>
      <c r="C20" s="10">
        <v>0</v>
      </c>
      <c r="D20" s="10">
        <v>0.25</v>
      </c>
      <c r="E20" s="10">
        <v>0.25</v>
      </c>
      <c r="F20" s="10">
        <v>0.25</v>
      </c>
      <c r="G20" s="10">
        <v>0.25</v>
      </c>
      <c r="H20" s="10">
        <v>0.25</v>
      </c>
      <c r="I20" s="10">
        <v>0.25</v>
      </c>
    </row>
    <row r="21" spans="1:6" ht="15">
      <c r="A21" s="24" t="s">
        <v>75</v>
      </c>
      <c r="B21" s="10"/>
      <c r="C21" s="10"/>
      <c r="D21" s="10"/>
      <c r="E21" s="10"/>
      <c r="F21" s="10"/>
    </row>
    <row r="22" spans="1:9" ht="15">
      <c r="A22" s="24" t="s">
        <v>76</v>
      </c>
      <c r="B22" s="10"/>
      <c r="C22" s="10"/>
      <c r="D22" s="10"/>
      <c r="E22" s="10"/>
      <c r="F22" s="10"/>
      <c r="G22" s="10"/>
      <c r="H22" s="10"/>
      <c r="I22" s="10"/>
    </row>
    <row r="23" spans="1:9" ht="15">
      <c r="A23" s="24" t="s">
        <v>77</v>
      </c>
      <c r="B23" s="15"/>
      <c r="C23" s="15"/>
      <c r="D23" s="15"/>
      <c r="E23" s="15"/>
      <c r="F23" s="15"/>
      <c r="G23" s="15"/>
      <c r="H23" s="15"/>
      <c r="I23" s="15"/>
    </row>
    <row r="24" spans="1:9" ht="15">
      <c r="A24" s="24" t="s">
        <v>78</v>
      </c>
      <c r="B24" s="15"/>
      <c r="C24" s="15"/>
      <c r="D24" s="15"/>
      <c r="E24" s="15"/>
      <c r="F24" s="15"/>
      <c r="G24" s="15"/>
      <c r="H24" s="15"/>
      <c r="I24" s="15"/>
    </row>
    <row r="25" spans="1:9" ht="15">
      <c r="A25" s="24" t="s">
        <v>79</v>
      </c>
      <c r="B25" s="10"/>
      <c r="C25" s="10"/>
      <c r="D25" s="10"/>
      <c r="E25" s="10"/>
      <c r="F25" s="10"/>
      <c r="G25" s="10"/>
      <c r="H25" s="10"/>
      <c r="I25" s="10"/>
    </row>
    <row r="26" spans="1:9" ht="15">
      <c r="A26" s="24" t="s">
        <v>80</v>
      </c>
      <c r="B26" s="15"/>
      <c r="C26" s="15"/>
      <c r="D26" s="15"/>
      <c r="E26" s="15"/>
      <c r="F26" s="15"/>
      <c r="G26" s="15"/>
      <c r="H26" s="15"/>
      <c r="I26" s="15"/>
    </row>
    <row r="27" spans="1:9" ht="15">
      <c r="A27" s="24" t="s">
        <v>81</v>
      </c>
      <c r="B27" s="15"/>
      <c r="C27" s="15"/>
      <c r="D27" s="15"/>
      <c r="E27" s="15"/>
      <c r="F27" s="15"/>
      <c r="G27" s="15"/>
      <c r="H27" s="15"/>
      <c r="I27" s="15"/>
    </row>
    <row r="28" spans="1:9" ht="15">
      <c r="A28" s="24" t="s">
        <v>82</v>
      </c>
      <c r="B28" s="10"/>
      <c r="C28" s="10"/>
      <c r="D28" s="10"/>
      <c r="E28" s="10"/>
      <c r="F28" s="10"/>
      <c r="G28" s="10"/>
      <c r="H28" s="10"/>
      <c r="I28" s="10"/>
    </row>
    <row r="29" ht="15">
      <c r="A29" s="24" t="s">
        <v>83</v>
      </c>
    </row>
    <row r="30" spans="1:9" ht="15">
      <c r="A30" s="24" t="s">
        <v>84</v>
      </c>
      <c r="B30" s="16"/>
      <c r="C30" s="16">
        <v>0</v>
      </c>
      <c r="D30" s="16">
        <f>+'term loan'!$D$12</f>
        <v>0.12142857142857143</v>
      </c>
      <c r="E30" s="16">
        <f>+'term loan'!$D$17</f>
        <v>0.4857142857142857</v>
      </c>
      <c r="F30" s="16">
        <f>+'term loan'!$D$37</f>
        <v>0.4857142857142857</v>
      </c>
      <c r="G30" s="16">
        <f>+'term loan'!$D$42</f>
        <v>0.4857142857142857</v>
      </c>
      <c r="H30" s="16">
        <f>+G30</f>
        <v>0.4857142857142857</v>
      </c>
      <c r="I30" s="16">
        <f>+H30</f>
        <v>0.4857142857142857</v>
      </c>
    </row>
    <row r="31" spans="1:12" ht="15">
      <c r="A31" s="24" t="s">
        <v>85</v>
      </c>
      <c r="L31" s="10"/>
    </row>
    <row r="32" ht="15">
      <c r="A32" s="24" t="s">
        <v>86</v>
      </c>
    </row>
    <row r="33" spans="1:9" ht="15">
      <c r="A33" s="24" t="s">
        <v>87</v>
      </c>
      <c r="B33" s="10"/>
      <c r="C33" s="10">
        <v>0.36</v>
      </c>
      <c r="D33" s="10">
        <v>0.36</v>
      </c>
      <c r="E33" s="10">
        <v>0.36</v>
      </c>
      <c r="F33" s="10">
        <v>0.36</v>
      </c>
      <c r="G33" s="10">
        <v>0.36</v>
      </c>
      <c r="H33" s="10">
        <v>0.36</v>
      </c>
      <c r="I33" s="10">
        <v>0.36</v>
      </c>
    </row>
    <row r="34" ht="15">
      <c r="A34" s="24"/>
    </row>
    <row r="35" spans="1:10" ht="15.75">
      <c r="A35" s="25" t="s">
        <v>88</v>
      </c>
      <c r="B35" s="18">
        <f>SUM(B18:B34)</f>
        <v>0</v>
      </c>
      <c r="C35" s="18">
        <f>SUM(C18:C34)</f>
        <v>0.36</v>
      </c>
      <c r="D35" s="18">
        <f>SUM(D18:D34)</f>
        <v>0.7314285714285714</v>
      </c>
      <c r="E35" s="18">
        <f>SUM(E18:E34)</f>
        <v>1.0957142857142856</v>
      </c>
      <c r="F35" s="18">
        <f>SUM(F18:F34)</f>
        <v>1.0957142857142856</v>
      </c>
      <c r="G35" s="18">
        <f>SUM(G18:G34)</f>
        <v>1.0957142857142856</v>
      </c>
      <c r="H35" s="18">
        <f>SUM(H18:H34)</f>
        <v>1.0957142857142856</v>
      </c>
      <c r="I35" s="18">
        <f>SUM(I18:I34)</f>
        <v>1.0957142857142856</v>
      </c>
      <c r="J35" s="10">
        <f>+C35-B35</f>
        <v>0.36</v>
      </c>
    </row>
    <row r="36" spans="1:9" ht="15.75">
      <c r="A36" s="25" t="s">
        <v>89</v>
      </c>
      <c r="B36" s="18">
        <f>B15+B35</f>
        <v>0</v>
      </c>
      <c r="C36" s="18">
        <f>C15+C35</f>
        <v>7.73</v>
      </c>
      <c r="D36" s="18">
        <f>D15+D35</f>
        <v>8.731428571428571</v>
      </c>
      <c r="E36" s="18">
        <f>E15+E35</f>
        <v>9.095714285714285</v>
      </c>
      <c r="F36" s="18">
        <f>F15+F35</f>
        <v>9.095714285714285</v>
      </c>
      <c r="G36" s="18">
        <f>G15+G35</f>
        <v>9.095714285714285</v>
      </c>
      <c r="H36" s="18">
        <f>H15+H35</f>
        <v>9.095714285714285</v>
      </c>
      <c r="I36" s="18">
        <f>I15+I35</f>
        <v>9.095714285714285</v>
      </c>
    </row>
    <row r="37" ht="15.75">
      <c r="A37" s="25"/>
    </row>
    <row r="38" ht="15.75">
      <c r="A38" s="19" t="s">
        <v>63</v>
      </c>
    </row>
    <row r="39" ht="15.75">
      <c r="A39" s="19"/>
    </row>
    <row r="40" ht="15.75">
      <c r="A40" s="2">
        <f>A4</f>
        <v>0</v>
      </c>
    </row>
    <row r="41" spans="1:9" ht="15">
      <c r="A41" s="4"/>
      <c r="B41" s="20" t="s">
        <v>12</v>
      </c>
      <c r="C41" s="20" t="s">
        <v>12</v>
      </c>
      <c r="D41" s="20" t="s">
        <v>12</v>
      </c>
      <c r="E41" s="20" t="s">
        <v>12</v>
      </c>
      <c r="F41" s="20" t="s">
        <v>12</v>
      </c>
      <c r="G41" s="20" t="s">
        <v>12</v>
      </c>
      <c r="H41" s="20" t="s">
        <v>12</v>
      </c>
      <c r="I41" s="20" t="s">
        <v>12</v>
      </c>
    </row>
    <row r="42" spans="1:9" ht="15">
      <c r="A42" s="8" t="s">
        <v>64</v>
      </c>
      <c r="B42" s="21" t="s">
        <v>13</v>
      </c>
      <c r="C42" s="21" t="s">
        <v>13</v>
      </c>
      <c r="D42" s="21" t="s">
        <v>13</v>
      </c>
      <c r="E42" s="21" t="s">
        <v>13</v>
      </c>
      <c r="F42" s="21" t="s">
        <v>13</v>
      </c>
      <c r="G42" s="21" t="s">
        <v>13</v>
      </c>
      <c r="H42" s="21" t="s">
        <v>13</v>
      </c>
      <c r="I42" s="21" t="s">
        <v>13</v>
      </c>
    </row>
    <row r="43" spans="1:9" ht="15">
      <c r="A43" s="8"/>
      <c r="B43" s="22" t="s">
        <v>65</v>
      </c>
      <c r="C43" s="22" t="s">
        <v>65</v>
      </c>
      <c r="D43" s="22" t="s">
        <v>65</v>
      </c>
      <c r="E43" s="22" t="s">
        <v>65</v>
      </c>
      <c r="F43" s="22" t="s">
        <v>65</v>
      </c>
      <c r="G43" s="22" t="s">
        <v>65</v>
      </c>
      <c r="H43" s="22" t="s">
        <v>65</v>
      </c>
      <c r="I43" s="22" t="s">
        <v>65</v>
      </c>
    </row>
    <row r="44" spans="1:9" ht="15.75">
      <c r="A44" s="9" t="s">
        <v>66</v>
      </c>
      <c r="B44" s="6">
        <f>+B8</f>
        <v>0</v>
      </c>
      <c r="C44" s="6">
        <f>+C8</f>
        <v>0</v>
      </c>
      <c r="D44" s="6">
        <f>+D8</f>
        <v>0</v>
      </c>
      <c r="E44" s="6">
        <f>+E8</f>
        <v>0</v>
      </c>
      <c r="F44" s="6">
        <f>+F8</f>
        <v>0</v>
      </c>
      <c r="G44" s="6">
        <f>+G8</f>
        <v>0</v>
      </c>
      <c r="H44" s="6">
        <f>+H8</f>
        <v>0</v>
      </c>
      <c r="I44" s="6">
        <f>+I8</f>
        <v>0</v>
      </c>
    </row>
    <row r="46" ht="15.75">
      <c r="A46" s="26" t="s">
        <v>90</v>
      </c>
    </row>
    <row r="48" ht="15">
      <c r="A48" s="1" t="s">
        <v>91</v>
      </c>
    </row>
    <row r="49" spans="1:9" ht="15">
      <c r="A49" s="1" t="s">
        <v>92</v>
      </c>
      <c r="B49" s="10"/>
      <c r="C49" s="10"/>
      <c r="D49" s="10"/>
      <c r="E49" s="10"/>
      <c r="F49" s="10"/>
      <c r="G49" s="10"/>
      <c r="H49" s="10"/>
      <c r="I49" s="10"/>
    </row>
    <row r="50" ht="15">
      <c r="A50" s="1" t="s">
        <v>93</v>
      </c>
    </row>
    <row r="51" spans="1:9" ht="15">
      <c r="A51" s="1" t="s">
        <v>94</v>
      </c>
      <c r="B51" s="16"/>
      <c r="C51" s="16"/>
      <c r="D51" s="16"/>
      <c r="E51" s="16"/>
      <c r="F51" s="16"/>
      <c r="G51" s="16"/>
      <c r="H51" s="16"/>
      <c r="I51" s="16"/>
    </row>
    <row r="52" spans="1:10" ht="15">
      <c r="A52" s="1" t="s">
        <v>95</v>
      </c>
      <c r="B52" s="10"/>
      <c r="C52" s="10"/>
      <c r="D52" s="10"/>
      <c r="E52" s="10"/>
      <c r="F52" s="10"/>
      <c r="G52" s="10"/>
      <c r="H52" s="10"/>
      <c r="I52" s="10"/>
      <c r="J52" s="10">
        <f>+C52-B52</f>
        <v>0</v>
      </c>
    </row>
    <row r="53" spans="1:9" ht="15">
      <c r="A53" s="1" t="s">
        <v>96</v>
      </c>
      <c r="B53" s="10"/>
      <c r="C53" s="10"/>
      <c r="D53" s="10"/>
      <c r="E53" s="10"/>
      <c r="F53" s="10"/>
      <c r="G53" s="10"/>
      <c r="H53" s="10"/>
      <c r="I53" s="10"/>
    </row>
    <row r="54" ht="15">
      <c r="A54" s="1" t="s">
        <v>97</v>
      </c>
    </row>
    <row r="55" spans="1:9" ht="15">
      <c r="A55" s="1" t="s">
        <v>98</v>
      </c>
      <c r="B55" s="10"/>
      <c r="C55" s="10"/>
      <c r="D55" s="10"/>
      <c r="E55" s="10"/>
      <c r="F55" s="10"/>
      <c r="G55" s="10"/>
      <c r="H55" s="10"/>
      <c r="I55" s="10"/>
    </row>
    <row r="56" spans="1:10" ht="15">
      <c r="A56" s="1" t="s">
        <v>99</v>
      </c>
      <c r="B56" s="16"/>
      <c r="C56" s="16">
        <v>3.65</v>
      </c>
      <c r="D56" s="16">
        <f>+'term loan'!C13</f>
        <v>3.2785714285714285</v>
      </c>
      <c r="E56" s="16">
        <f>+'term loan'!C18</f>
        <v>2.7928571428571427</v>
      </c>
      <c r="F56" s="16">
        <f>+'term loan'!C23</f>
        <v>2.307142857142857</v>
      </c>
      <c r="G56" s="16">
        <f>+'term loan'!C38</f>
        <v>0.8499999999999996</v>
      </c>
      <c r="H56" s="16">
        <f>+'term loan'!C33</f>
        <v>1.3357142857142854</v>
      </c>
      <c r="I56" s="16">
        <f>+'term loan'!D33</f>
        <v>0.12142857142857143</v>
      </c>
      <c r="J56" s="10">
        <f>+C56-B56</f>
        <v>3.65</v>
      </c>
    </row>
    <row r="57" ht="15.75">
      <c r="A57" s="2" t="s">
        <v>100</v>
      </c>
    </row>
    <row r="58" spans="1:9" ht="15.75">
      <c r="A58" s="2" t="s">
        <v>101</v>
      </c>
      <c r="B58" s="18">
        <f>SUM(B48:B57)</f>
        <v>0</v>
      </c>
      <c r="C58" s="18">
        <f>SUM(C48:C57)</f>
        <v>3.65</v>
      </c>
      <c r="D58" s="18">
        <f>SUM(D48:D57)</f>
        <v>3.2785714285714285</v>
      </c>
      <c r="E58" s="18">
        <f>SUM(E48:E57)</f>
        <v>2.7928571428571427</v>
      </c>
      <c r="F58" s="18">
        <f>SUM(F48:F57)</f>
        <v>2.307142857142857</v>
      </c>
      <c r="G58" s="18">
        <f>SUM(G48:G57)</f>
        <v>0.8499999999999996</v>
      </c>
      <c r="H58" s="18">
        <f>SUM(H48:H57)</f>
        <v>1.3357142857142854</v>
      </c>
      <c r="I58" s="18">
        <f>SUM(I48:I57)</f>
        <v>0.12142857142857143</v>
      </c>
    </row>
    <row r="59" ht="15">
      <c r="O59" s="10">
        <f>+K63+L64</f>
        <v>0</v>
      </c>
    </row>
    <row r="60" spans="1:9" ht="15.75">
      <c r="A60" s="2" t="s">
        <v>102</v>
      </c>
      <c r="B60" s="18">
        <f>B36+B58</f>
        <v>0</v>
      </c>
      <c r="C60" s="18">
        <f>C36+C58</f>
        <v>11.38</v>
      </c>
      <c r="D60" s="18">
        <f>D36+D58</f>
        <v>12.01</v>
      </c>
      <c r="E60" s="18">
        <f>E36+E58</f>
        <v>11.888571428571428</v>
      </c>
      <c r="F60" s="18">
        <f>F36+F58</f>
        <v>11.402857142857142</v>
      </c>
      <c r="G60" s="18">
        <f>G36+G58</f>
        <v>9.945714285714285</v>
      </c>
      <c r="H60" s="18">
        <f>H36+H58</f>
        <v>10.43142857142857</v>
      </c>
      <c r="I60" s="18">
        <f>I36+I58</f>
        <v>9.217142857142857</v>
      </c>
    </row>
    <row r="62" ht="15.75">
      <c r="A62" s="26" t="s">
        <v>103</v>
      </c>
    </row>
    <row r="63" spans="1:15" ht="15.75">
      <c r="A63" s="1" t="s">
        <v>104</v>
      </c>
      <c r="B63" s="10"/>
      <c r="C63" s="10">
        <v>10.7</v>
      </c>
      <c r="D63" s="10">
        <f>+C74-2.5</f>
        <v>14.299999999999997</v>
      </c>
      <c r="E63" s="10">
        <f>+D74-2</f>
        <v>18.873705479452042</v>
      </c>
      <c r="F63" s="10">
        <f>+E74-2</f>
        <v>23.829864530332653</v>
      </c>
      <c r="G63" s="10">
        <f>+F74-4</f>
        <v>26.95370661692757</v>
      </c>
      <c r="H63" s="10">
        <f>+G74-4</f>
        <v>30.581228426736672</v>
      </c>
      <c r="I63" s="10">
        <f>+H74-4</f>
        <v>34.673660544135174</v>
      </c>
      <c r="J63" s="10">
        <f>+C63-B63</f>
        <v>10.7</v>
      </c>
      <c r="K63" s="18"/>
      <c r="L63" s="18"/>
      <c r="M63" s="10"/>
      <c r="N63" s="10"/>
      <c r="O63" s="10"/>
    </row>
    <row r="64" spans="1:15" ht="15">
      <c r="A64" s="1" t="s">
        <v>105</v>
      </c>
      <c r="J64" s="10"/>
      <c r="K64" s="10"/>
      <c r="L64" s="10"/>
      <c r="M64" s="10"/>
      <c r="N64" s="10"/>
      <c r="O64" s="10"/>
    </row>
    <row r="65" spans="1:15" ht="15">
      <c r="A65" s="1" t="s">
        <v>106</v>
      </c>
      <c r="J65" s="10"/>
      <c r="K65" s="10"/>
      <c r="L65" s="10"/>
      <c r="M65" s="10"/>
      <c r="N65" s="10"/>
      <c r="O65" s="10"/>
    </row>
    <row r="66" spans="1:15" ht="15">
      <c r="A66" s="1" t="s">
        <v>107</v>
      </c>
      <c r="J66" s="10"/>
      <c r="K66" s="10"/>
      <c r="L66" s="10"/>
      <c r="M66" s="10"/>
      <c r="N66" s="10"/>
      <c r="O66" s="10"/>
    </row>
    <row r="67" ht="15">
      <c r="A67" s="1" t="s">
        <v>108</v>
      </c>
    </row>
    <row r="68" ht="15">
      <c r="A68" s="1" t="s">
        <v>109</v>
      </c>
    </row>
    <row r="69" spans="1:9" ht="15">
      <c r="A69" s="1" t="s">
        <v>110</v>
      </c>
      <c r="B69" s="16"/>
      <c r="C69" s="16"/>
      <c r="D69" s="16"/>
      <c r="E69" s="16"/>
      <c r="F69" s="16"/>
      <c r="G69" s="16"/>
      <c r="H69" s="16"/>
      <c r="I69" s="16"/>
    </row>
    <row r="70" ht="15">
      <c r="A70" s="1" t="s">
        <v>111</v>
      </c>
    </row>
    <row r="71" spans="1:10" ht="15">
      <c r="A71" s="1" t="s">
        <v>112</v>
      </c>
      <c r="B71" s="10">
        <f>+'CMA-PL'!B82</f>
        <v>0</v>
      </c>
      <c r="C71" s="10">
        <f>+'CMA-PL'!C82</f>
        <v>6.1</v>
      </c>
      <c r="D71" s="10">
        <f>+'CMA-PL'!D82</f>
        <v>6.573705479452045</v>
      </c>
      <c r="E71" s="10">
        <f>+'CMA-PL'!E82</f>
        <v>6.956159050880611</v>
      </c>
      <c r="F71" s="10">
        <f>+'CMA-PL'!F82</f>
        <v>7.123842086594916</v>
      </c>
      <c r="G71" s="10">
        <f>+'CMA-PL'!G82</f>
        <v>7.627521809809103</v>
      </c>
      <c r="H71" s="10">
        <f>+'CMA-PL'!H82</f>
        <v>8.092432117398499</v>
      </c>
      <c r="I71" s="10">
        <f>+'CMA-PL'!I82</f>
        <v>6.180446001706489</v>
      </c>
      <c r="J71" s="10">
        <f>+C71-B71</f>
        <v>6.1</v>
      </c>
    </row>
    <row r="72" spans="1:9" ht="15">
      <c r="A72" s="1" t="s">
        <v>113</v>
      </c>
      <c r="B72" s="10"/>
      <c r="C72" s="10"/>
      <c r="D72" s="10"/>
      <c r="E72" s="10"/>
      <c r="F72" s="10"/>
      <c r="G72" s="10"/>
      <c r="H72" s="10"/>
      <c r="I72" s="10"/>
    </row>
    <row r="74" spans="1:9" ht="15.75">
      <c r="A74" s="2" t="s">
        <v>114</v>
      </c>
      <c r="B74" s="18">
        <f>SUM(B63:B73)</f>
        <v>0</v>
      </c>
      <c r="C74" s="18">
        <f>SUM(C63:C73)</f>
        <v>16.799999999999997</v>
      </c>
      <c r="D74" s="18">
        <f>SUM(D63:D73)</f>
        <v>20.873705479452042</v>
      </c>
      <c r="E74" s="18">
        <f>SUM(E63:E73)</f>
        <v>25.829864530332653</v>
      </c>
      <c r="F74" s="18">
        <f>SUM(F63:F73)</f>
        <v>30.95370661692757</v>
      </c>
      <c r="G74" s="18">
        <f>SUM(G63:G73)</f>
        <v>34.58122842673667</v>
      </c>
      <c r="H74" s="18">
        <f>SUM(H63:H73)</f>
        <v>38.673660544135174</v>
      </c>
      <c r="I74" s="18">
        <f>SUM(I63:I73)</f>
        <v>40.85410654584166</v>
      </c>
    </row>
    <row r="75" ht="15">
      <c r="O75" s="10">
        <f>+H75-G75</f>
        <v>0</v>
      </c>
    </row>
    <row r="76" spans="1:9" ht="16.5">
      <c r="A76" s="2" t="s">
        <v>115</v>
      </c>
      <c r="B76" s="27">
        <f>B60+B74</f>
        <v>0</v>
      </c>
      <c r="C76" s="27">
        <f>C60+C74</f>
        <v>28.18</v>
      </c>
      <c r="D76" s="27">
        <f>D60+D74</f>
        <v>32.88370547945204</v>
      </c>
      <c r="E76" s="27">
        <f>E60+E74</f>
        <v>37.71843595890408</v>
      </c>
      <c r="F76" s="27">
        <f>F60+F74</f>
        <v>42.35656375978471</v>
      </c>
      <c r="G76" s="27">
        <f>G60+G74</f>
        <v>44.52694271245096</v>
      </c>
      <c r="H76" s="27">
        <f>H60+H74</f>
        <v>49.10508911556374</v>
      </c>
      <c r="I76" s="27">
        <f>I60+I74</f>
        <v>50.07124940298452</v>
      </c>
    </row>
    <row r="77" ht="15.75">
      <c r="A77" s="2"/>
    </row>
    <row r="78" ht="15.75">
      <c r="A78" s="19" t="s">
        <v>63</v>
      </c>
    </row>
    <row r="79" spans="1:9" ht="15.75">
      <c r="A79" s="19"/>
      <c r="B79" s="28">
        <f>-B153</f>
        <v>0</v>
      </c>
      <c r="C79" s="28">
        <f>-C153</f>
        <v>0</v>
      </c>
      <c r="D79" s="28">
        <f>-D153</f>
        <v>0</v>
      </c>
      <c r="E79" s="28">
        <f>-E153</f>
        <v>0</v>
      </c>
      <c r="F79" s="28">
        <f>-F153</f>
        <v>0</v>
      </c>
      <c r="G79" s="28">
        <f>-G153</f>
        <v>0</v>
      </c>
      <c r="H79" s="28">
        <f>-H153</f>
        <v>0</v>
      </c>
      <c r="I79" s="28">
        <f>-I153</f>
        <v>0.004346448140772452</v>
      </c>
    </row>
    <row r="80" ht="15.75">
      <c r="A80" s="2">
        <f>A4</f>
        <v>0</v>
      </c>
    </row>
    <row r="81" spans="1:9" ht="15">
      <c r="A81" s="3"/>
      <c r="B81" s="20" t="s">
        <v>12</v>
      </c>
      <c r="C81" s="20" t="s">
        <v>12</v>
      </c>
      <c r="D81" s="20" t="s">
        <v>12</v>
      </c>
      <c r="E81" s="20" t="s">
        <v>12</v>
      </c>
      <c r="F81" s="20" t="s">
        <v>12</v>
      </c>
      <c r="G81" s="20" t="s">
        <v>12</v>
      </c>
      <c r="H81" s="20" t="s">
        <v>12</v>
      </c>
      <c r="I81" s="20" t="s">
        <v>12</v>
      </c>
    </row>
    <row r="82" spans="1:9" ht="15">
      <c r="A82" s="7" t="s">
        <v>116</v>
      </c>
      <c r="B82" s="21" t="s">
        <v>13</v>
      </c>
      <c r="C82" s="21" t="s">
        <v>13</v>
      </c>
      <c r="D82" s="21" t="s">
        <v>13</v>
      </c>
      <c r="E82" s="21" t="s">
        <v>13</v>
      </c>
      <c r="F82" s="21" t="s">
        <v>13</v>
      </c>
      <c r="G82" s="21" t="s">
        <v>13</v>
      </c>
      <c r="H82" s="21" t="s">
        <v>13</v>
      </c>
      <c r="I82" s="21" t="s">
        <v>13</v>
      </c>
    </row>
    <row r="83" spans="1:9" ht="15">
      <c r="A83" s="7"/>
      <c r="B83" s="22" t="s">
        <v>65</v>
      </c>
      <c r="C83" s="22" t="s">
        <v>65</v>
      </c>
      <c r="D83" s="22" t="s">
        <v>65</v>
      </c>
      <c r="E83" s="22" t="s">
        <v>65</v>
      </c>
      <c r="F83" s="22" t="s">
        <v>65</v>
      </c>
      <c r="G83" s="22" t="s">
        <v>65</v>
      </c>
      <c r="H83" s="22" t="s">
        <v>65</v>
      </c>
      <c r="I83" s="22" t="s">
        <v>65</v>
      </c>
    </row>
    <row r="84" spans="1:9" ht="15.75">
      <c r="A84" s="9"/>
      <c r="B84" s="6">
        <f>+B44</f>
        <v>0</v>
      </c>
      <c r="C84" s="6">
        <f>+C44</f>
        <v>0</v>
      </c>
      <c r="D84" s="6">
        <f>+D44</f>
        <v>0</v>
      </c>
      <c r="E84" s="6">
        <f>+E44</f>
        <v>0</v>
      </c>
      <c r="F84" s="6">
        <f>+F44</f>
        <v>0</v>
      </c>
      <c r="G84" s="6">
        <f>+G44</f>
        <v>0</v>
      </c>
      <c r="H84" s="6">
        <f>+H44</f>
        <v>0</v>
      </c>
      <c r="I84" s="6">
        <f>+I44</f>
        <v>0</v>
      </c>
    </row>
    <row r="86" ht="15.75">
      <c r="A86" s="26" t="s">
        <v>117</v>
      </c>
    </row>
    <row r="88" spans="1:10" ht="15">
      <c r="A88" s="1" t="s">
        <v>118</v>
      </c>
      <c r="B88" s="10"/>
      <c r="C88" s="10">
        <v>8.96</v>
      </c>
      <c r="D88" s="10">
        <v>3.4502054794520376</v>
      </c>
      <c r="E88" s="28">
        <v>6.271660958904079</v>
      </c>
      <c r="F88" s="28">
        <v>9.374545009784718</v>
      </c>
      <c r="G88" s="28">
        <v>9.593214774950958</v>
      </c>
      <c r="H88" s="28">
        <v>10.796305968688742</v>
      </c>
      <c r="I88" s="28">
        <v>10.94</v>
      </c>
      <c r="J88" s="10">
        <f>+C88-B88</f>
        <v>8.96</v>
      </c>
    </row>
    <row r="90" spans="1:12" ht="15">
      <c r="A90" s="1" t="s">
        <v>119</v>
      </c>
      <c r="L90" s="10"/>
    </row>
    <row r="91" ht="15">
      <c r="A91" s="1" t="s">
        <v>120</v>
      </c>
    </row>
    <row r="92" ht="15">
      <c r="A92" s="1" t="s">
        <v>121</v>
      </c>
    </row>
    <row r="93" spans="1:9" ht="15">
      <c r="A93" s="1" t="s">
        <v>122</v>
      </c>
      <c r="B93" s="10"/>
      <c r="C93" s="10"/>
      <c r="D93" s="10"/>
      <c r="E93" s="10"/>
      <c r="F93" s="10"/>
      <c r="G93" s="10"/>
      <c r="H93" s="10"/>
      <c r="I93" s="10"/>
    </row>
    <row r="94" spans="1:13" ht="15">
      <c r="A94" s="1" t="s">
        <v>123</v>
      </c>
      <c r="B94" s="10"/>
      <c r="C94" s="10">
        <v>3.56</v>
      </c>
      <c r="D94" s="10">
        <v>15.1</v>
      </c>
      <c r="E94" s="10">
        <v>18</v>
      </c>
      <c r="F94" s="10">
        <v>20</v>
      </c>
      <c r="G94" s="10">
        <v>22</v>
      </c>
      <c r="H94" s="10">
        <v>25</v>
      </c>
      <c r="I94" s="10">
        <v>25</v>
      </c>
      <c r="J94" s="10">
        <f>+C94-B94</f>
        <v>3.56</v>
      </c>
      <c r="K94" s="8"/>
      <c r="L94" s="8"/>
      <c r="M94" s="8"/>
    </row>
    <row r="95" spans="1:13" ht="15">
      <c r="A95" s="1" t="s">
        <v>124</v>
      </c>
      <c r="J95" s="28"/>
      <c r="K95" s="28"/>
      <c r="L95" s="8"/>
      <c r="M95" s="8"/>
    </row>
    <row r="96" spans="1:13" ht="15">
      <c r="A96" s="1" t="s">
        <v>125</v>
      </c>
      <c r="B96" s="10"/>
      <c r="C96" s="10"/>
      <c r="D96" s="10"/>
      <c r="E96" s="10"/>
      <c r="F96" s="10"/>
      <c r="G96" s="10"/>
      <c r="H96" s="10"/>
      <c r="I96" s="10"/>
      <c r="J96" s="28">
        <f>+B94+B102</f>
        <v>0</v>
      </c>
      <c r="K96" s="28"/>
      <c r="L96" s="8"/>
      <c r="M96" s="8"/>
    </row>
    <row r="97" spans="1:13" ht="15.75">
      <c r="A97" s="1" t="s">
        <v>126</v>
      </c>
      <c r="B97" s="10"/>
      <c r="C97" s="10"/>
      <c r="D97" s="10"/>
      <c r="E97" s="10"/>
      <c r="F97" s="10"/>
      <c r="G97" s="10"/>
      <c r="H97" s="10"/>
      <c r="I97" s="10"/>
      <c r="J97" s="8">
        <f>+J96*75%</f>
        <v>0</v>
      </c>
      <c r="K97" s="29"/>
      <c r="L97" s="8"/>
      <c r="M97" s="8"/>
    </row>
    <row r="98" spans="1:13" ht="15">
      <c r="A98" s="1" t="s">
        <v>127</v>
      </c>
      <c r="J98" s="8"/>
      <c r="K98" s="8"/>
      <c r="L98" s="8"/>
      <c r="M98" s="8"/>
    </row>
    <row r="99" spans="1:13" ht="15">
      <c r="A99" s="1" t="s">
        <v>128</v>
      </c>
      <c r="J99" s="8"/>
      <c r="K99" s="8"/>
      <c r="L99" s="8"/>
      <c r="M99" s="8"/>
    </row>
    <row r="100" spans="1:13" ht="15">
      <c r="A100" s="1" t="s">
        <v>129</v>
      </c>
      <c r="J100" s="8"/>
      <c r="K100" s="8"/>
      <c r="L100" s="8"/>
      <c r="M100" s="8"/>
    </row>
    <row r="101" spans="1:13" ht="15">
      <c r="A101" s="1" t="s">
        <v>130</v>
      </c>
      <c r="B101" s="10"/>
      <c r="C101" s="10"/>
      <c r="D101" s="10"/>
      <c r="E101" s="10"/>
      <c r="F101" s="10"/>
      <c r="G101" s="10"/>
      <c r="H101" s="10"/>
      <c r="I101" s="10"/>
      <c r="J101" s="10">
        <f aca="true" t="shared" si="0" ref="J101:J103">+C101-B101</f>
        <v>0</v>
      </c>
      <c r="K101" s="8"/>
      <c r="L101" s="8"/>
      <c r="M101" s="8"/>
    </row>
    <row r="102" spans="1:14" ht="15">
      <c r="A102" s="1" t="s">
        <v>131</v>
      </c>
      <c r="B102" s="10"/>
      <c r="C102" s="10"/>
      <c r="D102" s="10"/>
      <c r="E102" s="10"/>
      <c r="F102" s="10"/>
      <c r="G102" s="10"/>
      <c r="H102" s="10"/>
      <c r="I102" s="10"/>
      <c r="J102" s="10">
        <f t="shared" si="0"/>
        <v>0</v>
      </c>
      <c r="L102" s="8" t="s">
        <v>132</v>
      </c>
      <c r="M102" s="28">
        <f>+B94</f>
        <v>0</v>
      </c>
      <c r="N102" s="28">
        <f>+M102*0.6</f>
        <v>0</v>
      </c>
    </row>
    <row r="103" spans="1:14" ht="15">
      <c r="A103" s="1" t="s">
        <v>133</v>
      </c>
      <c r="B103" s="10"/>
      <c r="C103" s="10">
        <v>3.44</v>
      </c>
      <c r="D103" s="10">
        <f>+'CMA-PL'!D52</f>
        <v>4.128</v>
      </c>
      <c r="E103" s="10">
        <f>+'CMA-PL'!E52</f>
        <v>4.9536</v>
      </c>
      <c r="F103" s="10">
        <f>+'CMA-PL'!F52</f>
        <v>5.944319999999999</v>
      </c>
      <c r="G103" s="10">
        <f>+'CMA-PL'!G52</f>
        <v>7.133183999999999</v>
      </c>
      <c r="H103" s="10">
        <f>+'CMA-PL'!H52</f>
        <v>8.559820799999999</v>
      </c>
      <c r="I103" s="10">
        <f>+'CMA-PL'!I52</f>
        <v>10.271784959999998</v>
      </c>
      <c r="J103" s="10">
        <f t="shared" si="0"/>
        <v>3.44</v>
      </c>
      <c r="L103" s="8" t="s">
        <v>134</v>
      </c>
      <c r="M103" s="28">
        <f>+SUM(B101:B103)</f>
        <v>0</v>
      </c>
      <c r="N103" s="8"/>
    </row>
    <row r="104" spans="1:14" ht="15">
      <c r="A104" s="1" t="s">
        <v>135</v>
      </c>
      <c r="B104" s="10"/>
      <c r="C104" s="10"/>
      <c r="D104" s="10"/>
      <c r="E104" s="10"/>
      <c r="F104" s="10"/>
      <c r="G104" s="10"/>
      <c r="H104" s="10"/>
      <c r="I104" s="10"/>
      <c r="L104" s="8" t="s">
        <v>136</v>
      </c>
      <c r="M104" s="28">
        <f>+B20</f>
        <v>0</v>
      </c>
      <c r="N104" s="8"/>
    </row>
    <row r="105" spans="1:14" ht="15">
      <c r="A105" s="1" t="s">
        <v>137</v>
      </c>
      <c r="L105" s="8"/>
      <c r="M105" s="28">
        <f>+M103-M104</f>
        <v>0</v>
      </c>
      <c r="N105" s="8">
        <f>+M105*0.75</f>
        <v>0</v>
      </c>
    </row>
    <row r="106" spans="1:14" ht="15">
      <c r="A106" s="1" t="s">
        <v>138</v>
      </c>
      <c r="B106" s="10"/>
      <c r="C106" s="10"/>
      <c r="D106" s="10"/>
      <c r="E106" s="10"/>
      <c r="F106" s="10"/>
      <c r="G106" s="10"/>
      <c r="H106" s="10"/>
      <c r="I106" s="10"/>
      <c r="L106" s="8"/>
      <c r="M106" s="8"/>
      <c r="N106" s="28">
        <f>+N105+N102</f>
        <v>0</v>
      </c>
    </row>
    <row r="107" spans="1:14" ht="15">
      <c r="A107" s="1" t="s">
        <v>139</v>
      </c>
      <c r="B107" s="10"/>
      <c r="C107" s="10"/>
      <c r="D107" s="10"/>
      <c r="E107" s="10"/>
      <c r="F107" s="10"/>
      <c r="G107" s="10"/>
      <c r="H107" s="10"/>
      <c r="I107" s="10"/>
      <c r="L107" s="8"/>
      <c r="M107" s="8"/>
      <c r="N107" s="8"/>
    </row>
    <row r="108" spans="1:13" ht="15">
      <c r="A108" s="1" t="s">
        <v>140</v>
      </c>
      <c r="B108" s="10"/>
      <c r="C108" s="10"/>
      <c r="D108" s="10"/>
      <c r="E108" s="10"/>
      <c r="F108" s="10"/>
      <c r="G108" s="10"/>
      <c r="H108" s="10"/>
      <c r="I108" s="10"/>
      <c r="J108" s="8"/>
      <c r="K108" s="8"/>
      <c r="L108" s="8"/>
      <c r="M108" s="8"/>
    </row>
    <row r="109" spans="1:13" ht="15">
      <c r="A109" s="1" t="s">
        <v>141</v>
      </c>
      <c r="B109" s="10"/>
      <c r="C109" s="10">
        <v>3.61</v>
      </c>
      <c r="D109" s="10">
        <f>+C109</f>
        <v>3.61</v>
      </c>
      <c r="E109" s="10">
        <f>+D109</f>
        <v>3.61</v>
      </c>
      <c r="F109" s="10">
        <f>+E109</f>
        <v>3.61</v>
      </c>
      <c r="G109" s="10">
        <f>+F109</f>
        <v>3.61</v>
      </c>
      <c r="H109" s="10">
        <f>+G109</f>
        <v>3.61</v>
      </c>
      <c r="I109" s="10">
        <f>+H109</f>
        <v>3.61</v>
      </c>
      <c r="J109" s="10">
        <f>+C109-B109</f>
        <v>3.61</v>
      </c>
      <c r="K109" s="8"/>
      <c r="L109" s="8"/>
      <c r="M109" s="8"/>
    </row>
    <row r="110" spans="10:13" ht="15">
      <c r="J110" s="8"/>
      <c r="K110" s="8"/>
      <c r="L110" s="8"/>
      <c r="M110" s="8"/>
    </row>
    <row r="111" spans="1:9" ht="15.75">
      <c r="A111" s="2" t="s">
        <v>142</v>
      </c>
      <c r="B111" s="18">
        <f>SUM(B88:B110)</f>
        <v>0</v>
      </c>
      <c r="C111" s="18">
        <f>SUM(C88:C110)</f>
        <v>19.57</v>
      </c>
      <c r="D111" s="18">
        <f>SUM(D88:D110)</f>
        <v>26.28820547945204</v>
      </c>
      <c r="E111" s="18">
        <f>SUM(E88:E110)</f>
        <v>32.83526095890408</v>
      </c>
      <c r="F111" s="18">
        <f>SUM(F88:F110)</f>
        <v>38.928865009784715</v>
      </c>
      <c r="G111" s="18">
        <f>SUM(G88:G110)</f>
        <v>42.33639877495096</v>
      </c>
      <c r="H111" s="18">
        <f>SUM(H88:H110)</f>
        <v>47.96612676868874</v>
      </c>
      <c r="I111" s="18">
        <f>SUM(I88:I110)</f>
        <v>49.821784959999995</v>
      </c>
    </row>
    <row r="112" ht="15.75">
      <c r="A112" s="2"/>
    </row>
    <row r="113" ht="15.75">
      <c r="A113" s="19" t="s">
        <v>63</v>
      </c>
    </row>
    <row r="114" ht="15.75">
      <c r="A114" s="19"/>
    </row>
    <row r="115" ht="15.75">
      <c r="A115" s="2">
        <f>A4</f>
        <v>0</v>
      </c>
    </row>
    <row r="116" spans="1:9" ht="15">
      <c r="A116" s="3"/>
      <c r="B116" s="20" t="s">
        <v>12</v>
      </c>
      <c r="C116" s="20" t="s">
        <v>12</v>
      </c>
      <c r="D116" s="20" t="s">
        <v>12</v>
      </c>
      <c r="E116" s="20" t="s">
        <v>12</v>
      </c>
      <c r="F116" s="20" t="s">
        <v>12</v>
      </c>
      <c r="G116" s="20" t="s">
        <v>12</v>
      </c>
      <c r="H116" s="20" t="s">
        <v>12</v>
      </c>
      <c r="I116" s="20" t="s">
        <v>12</v>
      </c>
    </row>
    <row r="117" spans="1:9" ht="15">
      <c r="A117" s="7" t="s">
        <v>116</v>
      </c>
      <c r="B117" s="21" t="s">
        <v>13</v>
      </c>
      <c r="C117" s="21" t="s">
        <v>13</v>
      </c>
      <c r="D117" s="21" t="s">
        <v>13</v>
      </c>
      <c r="E117" s="21" t="s">
        <v>13</v>
      </c>
      <c r="F117" s="21" t="s">
        <v>13</v>
      </c>
      <c r="G117" s="21" t="s">
        <v>13</v>
      </c>
      <c r="H117" s="21" t="s">
        <v>13</v>
      </c>
      <c r="I117" s="21" t="s">
        <v>13</v>
      </c>
    </row>
    <row r="118" spans="1:9" ht="15">
      <c r="A118" s="7"/>
      <c r="B118" s="22" t="s">
        <v>65</v>
      </c>
      <c r="C118" s="22" t="s">
        <v>65</v>
      </c>
      <c r="D118" s="22" t="s">
        <v>65</v>
      </c>
      <c r="E118" s="22" t="s">
        <v>65</v>
      </c>
      <c r="F118" s="22" t="s">
        <v>65</v>
      </c>
      <c r="G118" s="22" t="s">
        <v>65</v>
      </c>
      <c r="H118" s="22" t="s">
        <v>65</v>
      </c>
      <c r="I118" s="22" t="s">
        <v>65</v>
      </c>
    </row>
    <row r="119" spans="1:9" ht="15.75">
      <c r="A119" s="9"/>
      <c r="B119" s="6">
        <f>+B84</f>
        <v>0</v>
      </c>
      <c r="C119" s="6">
        <f>+C84</f>
        <v>0</v>
      </c>
      <c r="D119" s="6">
        <f>+D84</f>
        <v>0</v>
      </c>
      <c r="E119" s="6">
        <f>+E84</f>
        <v>0</v>
      </c>
      <c r="F119" s="6">
        <f>+F84</f>
        <v>0</v>
      </c>
      <c r="G119" s="6">
        <f>+G84</f>
        <v>0</v>
      </c>
      <c r="H119" s="6">
        <f>+H84</f>
        <v>0</v>
      </c>
      <c r="I119" s="6">
        <f>+I84</f>
        <v>0</v>
      </c>
    </row>
    <row r="120" ht="15.75">
      <c r="A120" s="26" t="s">
        <v>143</v>
      </c>
    </row>
    <row r="121" spans="1:10" ht="15">
      <c r="A121" s="1" t="s">
        <v>144</v>
      </c>
      <c r="B121" s="10"/>
      <c r="C121" s="10">
        <v>10.98</v>
      </c>
      <c r="D121" s="10">
        <f>+C121</f>
        <v>10.98</v>
      </c>
      <c r="E121" s="10">
        <f>+D121</f>
        <v>10.98</v>
      </c>
      <c r="F121" s="10">
        <f>+E121</f>
        <v>10.98</v>
      </c>
      <c r="G121" s="10">
        <f>+F121</f>
        <v>10.98</v>
      </c>
      <c r="H121" s="10">
        <f>+G121</f>
        <v>10.98</v>
      </c>
      <c r="I121" s="10">
        <f>+H121</f>
        <v>10.98</v>
      </c>
      <c r="J121" s="10">
        <f>+C121-B121</f>
        <v>10.98</v>
      </c>
    </row>
    <row r="122" ht="15">
      <c r="A122" s="1" t="s">
        <v>145</v>
      </c>
    </row>
    <row r="123" spans="1:10" ht="15">
      <c r="A123" s="1" t="s">
        <v>146</v>
      </c>
      <c r="B123" s="10"/>
      <c r="C123" s="10">
        <v>2.37</v>
      </c>
      <c r="D123" s="10">
        <f>+C123+'CMA-PL'!D33</f>
        <v>4.3845</v>
      </c>
      <c r="E123" s="10">
        <f>+D123+'CMA-PL'!E33</f>
        <v>6.096825</v>
      </c>
      <c r="F123" s="10">
        <f>+E123+'CMA-PL'!F33</f>
        <v>7.552301249999999</v>
      </c>
      <c r="G123" s="10">
        <f>+F123+'CMA-PL'!G33</f>
        <v>8.7894560625</v>
      </c>
      <c r="H123" s="10">
        <f>+G123+'CMA-PL'!H33</f>
        <v>9.841037653125</v>
      </c>
      <c r="I123" s="10">
        <f>+H123+'CMA-PL'!I33</f>
        <v>10.73488200515625</v>
      </c>
      <c r="J123" s="10">
        <f>+C123-B123</f>
        <v>2.37</v>
      </c>
    </row>
    <row r="124" spans="1:9" ht="15.75">
      <c r="A124" s="2" t="s">
        <v>147</v>
      </c>
      <c r="B124" s="18">
        <f>B121-B123</f>
        <v>0</v>
      </c>
      <c r="C124" s="18">
        <f>C121-C123</f>
        <v>8.61</v>
      </c>
      <c r="D124" s="18">
        <f>D121-D123</f>
        <v>6.5955</v>
      </c>
      <c r="E124" s="18">
        <f>E121-E123</f>
        <v>4.8831750000000005</v>
      </c>
      <c r="F124" s="18">
        <f>F121-F123</f>
        <v>3.427698750000001</v>
      </c>
      <c r="G124" s="18">
        <f>G121-G123</f>
        <v>2.190543937500001</v>
      </c>
      <c r="H124" s="18">
        <f>H121-H123</f>
        <v>1.138962346875001</v>
      </c>
      <c r="I124" s="18">
        <f>I121-I123</f>
        <v>0.24511799484375096</v>
      </c>
    </row>
    <row r="126" ht="15.75">
      <c r="A126" s="26" t="s">
        <v>148</v>
      </c>
    </row>
    <row r="127" ht="15">
      <c r="A127" s="1" t="s">
        <v>149</v>
      </c>
    </row>
    <row r="128" spans="1:9" ht="15">
      <c r="A128" s="1" t="s">
        <v>150</v>
      </c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" t="s">
        <v>151</v>
      </c>
      <c r="B129" s="10"/>
      <c r="C129" s="10"/>
      <c r="D129" s="10"/>
      <c r="E129" s="10"/>
      <c r="F129" s="10"/>
      <c r="G129" s="10"/>
      <c r="H129" s="10"/>
      <c r="I129" s="10"/>
    </row>
    <row r="130" ht="15">
      <c r="A130" s="1" t="s">
        <v>152</v>
      </c>
    </row>
    <row r="131" ht="15">
      <c r="A131" s="1" t="s">
        <v>153</v>
      </c>
    </row>
    <row r="132" spans="1:9" ht="15">
      <c r="A132" s="1" t="s">
        <v>154</v>
      </c>
      <c r="B132" s="10"/>
      <c r="C132" s="10"/>
      <c r="D132" s="10"/>
      <c r="E132" s="10"/>
      <c r="F132" s="10"/>
      <c r="G132" s="10"/>
      <c r="H132" s="10"/>
      <c r="I132" s="10"/>
    </row>
    <row r="133" ht="15">
      <c r="A133" s="1" t="s">
        <v>155</v>
      </c>
    </row>
    <row r="134" spans="1:9" ht="15.75">
      <c r="A134" s="1" t="s">
        <v>156</v>
      </c>
      <c r="B134" s="2"/>
      <c r="C134" s="2"/>
      <c r="D134" s="2"/>
      <c r="E134" s="2"/>
      <c r="F134" s="2"/>
      <c r="G134" s="2"/>
      <c r="H134" s="2"/>
      <c r="I134" s="2"/>
    </row>
    <row r="135" ht="15">
      <c r="A135" s="1" t="s">
        <v>157</v>
      </c>
    </row>
    <row r="136" ht="15">
      <c r="A136" s="1" t="s">
        <v>158</v>
      </c>
    </row>
    <row r="137" ht="15">
      <c r="A137" s="1" t="s">
        <v>159</v>
      </c>
    </row>
    <row r="139" spans="1:9" ht="15.75">
      <c r="A139" s="2" t="s">
        <v>160</v>
      </c>
      <c r="B139" s="18">
        <f>SUM(B128:B137)</f>
        <v>0</v>
      </c>
      <c r="C139" s="18">
        <f>SUM(C128:C137)</f>
        <v>0</v>
      </c>
      <c r="D139" s="18">
        <f>SUM(D128:D137)</f>
        <v>0</v>
      </c>
      <c r="E139" s="18">
        <f>SUM(E128:E137)</f>
        <v>0</v>
      </c>
      <c r="F139" s="18">
        <f>SUM(F128:F137)</f>
        <v>0</v>
      </c>
      <c r="G139" s="18">
        <f>SUM(G128:G137)</f>
        <v>0</v>
      </c>
      <c r="H139" s="18">
        <f>SUM(H128:H137)</f>
        <v>0</v>
      </c>
      <c r="I139" s="18">
        <f>SUM(I128:I137)</f>
        <v>0</v>
      </c>
    </row>
    <row r="140" ht="15">
      <c r="A140" s="1" t="s">
        <v>161</v>
      </c>
    </row>
    <row r="141" spans="1:2" ht="15">
      <c r="A141" s="1" t="s">
        <v>162</v>
      </c>
      <c r="B141" s="17"/>
    </row>
    <row r="142" spans="1:9" ht="15">
      <c r="A142" s="1" t="s">
        <v>163</v>
      </c>
      <c r="B142" s="10"/>
      <c r="C142" s="10">
        <f>+B142-'CMA-PL'!C70</f>
        <v>0</v>
      </c>
      <c r="D142" s="10">
        <f>+C142-'CMA-PL'!D70</f>
        <v>0</v>
      </c>
      <c r="E142" s="10">
        <f>+D142-'CMA-PL'!E70</f>
        <v>0</v>
      </c>
      <c r="F142" s="10">
        <f>+E142-'CMA-PL'!F70</f>
        <v>0</v>
      </c>
      <c r="G142" s="10">
        <f>+F142-'CMA-PL'!G70</f>
        <v>0</v>
      </c>
      <c r="H142" s="10">
        <f>+G142-'CMA-PL'!H70</f>
        <v>0</v>
      </c>
      <c r="I142" s="10">
        <f>+H142-'CMA-PL'!I70</f>
        <v>0</v>
      </c>
    </row>
    <row r="143" ht="15">
      <c r="A143" s="1" t="s">
        <v>164</v>
      </c>
    </row>
    <row r="144" spans="1:9" ht="15.75">
      <c r="A144" s="2" t="s">
        <v>165</v>
      </c>
      <c r="B144" s="18">
        <f>B111+B124+B139+B142</f>
        <v>0</v>
      </c>
      <c r="C144" s="18">
        <f>C111+C124+C139+C142</f>
        <v>28.18</v>
      </c>
      <c r="D144" s="18">
        <f>D111+D124+D139+D142</f>
        <v>32.88370547945204</v>
      </c>
      <c r="E144" s="18">
        <f>E111+E124+E139+E142</f>
        <v>37.71843595890408</v>
      </c>
      <c r="F144" s="18">
        <f>F111+F124+F139+F142</f>
        <v>42.35656375978472</v>
      </c>
      <c r="G144" s="18">
        <f>G111+G124+G139+G142</f>
        <v>44.52694271245096</v>
      </c>
      <c r="H144" s="18">
        <f>H111+H124+H139+H142</f>
        <v>49.10508911556374</v>
      </c>
      <c r="I144" s="18">
        <f>I111+I124+I139+I142</f>
        <v>50.06690295484375</v>
      </c>
    </row>
    <row r="145" ht="15">
      <c r="A145" s="1" t="s">
        <v>166</v>
      </c>
    </row>
    <row r="146" spans="1:9" ht="15">
      <c r="A146" s="1" t="s">
        <v>167</v>
      </c>
      <c r="B146" s="10">
        <f>B74-B142</f>
        <v>0</v>
      </c>
      <c r="C146" s="10">
        <f>C74-C142</f>
        <v>16.799999999999997</v>
      </c>
      <c r="D146" s="10">
        <f>D74-D142</f>
        <v>20.873705479452042</v>
      </c>
      <c r="E146" s="10">
        <f>E74-E142</f>
        <v>25.829864530332653</v>
      </c>
      <c r="F146" s="10">
        <f>F74-F142</f>
        <v>30.95370661692757</v>
      </c>
      <c r="G146" s="10">
        <f>G74-G142</f>
        <v>34.58122842673667</v>
      </c>
      <c r="H146" s="10">
        <f>H74-H142</f>
        <v>38.673660544135174</v>
      </c>
      <c r="I146" s="10">
        <f>I74-I142</f>
        <v>40.85410654584166</v>
      </c>
    </row>
    <row r="147" spans="1:9" ht="15">
      <c r="A147" s="1" t="s">
        <v>168</v>
      </c>
      <c r="B147" s="10">
        <f>B111-B36</f>
        <v>0</v>
      </c>
      <c r="C147" s="10">
        <f>C111-C36</f>
        <v>11.84</v>
      </c>
      <c r="D147" s="10">
        <f>D111-D36</f>
        <v>17.556776908023465</v>
      </c>
      <c r="E147" s="10">
        <f>E111-E36</f>
        <v>23.739546673189793</v>
      </c>
      <c r="F147" s="10">
        <f>F111-F36</f>
        <v>29.83315072407043</v>
      </c>
      <c r="G147" s="10">
        <f>G111-G36</f>
        <v>33.24068448923667</v>
      </c>
      <c r="H147" s="10">
        <f>H111-H36</f>
        <v>38.87041248297445</v>
      </c>
      <c r="I147" s="10">
        <f>I111-I36</f>
        <v>40.72607067428571</v>
      </c>
    </row>
    <row r="148" spans="1:9" ht="15">
      <c r="A148" s="1" t="s">
        <v>169</v>
      </c>
      <c r="B148" s="10" t="e">
        <f>+B111/B36</f>
        <v>#DIV/0!</v>
      </c>
      <c r="C148" s="10">
        <f>+C111/C36</f>
        <v>2.5316946959896507</v>
      </c>
      <c r="D148" s="10">
        <f>+D111/D36</f>
        <v>3.0107565176074</v>
      </c>
      <c r="E148" s="10">
        <f>+E111/E36</f>
        <v>3.6099705781738427</v>
      </c>
      <c r="F148" s="10">
        <f>+F111/F36</f>
        <v>4.2799129113945815</v>
      </c>
      <c r="G148" s="10">
        <f>+G111/G36</f>
        <v>4.65454360648118</v>
      </c>
      <c r="H148" s="10">
        <f>+H111/H36</f>
        <v>5.273486530246917</v>
      </c>
      <c r="I148" s="10">
        <f>+I111/I36</f>
        <v>5.477501095021203</v>
      </c>
    </row>
    <row r="149" spans="1:9" ht="15">
      <c r="A149" s="1" t="s">
        <v>170</v>
      </c>
      <c r="B149" s="10" t="e">
        <f>+B60/B146</f>
        <v>#DIV/0!</v>
      </c>
      <c r="C149" s="10">
        <f>+C60/C146</f>
        <v>0.6773809523809525</v>
      </c>
      <c r="D149" s="10">
        <f>+D60/D146</f>
        <v>0.5753650214056424</v>
      </c>
      <c r="E149" s="10">
        <f>+E60/E146</f>
        <v>0.4602645675748854</v>
      </c>
      <c r="F149" s="10">
        <f>+F60/F146</f>
        <v>0.36838422241235863</v>
      </c>
      <c r="G149" s="10">
        <f>+G60/G146</f>
        <v>0.2876044240818438</v>
      </c>
      <c r="H149" s="10">
        <f>+H60/H146</f>
        <v>0.2697295374851835</v>
      </c>
      <c r="I149" s="10">
        <f>+I60/I146</f>
        <v>0.2256111719589429</v>
      </c>
    </row>
    <row r="150" ht="15">
      <c r="A150" s="1" t="s">
        <v>171</v>
      </c>
    </row>
    <row r="151" spans="1:9" ht="15">
      <c r="A151" s="1" t="s">
        <v>172</v>
      </c>
      <c r="B151" s="10" t="e">
        <f>+B58/B146</f>
        <v>#DIV/0!</v>
      </c>
      <c r="C151" s="10">
        <f>+C58/C146</f>
        <v>0.2172619047619048</v>
      </c>
      <c r="D151" s="10">
        <f>+D58/D146</f>
        <v>0.15706705413654684</v>
      </c>
      <c r="E151" s="10">
        <f>+E58/E146</f>
        <v>0.108125117713158</v>
      </c>
      <c r="F151" s="10">
        <f>+F58/F146</f>
        <v>0.07453526925531936</v>
      </c>
      <c r="G151" s="10">
        <f>+G58/G146</f>
        <v>0.02457980929742847</v>
      </c>
      <c r="H151" s="10">
        <f>+H58/H146</f>
        <v>0.0345380878593052</v>
      </c>
      <c r="I151" s="10">
        <f>+I58/I146</f>
        <v>0.0029722488556277347</v>
      </c>
    </row>
    <row r="152" ht="15">
      <c r="A152" s="1" t="s">
        <v>173</v>
      </c>
    </row>
    <row r="153" spans="2:9" ht="15">
      <c r="B153" s="10">
        <f>+B144-B76</f>
        <v>0</v>
      </c>
      <c r="C153" s="10">
        <f>+C144-C76</f>
        <v>0</v>
      </c>
      <c r="D153" s="10">
        <f>+D144-D76</f>
        <v>0</v>
      </c>
      <c r="E153" s="10">
        <f>+E144-E76</f>
        <v>0</v>
      </c>
      <c r="F153" s="10">
        <f>+F144-F76</f>
        <v>0</v>
      </c>
      <c r="G153" s="10">
        <f>+G144-G76</f>
        <v>0</v>
      </c>
      <c r="H153" s="10">
        <f>+H144-H76</f>
        <v>0</v>
      </c>
      <c r="I153" s="10">
        <f>+I144-I76</f>
        <v>-0.004346448140772452</v>
      </c>
    </row>
  </sheetData>
  <sheetProtection selectLockedCells="1" selectUnlockedCells="1"/>
  <printOptions/>
  <pageMargins left="0.42986111111111114" right="0.1701388888888889" top="0.3902777777777778" bottom="0.2902777777777778" header="0.5118110236220472" footer="0.5118110236220472"/>
  <pageSetup horizontalDpi="300" verticalDpi="300" orientation="landscape" paperSize="9" scale="85"/>
  <rowBreaks count="3" manualBreakCount="3">
    <brk id="36" max="255" man="1"/>
    <brk id="76" max="255" man="1"/>
    <brk id="1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I104"/>
  <sheetViews>
    <sheetView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7" sqref="C17"/>
    </sheetView>
  </sheetViews>
  <sheetFormatPr defaultColWidth="9.140625" defaultRowHeight="12.75"/>
  <cols>
    <col min="1" max="1" width="5.8515625" style="30" customWidth="1"/>
    <col min="2" max="2" width="37.421875" style="30" customWidth="1"/>
    <col min="3" max="7" width="10.57421875" style="30" customWidth="1"/>
    <col min="8" max="9" width="10.57421875" style="30" hidden="1" customWidth="1"/>
    <col min="10" max="16384" width="9.140625" style="30" customWidth="1"/>
  </cols>
  <sheetData>
    <row r="2" ht="15.75">
      <c r="B2" s="31">
        <f>'CMA- BS'!A4</f>
        <v>0</v>
      </c>
    </row>
    <row r="3" spans="2:9" ht="12.75">
      <c r="B3" s="32" t="s">
        <v>174</v>
      </c>
      <c r="C3" s="32"/>
      <c r="D3" s="32"/>
      <c r="E3" s="32"/>
      <c r="F3" s="32"/>
      <c r="G3" s="32"/>
      <c r="H3" s="32"/>
      <c r="I3" s="32"/>
    </row>
    <row r="4" spans="2:9" ht="12.75">
      <c r="B4" s="33" t="s">
        <v>3</v>
      </c>
      <c r="C4" s="34" t="s">
        <v>175</v>
      </c>
      <c r="D4" s="34" t="s">
        <v>176</v>
      </c>
      <c r="E4" s="34" t="s">
        <v>177</v>
      </c>
      <c r="F4" s="34" t="s">
        <v>178</v>
      </c>
      <c r="G4" s="34" t="s">
        <v>4</v>
      </c>
      <c r="H4" s="34" t="s">
        <v>5</v>
      </c>
      <c r="I4" s="34" t="s">
        <v>6</v>
      </c>
    </row>
    <row r="5" spans="2:9" ht="12.75">
      <c r="B5" s="35"/>
      <c r="C5" s="36" t="s">
        <v>12</v>
      </c>
      <c r="D5" s="36" t="s">
        <v>12</v>
      </c>
      <c r="E5" s="36" t="s">
        <v>12</v>
      </c>
      <c r="F5" s="36" t="s">
        <v>12</v>
      </c>
      <c r="G5" s="36" t="s">
        <v>12</v>
      </c>
      <c r="H5" s="36" t="s">
        <v>12</v>
      </c>
      <c r="I5" s="36" t="s">
        <v>12</v>
      </c>
    </row>
    <row r="6" spans="2:9" ht="12.75">
      <c r="B6" s="37"/>
      <c r="C6" s="38" t="s">
        <v>13</v>
      </c>
      <c r="D6" s="38" t="s">
        <v>13</v>
      </c>
      <c r="E6" s="38" t="s">
        <v>13</v>
      </c>
      <c r="F6" s="38" t="s">
        <v>13</v>
      </c>
      <c r="G6" s="38" t="s">
        <v>13</v>
      </c>
      <c r="H6" s="38" t="s">
        <v>13</v>
      </c>
      <c r="I6" s="38" t="s">
        <v>13</v>
      </c>
    </row>
    <row r="7" spans="2:9" ht="12.75">
      <c r="B7" s="39"/>
      <c r="C7" s="40" t="s">
        <v>179</v>
      </c>
      <c r="D7" s="40" t="s">
        <v>179</v>
      </c>
      <c r="E7" s="40" t="s">
        <v>179</v>
      </c>
      <c r="F7" s="40" t="s">
        <v>179</v>
      </c>
      <c r="G7" s="40" t="s">
        <v>179</v>
      </c>
      <c r="H7" s="40" t="s">
        <v>179</v>
      </c>
      <c r="I7" s="40" t="s">
        <v>179</v>
      </c>
    </row>
    <row r="8" ht="12.75">
      <c r="B8" s="41" t="s">
        <v>180</v>
      </c>
    </row>
    <row r="9" spans="2:9" ht="12.75">
      <c r="B9" s="30" t="s">
        <v>181</v>
      </c>
      <c r="C9" s="42">
        <f>+'CMA-PL'!B73</f>
        <v>0</v>
      </c>
      <c r="D9" s="42">
        <f>+'CMA-PL'!C73</f>
        <v>6.1</v>
      </c>
      <c r="E9" s="42">
        <f>+'CMA-PL'!D73</f>
        <v>6.573705479452045</v>
      </c>
      <c r="F9" s="42">
        <f>+'CMA-PL'!E73</f>
        <v>6.956159050880611</v>
      </c>
      <c r="G9" s="42">
        <f>+'CMA-PL'!F73</f>
        <v>7.123842086594916</v>
      </c>
      <c r="H9" s="42">
        <f>+'CMA-PL'!G73</f>
        <v>7.627521809809103</v>
      </c>
      <c r="I9" s="42">
        <f>+'CMA-PL'!H73</f>
        <v>8.092432117398499</v>
      </c>
    </row>
    <row r="11" spans="2:9" ht="12.75">
      <c r="B11" s="30" t="s">
        <v>182</v>
      </c>
      <c r="C11" s="42">
        <f>+'CMA-PL'!B33</f>
        <v>0</v>
      </c>
      <c r="D11" s="42">
        <f>+'CMA-PL'!C33</f>
        <v>2.37</v>
      </c>
      <c r="E11" s="42">
        <f>+'CMA-PL'!D33</f>
        <v>2.0145</v>
      </c>
      <c r="F11" s="42">
        <f>+'CMA-PL'!E33</f>
        <v>1.7123249999999999</v>
      </c>
      <c r="G11" s="42">
        <f>+'CMA-PL'!F33</f>
        <v>1.4554762499999998</v>
      </c>
      <c r="H11" s="42">
        <f>+'CMA-PL'!G33</f>
        <v>1.2371548124999998</v>
      </c>
      <c r="I11" s="42">
        <f>+'CMA-PL'!H33</f>
        <v>1.051581590625</v>
      </c>
    </row>
    <row r="13" spans="2:9" ht="12.75">
      <c r="B13" s="30" t="s">
        <v>183</v>
      </c>
      <c r="C13" s="42">
        <f>+C9+C11</f>
        <v>0</v>
      </c>
      <c r="D13" s="42">
        <f>+D9+D11</f>
        <v>8.469999999999999</v>
      </c>
      <c r="E13" s="42">
        <f>+E9+E11</f>
        <v>8.588205479452045</v>
      </c>
      <c r="F13" s="42">
        <f>+F9+F11</f>
        <v>8.668484050880611</v>
      </c>
      <c r="G13" s="42">
        <f>+G9+G11</f>
        <v>8.579318336594916</v>
      </c>
      <c r="H13" s="42">
        <f>+H9+H11</f>
        <v>8.864676622309103</v>
      </c>
      <c r="I13" s="42">
        <f>+I9+I11</f>
        <v>9.144013708023499</v>
      </c>
    </row>
    <row r="15" spans="2:9" ht="12.75">
      <c r="B15" s="30" t="s">
        <v>184</v>
      </c>
      <c r="C15" s="42">
        <f>+'CMA-PL'!B77</f>
        <v>0</v>
      </c>
      <c r="D15" s="42">
        <f>+'CMA-PL'!C77</f>
        <v>0</v>
      </c>
      <c r="E15" s="42">
        <f>+'CMA-PL'!D77</f>
        <v>0</v>
      </c>
      <c r="F15" s="42">
        <f>+'CMA-PL'!E77</f>
        <v>0</v>
      </c>
      <c r="G15" s="42">
        <f>+'CMA-PL'!F77</f>
        <v>0</v>
      </c>
      <c r="H15" s="42">
        <f>+'CMA-PL'!G77</f>
        <v>0</v>
      </c>
      <c r="I15" s="42">
        <f>+'CMA-PL'!H77</f>
        <v>0</v>
      </c>
    </row>
    <row r="16" spans="3:9" ht="12.75">
      <c r="C16" s="43"/>
      <c r="D16" s="43"/>
      <c r="E16" s="43"/>
      <c r="F16" s="43"/>
      <c r="G16" s="43"/>
      <c r="H16" s="43"/>
      <c r="I16" s="43"/>
    </row>
    <row r="17" spans="2:9" ht="12.75">
      <c r="B17" s="30" t="s">
        <v>185</v>
      </c>
      <c r="C17" s="42">
        <f>+'CMA-PL'!B70</f>
        <v>0</v>
      </c>
      <c r="D17" s="42">
        <f>+'CMA-PL'!C70</f>
        <v>0</v>
      </c>
      <c r="E17" s="42">
        <f>+'CMA-PL'!D70</f>
        <v>0</v>
      </c>
      <c r="F17" s="42">
        <f>+'CMA-PL'!E70</f>
        <v>0</v>
      </c>
      <c r="G17" s="42">
        <f>+'CMA-PL'!F70</f>
        <v>0</v>
      </c>
      <c r="H17" s="43">
        <f>+'CMA-PL'!G70</f>
        <v>0</v>
      </c>
      <c r="I17" s="43">
        <f>+'CMA-PL'!H70</f>
        <v>0</v>
      </c>
    </row>
    <row r="19" spans="2:9" ht="12.75">
      <c r="B19" s="30" t="s">
        <v>186</v>
      </c>
      <c r="C19" s="44">
        <f>+C13-C15+C17</f>
        <v>0</v>
      </c>
      <c r="D19" s="44">
        <f>+D13-D15+D17</f>
        <v>8.469999999999999</v>
      </c>
      <c r="E19" s="44">
        <f>+E13-E15+E17</f>
        <v>8.588205479452045</v>
      </c>
      <c r="F19" s="44">
        <f>+F13-F15+F17</f>
        <v>8.668484050880611</v>
      </c>
      <c r="G19" s="44">
        <f>+G13-G15+G17</f>
        <v>8.579318336594916</v>
      </c>
      <c r="H19" s="44">
        <f>+H13-H15+H17</f>
        <v>8.864676622309103</v>
      </c>
      <c r="I19" s="44">
        <f>+I13-I15+I17</f>
        <v>9.144013708023499</v>
      </c>
    </row>
    <row r="21" ht="12.75">
      <c r="B21" s="30" t="s">
        <v>187</v>
      </c>
    </row>
    <row r="22" spans="2:9" ht="12.75">
      <c r="B22" s="30" t="s">
        <v>188</v>
      </c>
      <c r="C22" s="42">
        <f>+'CMA- BS'!B63</f>
        <v>0</v>
      </c>
      <c r="D22" s="42">
        <f>+'CMA- BS'!C74-'CMA- BS'!B74-'CMA-PL'!C82</f>
        <v>10.699999999999998</v>
      </c>
      <c r="E22" s="42">
        <f>+'CMA- BS'!D74-'CMA- BS'!C74-'CMA-PL'!D82</f>
        <v>-2.5</v>
      </c>
      <c r="F22" s="42">
        <f>+'CMA- BS'!E74-'CMA- BS'!D74-'CMA-PL'!E82</f>
        <v>-2</v>
      </c>
      <c r="G22" s="42">
        <f>+'CMA- BS'!F74-'CMA- BS'!E74-'CMA-PL'!F82</f>
        <v>-2</v>
      </c>
      <c r="H22" s="42">
        <f>+'CMA- BS'!G74-'CMA- BS'!F74-'CMA-PL'!G82</f>
        <v>-4</v>
      </c>
      <c r="I22" s="42">
        <f>+'CMA- BS'!H74-'CMA- BS'!G74-'CMA-PL'!H82</f>
        <v>-3.9999999999999964</v>
      </c>
    </row>
    <row r="23" spans="2:7" ht="12.75">
      <c r="B23" s="30" t="s">
        <v>189</v>
      </c>
      <c r="C23" s="42">
        <f>+'CMA- BS'!B56</f>
        <v>0</v>
      </c>
      <c r="D23" s="42">
        <f>+'CMA- BS'!C52-'CMA- BS'!B52</f>
        <v>0</v>
      </c>
      <c r="E23" s="42">
        <f>+'CMA- BS'!D52-'CMA- BS'!C52</f>
        <v>0</v>
      </c>
      <c r="F23" s="42">
        <f>+'CMA- BS'!E52-'CMA- BS'!D52</f>
        <v>0</v>
      </c>
      <c r="G23" s="42">
        <f>+'CMA- BS'!F52-'CMA- BS'!E52</f>
        <v>0</v>
      </c>
    </row>
    <row r="24" spans="2:9" ht="12.75">
      <c r="B24" s="30" t="s">
        <v>190</v>
      </c>
      <c r="C24" s="43">
        <v>0</v>
      </c>
      <c r="D24" s="43">
        <f>+'CMA- BS'!C53-'CMA- BS'!B53</f>
        <v>0</v>
      </c>
      <c r="E24" s="43">
        <f>+'CMA- BS'!D53-'CMA- BS'!C53</f>
        <v>0</v>
      </c>
      <c r="F24" s="43">
        <f>+'CMA- BS'!E53-'CMA- BS'!D53</f>
        <v>0</v>
      </c>
      <c r="G24" s="43">
        <f>+'CMA- BS'!F53-'CMA- BS'!E53</f>
        <v>0</v>
      </c>
      <c r="H24" s="43">
        <f>+'CMA- BS'!G53-'CMA- BS'!F53</f>
        <v>0</v>
      </c>
      <c r="I24" s="43">
        <f>+'CMA- BS'!H53-'CMA- BS'!G53</f>
        <v>0</v>
      </c>
    </row>
    <row r="25" spans="2:9" ht="12.75">
      <c r="B25" s="30" t="s">
        <v>191</v>
      </c>
      <c r="C25" s="42">
        <f>+'CMA- BS'!B52</f>
        <v>0</v>
      </c>
      <c r="D25" s="42">
        <f>'CMA- BS'!C69-'CMA- BS'!B69</f>
        <v>0</v>
      </c>
      <c r="E25" s="42">
        <f>'CMA- BS'!D69-'CMA- BS'!C69</f>
        <v>0</v>
      </c>
      <c r="F25" s="42">
        <f>'CMA- BS'!E69-'CMA- BS'!D69</f>
        <v>0</v>
      </c>
      <c r="G25" s="42">
        <f>'CMA- BS'!F69-'CMA- BS'!E69</f>
        <v>0</v>
      </c>
      <c r="H25" s="42">
        <f>'CMA- BS'!G69-'CMA- BS'!F69</f>
        <v>0</v>
      </c>
      <c r="I25" s="42">
        <f>'CMA- BS'!H69-'CMA- BS'!G69</f>
        <v>0</v>
      </c>
    </row>
    <row r="26" spans="2:9" ht="12.75">
      <c r="B26" s="30" t="s">
        <v>192</v>
      </c>
      <c r="C26" s="30">
        <v>0</v>
      </c>
      <c r="D26" s="30">
        <f>'CMA- BS'!B98-'CMA- BS'!C98</f>
        <v>0</v>
      </c>
      <c r="E26" s="30">
        <f>'CMA- BS'!C98-'CMA- BS'!D98</f>
        <v>0</v>
      </c>
      <c r="F26" s="30">
        <f>'CMA- BS'!D98-'CMA- BS'!E98</f>
        <v>0</v>
      </c>
      <c r="G26" s="30">
        <f>'CMA- BS'!E98-'CMA- BS'!F98</f>
        <v>0</v>
      </c>
      <c r="H26" s="30">
        <f>'CMA- BS'!F98-'CMA- BS'!G98</f>
        <v>0</v>
      </c>
      <c r="I26" s="30">
        <f>'CMA- BS'!G98-'CMA- BS'!H98</f>
        <v>0</v>
      </c>
    </row>
    <row r="27" spans="2:9" ht="12.75">
      <c r="B27" s="30" t="s">
        <v>193</v>
      </c>
      <c r="C27" s="42"/>
      <c r="D27" s="42"/>
      <c r="E27" s="42"/>
      <c r="F27" s="42"/>
      <c r="G27" s="42"/>
      <c r="H27" s="42"/>
      <c r="I27" s="42"/>
    </row>
    <row r="28" spans="8:9" ht="12.75">
      <c r="H28" s="42">
        <f>+'CMA- BS'!G52-'CMA- BS'!F52</f>
        <v>0</v>
      </c>
      <c r="I28" s="42">
        <f>+'CMA- BS'!H52-'CMA- BS'!G52</f>
        <v>0</v>
      </c>
    </row>
    <row r="29" spans="2:9" ht="12.75">
      <c r="B29" s="30" t="s">
        <v>194</v>
      </c>
      <c r="C29" s="42"/>
      <c r="D29" s="42"/>
      <c r="E29" s="42"/>
      <c r="F29" s="42"/>
      <c r="G29" s="42"/>
      <c r="H29" s="42"/>
      <c r="I29" s="42"/>
    </row>
    <row r="30" ht="12.75">
      <c r="B30" s="30" t="s">
        <v>195</v>
      </c>
    </row>
    <row r="31" spans="2:9" ht="12.75">
      <c r="B31" s="30" t="s">
        <v>196</v>
      </c>
      <c r="C31" s="42"/>
      <c r="D31" s="42"/>
      <c r="E31" s="42"/>
      <c r="F31" s="42"/>
      <c r="G31" s="42"/>
      <c r="H31" s="42"/>
      <c r="I31" s="42"/>
    </row>
    <row r="33" ht="12.75">
      <c r="B33" s="30" t="s">
        <v>197</v>
      </c>
    </row>
    <row r="35" spans="2:9" ht="12.75">
      <c r="B35" s="30" t="s">
        <v>198</v>
      </c>
      <c r="C35" s="42">
        <v>0</v>
      </c>
      <c r="D35" s="42">
        <f>+'CMA- BS'!B139-'CMA- BS'!C139</f>
        <v>0</v>
      </c>
      <c r="E35" s="42">
        <f>+'CMA- BS'!C139-'CMA- BS'!D139</f>
        <v>0</v>
      </c>
      <c r="F35" s="42">
        <f>+'CMA- BS'!D139-'CMA- BS'!E139</f>
        <v>0</v>
      </c>
      <c r="G35" s="42">
        <f>+'CMA- BS'!E139-'CMA- BS'!F139</f>
        <v>0</v>
      </c>
      <c r="H35" s="42">
        <f>+'CMA- BS'!F139-'CMA- BS'!G139</f>
        <v>0</v>
      </c>
      <c r="I35" s="42">
        <f>+'CMA- BS'!G139-'CMA- BS'!H139</f>
        <v>0</v>
      </c>
    </row>
    <row r="37" spans="2:9" ht="12.75">
      <c r="B37" s="30" t="s">
        <v>199</v>
      </c>
      <c r="C37" s="44">
        <f>SUM(C22:C36)</f>
        <v>0</v>
      </c>
      <c r="D37" s="44">
        <f>SUM(D22:D36)</f>
        <v>10.699999999999998</v>
      </c>
      <c r="E37" s="44">
        <f>SUM(E22:E36)</f>
        <v>-2.5</v>
      </c>
      <c r="F37" s="44">
        <f>SUM(F22:F36)</f>
        <v>-2</v>
      </c>
      <c r="G37" s="44">
        <f>SUM(G22:G36)</f>
        <v>-2</v>
      </c>
      <c r="H37" s="44">
        <f>SUM(H22:H36)</f>
        <v>-4</v>
      </c>
      <c r="I37" s="44">
        <f>SUM(I22:I36)</f>
        <v>-3.9999999999999964</v>
      </c>
    </row>
    <row r="39" spans="2:9" ht="12.75">
      <c r="B39" s="30" t="s">
        <v>200</v>
      </c>
      <c r="C39" s="42">
        <f>+'CMA- BS'!B15</f>
        <v>0</v>
      </c>
      <c r="D39" s="42">
        <f>+'CMA- BS'!C15-'CMA- BS'!B15</f>
        <v>7.37</v>
      </c>
      <c r="E39" s="42">
        <f>+'CMA- BS'!D15-'CMA- BS'!C15</f>
        <v>0.6299999999999999</v>
      </c>
      <c r="F39" s="42">
        <f>+'CMA- BS'!E15-'CMA- BS'!D15</f>
        <v>0</v>
      </c>
      <c r="G39" s="42">
        <f>+'CMA- BS'!F15-'CMA- BS'!E15</f>
        <v>0</v>
      </c>
      <c r="H39" s="42">
        <f>+'CMA- BS'!G15-'CMA- BS'!F15</f>
        <v>0</v>
      </c>
      <c r="I39" s="42">
        <f>+'CMA- BS'!H15-'CMA- BS'!G15</f>
        <v>0</v>
      </c>
    </row>
    <row r="41" spans="2:9" ht="12.75">
      <c r="B41" s="30" t="s">
        <v>201</v>
      </c>
      <c r="C41" s="42">
        <f>'CMA- BS'!B35</f>
        <v>0</v>
      </c>
      <c r="D41" s="42">
        <f>'CMA- BS'!C35-'CMA- BS'!B35</f>
        <v>0.36</v>
      </c>
      <c r="E41" s="42">
        <f>'CMA- BS'!D35-'CMA- BS'!C35</f>
        <v>0.37142857142857144</v>
      </c>
      <c r="F41" s="42">
        <f>'CMA- BS'!E35-'CMA- BS'!D35</f>
        <v>0.3642857142857142</v>
      </c>
      <c r="G41" s="42">
        <f>'CMA- BS'!F35-'CMA- BS'!E35</f>
        <v>0</v>
      </c>
      <c r="H41" s="42">
        <f>'CMA- BS'!G35-'CMA- BS'!F35</f>
        <v>0</v>
      </c>
      <c r="I41" s="42">
        <f>'CMA- BS'!H35-'CMA- BS'!G35</f>
        <v>0</v>
      </c>
    </row>
    <row r="42" ht="12.75">
      <c r="B42" s="30" t="s">
        <v>202</v>
      </c>
    </row>
    <row r="44" spans="2:9" ht="12.75">
      <c r="B44" s="30" t="s">
        <v>203</v>
      </c>
      <c r="C44" s="42"/>
      <c r="D44" s="42"/>
      <c r="E44" s="42"/>
      <c r="F44" s="42"/>
      <c r="G44" s="42"/>
      <c r="H44" s="42"/>
      <c r="I44" s="42"/>
    </row>
    <row r="46" spans="2:9" ht="12.75">
      <c r="B46" s="30" t="s">
        <v>204</v>
      </c>
      <c r="C46" s="42"/>
      <c r="D46" s="42"/>
      <c r="E46" s="42"/>
      <c r="F46" s="42"/>
      <c r="G46" s="42"/>
      <c r="H46" s="42"/>
      <c r="I46" s="42"/>
    </row>
    <row r="48" spans="2:9" ht="12.75">
      <c r="B48" s="30" t="s">
        <v>205</v>
      </c>
      <c r="C48" s="44">
        <f>SUM(C39:C47)</f>
        <v>0</v>
      </c>
      <c r="D48" s="44">
        <f>SUM(D39:D47)</f>
        <v>7.73</v>
      </c>
      <c r="E48" s="44">
        <f>SUM(E39:E47)</f>
        <v>1.0014285714285713</v>
      </c>
      <c r="F48" s="44">
        <f>SUM(F39:F47)</f>
        <v>0.3642857142857142</v>
      </c>
      <c r="G48" s="44">
        <f>SUM(G39:G47)</f>
        <v>0</v>
      </c>
      <c r="H48" s="44">
        <f>SUM(H39:H47)</f>
        <v>0</v>
      </c>
      <c r="I48" s="44">
        <f>SUM(I39:I47)</f>
        <v>0</v>
      </c>
    </row>
    <row r="50" spans="2:9" ht="12.75">
      <c r="B50" s="30" t="s">
        <v>206</v>
      </c>
      <c r="C50" s="44">
        <f>+C19+C37+C48</f>
        <v>0</v>
      </c>
      <c r="D50" s="44">
        <f>+D19+D37+D48</f>
        <v>26.899999999999995</v>
      </c>
      <c r="E50" s="44">
        <f>+E19+E37+E48</f>
        <v>7.0896340508806155</v>
      </c>
      <c r="F50" s="44">
        <f>+F19+F37+F48</f>
        <v>7.032769765166325</v>
      </c>
      <c r="G50" s="44">
        <f>+G19+G37+G48</f>
        <v>6.579318336594916</v>
      </c>
      <c r="H50" s="44">
        <f>+H19+H37+H48</f>
        <v>4.864676622309103</v>
      </c>
      <c r="I50" s="44">
        <f>+I19+I37+I48</f>
        <v>5.144013708023502</v>
      </c>
    </row>
    <row r="54" ht="12.75">
      <c r="B54" s="41" t="s">
        <v>207</v>
      </c>
    </row>
    <row r="55" spans="2:9" ht="12.75">
      <c r="B55" s="30" t="s">
        <v>208</v>
      </c>
      <c r="C55" s="42">
        <f>+'CMA- BS'!B121</f>
        <v>0</v>
      </c>
      <c r="D55" s="42">
        <f>'CMA- BS'!C121-'CMA- BS'!B121</f>
        <v>10.98</v>
      </c>
      <c r="E55" s="42">
        <f>'CMA- BS'!D121-'CMA- BS'!C121</f>
        <v>0</v>
      </c>
      <c r="F55" s="42">
        <f>'CMA- BS'!E121-'CMA- BS'!D121</f>
        <v>0</v>
      </c>
      <c r="G55" s="42">
        <f>'CMA- BS'!F121-'CMA- BS'!E121</f>
        <v>0</v>
      </c>
      <c r="H55" s="42">
        <f>'CMA- BS'!G121-'CMA- BS'!F121</f>
        <v>0</v>
      </c>
      <c r="I55" s="42">
        <f>'CMA- BS'!H121-'CMA- BS'!G121</f>
        <v>0</v>
      </c>
    </row>
    <row r="57" ht="12.75">
      <c r="B57" s="30" t="s">
        <v>209</v>
      </c>
    </row>
    <row r="59" spans="2:9" ht="12.75">
      <c r="B59" s="30" t="s">
        <v>210</v>
      </c>
      <c r="C59" s="42">
        <v>0</v>
      </c>
      <c r="D59" s="42">
        <f>-('CMA- BS'!C56-'CMA- BS'!B56)</f>
        <v>-3.65</v>
      </c>
      <c r="E59" s="42">
        <f>-('CMA- BS'!D56-'CMA- BS'!C56)</f>
        <v>0.37142857142857144</v>
      </c>
      <c r="F59" s="42">
        <f>-('CMA- BS'!E56-'CMA- BS'!D56)</f>
        <v>0.48571428571428577</v>
      </c>
      <c r="G59" s="42">
        <f>-('CMA- BS'!F56-'CMA- BS'!E56)</f>
        <v>0.48571428571428577</v>
      </c>
      <c r="H59" s="42">
        <f>-('CMA- BS'!G56-'CMA- BS'!F56)</f>
        <v>1.4571428571428573</v>
      </c>
      <c r="I59" s="42">
        <f>-('CMA- BS'!H56-'CMA- BS'!G56)</f>
        <v>-0.48571428571428577</v>
      </c>
    </row>
    <row r="61" spans="2:9" ht="12.75">
      <c r="B61" s="30" t="s">
        <v>211</v>
      </c>
      <c r="C61" s="42"/>
      <c r="D61" s="42"/>
      <c r="E61" s="42"/>
      <c r="F61" s="42"/>
      <c r="G61" s="42"/>
      <c r="H61" s="42"/>
      <c r="I61" s="42"/>
    </row>
    <row r="62" spans="2:9" ht="12.75">
      <c r="B62" s="30" t="s">
        <v>212</v>
      </c>
      <c r="C62" s="42"/>
      <c r="D62" s="42"/>
      <c r="E62" s="42"/>
      <c r="F62" s="42"/>
      <c r="G62" s="42"/>
      <c r="H62" s="42"/>
      <c r="I62" s="42"/>
    </row>
    <row r="63" spans="2:9" ht="12.75">
      <c r="B63" s="30" t="s">
        <v>213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 t="e">
        <f>+'CMA- BS'!#REF!-'CMA- BS'!#REF!</f>
        <v>#VALUE!</v>
      </c>
      <c r="I63" s="42" t="e">
        <f>+'CMA- BS'!#REF!-'CMA- BS'!#REF!</f>
        <v>#VALUE!</v>
      </c>
    </row>
    <row r="64" ht="12.75">
      <c r="B64" s="30" t="s">
        <v>214</v>
      </c>
    </row>
    <row r="65" ht="12.75">
      <c r="B65" s="30" t="s">
        <v>215</v>
      </c>
    </row>
    <row r="66" spans="2:9" ht="12.75">
      <c r="B66" s="30" t="s">
        <v>216</v>
      </c>
      <c r="C66" s="42">
        <f>+'CMA- BS'!B142+'CMA-PL'!B70</f>
        <v>0</v>
      </c>
      <c r="D66" s="42"/>
      <c r="E66" s="42"/>
      <c r="F66" s="42"/>
      <c r="G66" s="42"/>
      <c r="H66" s="42"/>
      <c r="I66" s="42"/>
    </row>
    <row r="68" spans="2:9" ht="12.75">
      <c r="B68" s="30" t="s">
        <v>217</v>
      </c>
      <c r="C68" s="42"/>
      <c r="D68" s="42"/>
      <c r="E68" s="42"/>
      <c r="F68" s="42"/>
      <c r="G68" s="42"/>
      <c r="H68" s="42"/>
      <c r="I68" s="42"/>
    </row>
    <row r="70" spans="2:9" ht="12.75">
      <c r="B70" s="30" t="s">
        <v>218</v>
      </c>
      <c r="C70" s="42">
        <f>'CMA- BS'!B101+'CMA- BS'!B103+'CMA- BS'!B102</f>
        <v>0</v>
      </c>
      <c r="D70" s="42">
        <f>+'CMA- BS'!C101+'CMA- BS'!C102+'CMA- BS'!C103-'CMA- BS'!B101-'CMA- BS'!B102-'CMA- BS'!B103+'CMA- BS'!C104-'CMA- BS'!B104+'CMA- BS'!C105-'CMA- BS'!B105</f>
        <v>3.44</v>
      </c>
      <c r="E70" s="42">
        <f>+'CMA- BS'!D101+'CMA- BS'!D102+'CMA- BS'!D103-'CMA- BS'!C101-'CMA- BS'!C102-'CMA- BS'!C103+'CMA- BS'!D104-'CMA- BS'!C104+'CMA- BS'!D105-'CMA- BS'!C105</f>
        <v>0.6880000000000002</v>
      </c>
      <c r="F70" s="42">
        <f>+'CMA- BS'!E101+'CMA- BS'!E102+'CMA- BS'!E103-'CMA- BS'!D101-'CMA- BS'!D102-'CMA- BS'!D103+'CMA- BS'!E104-'CMA- BS'!D104+'CMA- BS'!E105-'CMA- BS'!D105</f>
        <v>0.8255999999999997</v>
      </c>
      <c r="G70" s="42">
        <f>+'CMA- BS'!F101+'CMA- BS'!F102+'CMA- BS'!F103-'CMA- BS'!E101-'CMA- BS'!E102-'CMA- BS'!E103+'CMA- BS'!F104-'CMA- BS'!E104+'CMA- BS'!F105-'CMA- BS'!E105</f>
        <v>0.9907199999999996</v>
      </c>
      <c r="H70" s="42">
        <f>+'CMA- BS'!G101+'CMA- BS'!G102+'CMA- BS'!G103-'CMA- BS'!F101-'CMA- BS'!F102-'CMA- BS'!F103+'CMA- BS'!G104-'CMA- BS'!F104+'CMA- BS'!G105-'CMA- BS'!F105</f>
        <v>1.1888639999999997</v>
      </c>
      <c r="I70" s="42">
        <f>+'CMA- BS'!H101+'CMA- BS'!H102+'CMA- BS'!H103-'CMA- BS'!G101-'CMA- BS'!G102-'CMA- BS'!G103+'CMA- BS'!H104-'CMA- BS'!G104+'CMA- BS'!H105-'CMA- BS'!G105</f>
        <v>1.4266367999999998</v>
      </c>
    </row>
    <row r="72" spans="2:9" ht="12.75">
      <c r="B72" s="30" t="s">
        <v>219</v>
      </c>
      <c r="C72" s="42">
        <f>+'CMA- BS'!B94</f>
        <v>0</v>
      </c>
      <c r="D72" s="42">
        <f>+'CMA- BS'!C94-'CMA- BS'!B94+'CMA- BS'!C96+'CMA- BS'!C97-'CMA- BS'!B96-'CMA- BS'!B97</f>
        <v>3.56</v>
      </c>
      <c r="E72" s="42">
        <f>+'CMA- BS'!D94-'CMA- BS'!C94+'CMA- BS'!D96+'CMA- BS'!D97-'CMA- BS'!C96-'CMA- BS'!C97</f>
        <v>11.54</v>
      </c>
      <c r="F72" s="42">
        <f>+'CMA- BS'!E94-'CMA- BS'!D94+'CMA- BS'!E96+'CMA- BS'!E97-'CMA- BS'!D96-'CMA- BS'!D97</f>
        <v>2.9000000000000004</v>
      </c>
      <c r="G72" s="42">
        <f>+'CMA- BS'!F94-'CMA- BS'!E94+'CMA- BS'!F96+'CMA- BS'!F97-'CMA- BS'!E96-'CMA- BS'!E97</f>
        <v>2</v>
      </c>
      <c r="H72" s="42">
        <f>+'CMA- BS'!G94-'CMA- BS'!F94+'CMA- BS'!G96+'CMA- BS'!G97-'CMA- BS'!F96-'CMA- BS'!F97</f>
        <v>2</v>
      </c>
      <c r="I72" s="42">
        <f>+'CMA- BS'!H94-'CMA- BS'!G94+'CMA- BS'!H96+'CMA- BS'!H97-'CMA- BS'!G96-'CMA- BS'!G97</f>
        <v>3</v>
      </c>
    </row>
    <row r="74" spans="2:9" ht="12.75">
      <c r="B74" s="30" t="s">
        <v>220</v>
      </c>
      <c r="C74" s="42">
        <f>+'CMA- BS'!B109+'CMA- BS'!B88</f>
        <v>0</v>
      </c>
      <c r="D74" s="42">
        <f>+'CMA- BS'!C88+'CMA- BS'!C107+'CMA- BS'!C109-'CMA- BS'!B88-'CMA- BS'!B107-'CMA- BS'!B109+'CMA- BS'!C108-'CMA- BS'!B108+'CMA- BS'!C93-'CMA- BS'!B93+'CMA- BS'!C106-'CMA- BS'!B106</f>
        <v>12.57</v>
      </c>
      <c r="E74" s="42">
        <f>+'CMA- BS'!D88+'CMA- BS'!D107+'CMA- BS'!D109-'CMA- BS'!C88-'CMA- BS'!C107-'CMA- BS'!C109+'CMA- BS'!D108-'CMA- BS'!C108+'CMA- BS'!D93-'CMA- BS'!C93+'CMA- BS'!D106-'CMA- BS'!C106</f>
        <v>-5.509794520547963</v>
      </c>
      <c r="F74" s="42">
        <f>+'CMA- BS'!E88+'CMA- BS'!E107+'CMA- BS'!E109-'CMA- BS'!D88-'CMA- BS'!D107-'CMA- BS'!D109+'CMA- BS'!E108-'CMA- BS'!D108+'CMA- BS'!E93-'CMA- BS'!D93+'CMA- BS'!E106-'CMA- BS'!D106</f>
        <v>2.8214554794520406</v>
      </c>
      <c r="G74" s="42">
        <f>+'CMA- BS'!F88+'CMA- BS'!F107+'CMA- BS'!F109-'CMA- BS'!E88-'CMA- BS'!E107-'CMA- BS'!E109+'CMA- BS'!F108-'CMA- BS'!E108+'CMA- BS'!F93-'CMA- BS'!E93+'CMA- BS'!F106-'CMA- BS'!E106</f>
        <v>3.1028840508806392</v>
      </c>
      <c r="H74" s="42">
        <f>+'CMA- BS'!G88+'CMA- BS'!G107+'CMA- BS'!G109-'CMA- BS'!F88-'CMA- BS'!F107-'CMA- BS'!F109+'CMA- BS'!G108-'CMA- BS'!F108+'CMA- BS'!G93-'CMA- BS'!F93+'CMA- BS'!G106-'CMA- BS'!F106</f>
        <v>0.21866976516623948</v>
      </c>
      <c r="I74" s="42">
        <f>+'CMA- BS'!H88+'CMA- BS'!H107+'CMA- BS'!H109-'CMA- BS'!G88-'CMA- BS'!G107-'CMA- BS'!G109+'CMA- BS'!H108-'CMA- BS'!G108+'CMA- BS'!H93-'CMA- BS'!G93+'CMA- BS'!H106-'CMA- BS'!G106</f>
        <v>1.2030911937377833</v>
      </c>
    </row>
    <row r="76" spans="2:9" ht="12.75">
      <c r="B76" s="30" t="s">
        <v>221</v>
      </c>
      <c r="C76" s="44">
        <f>SUM(C59:C75)</f>
        <v>0</v>
      </c>
      <c r="D76" s="44">
        <f>SUM(D59:D75)</f>
        <v>15.92</v>
      </c>
      <c r="E76" s="44">
        <f>SUM(E59:E75)</f>
        <v>7.0896340508806075</v>
      </c>
      <c r="F76" s="44">
        <f>SUM(F59:F75)</f>
        <v>7.032769765166327</v>
      </c>
      <c r="G76" s="44">
        <f>SUM(G59:G75)</f>
        <v>6.579318336594925</v>
      </c>
      <c r="H76" s="44" t="e">
        <f>SUM(H59:H75)</f>
        <v>#VALUE!</v>
      </c>
      <c r="I76" s="44" t="e">
        <f>SUM(I59:I75)</f>
        <v>#VALUE!</v>
      </c>
    </row>
    <row r="77" ht="12.75">
      <c r="B77" s="30" t="s">
        <v>222</v>
      </c>
    </row>
    <row r="79" ht="12.75">
      <c r="B79" s="30" t="s">
        <v>223</v>
      </c>
    </row>
    <row r="81" ht="12.75">
      <c r="B81" s="30" t="s">
        <v>224</v>
      </c>
    </row>
    <row r="82" ht="12.75">
      <c r="B82" s="30" t="s">
        <v>225</v>
      </c>
    </row>
    <row r="83" ht="12.75">
      <c r="B83" s="30" t="s">
        <v>226</v>
      </c>
    </row>
    <row r="84" ht="12.75">
      <c r="B84" s="30" t="s">
        <v>227</v>
      </c>
    </row>
    <row r="85" ht="12.75">
      <c r="B85" s="30" t="s">
        <v>228</v>
      </c>
    </row>
    <row r="86" spans="2:9" ht="12.75">
      <c r="B86" s="30" t="s">
        <v>229</v>
      </c>
      <c r="C86" s="45">
        <v>0</v>
      </c>
      <c r="D86" s="45">
        <v>0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</row>
    <row r="88" spans="2:9" ht="12.75">
      <c r="B88" s="30" t="s">
        <v>230</v>
      </c>
      <c r="C88" s="44">
        <f>+C76+C86</f>
        <v>0</v>
      </c>
      <c r="D88" s="44">
        <f>+D76+D86</f>
        <v>15.92</v>
      </c>
      <c r="E88" s="44">
        <f>+E76+E86</f>
        <v>7.0896340508806075</v>
      </c>
      <c r="F88" s="44">
        <f>+F76+F86</f>
        <v>7.032769765166327</v>
      </c>
      <c r="G88" s="44">
        <f>+G76+G86</f>
        <v>6.579318336594925</v>
      </c>
      <c r="H88" s="44" t="e">
        <f>+H76+H86</f>
        <v>#VALUE!</v>
      </c>
      <c r="I88" s="44" t="e">
        <f>+I76+I86</f>
        <v>#VALUE!</v>
      </c>
    </row>
    <row r="90" ht="12.75">
      <c r="B90" s="45" t="s">
        <v>231</v>
      </c>
    </row>
    <row r="91" spans="2:9" ht="12.75">
      <c r="B91" s="30" t="s">
        <v>232</v>
      </c>
      <c r="C91" s="42">
        <f>+C19+C37</f>
        <v>0</v>
      </c>
      <c r="D91" s="42">
        <f>+D19+D37</f>
        <v>19.169999999999995</v>
      </c>
      <c r="E91" s="42">
        <f>+E19+E37</f>
        <v>6.088205479452045</v>
      </c>
      <c r="F91" s="42">
        <f>+F19+F37</f>
        <v>6.668484050880611</v>
      </c>
      <c r="G91" s="42">
        <f>+G19+G37</f>
        <v>6.579318336594916</v>
      </c>
      <c r="H91" s="42">
        <f>+H19+H37</f>
        <v>4.864676622309103</v>
      </c>
      <c r="I91" s="42">
        <f>+I19+I37</f>
        <v>5.144013708023502</v>
      </c>
    </row>
    <row r="92" ht="12.75">
      <c r="B92" s="30" t="s">
        <v>233</v>
      </c>
    </row>
    <row r="94" spans="2:9" ht="12.75">
      <c r="B94" s="30" t="s">
        <v>234</v>
      </c>
      <c r="C94" s="42">
        <f>+C55</f>
        <v>0</v>
      </c>
      <c r="D94" s="42">
        <f>+D55</f>
        <v>10.98</v>
      </c>
      <c r="E94" s="42">
        <f>+E55</f>
        <v>0</v>
      </c>
      <c r="F94" s="42">
        <f>+F55</f>
        <v>0</v>
      </c>
      <c r="G94" s="42">
        <f>+G55</f>
        <v>0</v>
      </c>
      <c r="H94" s="42">
        <f>+H55</f>
        <v>0</v>
      </c>
      <c r="I94" s="42">
        <f>+I55</f>
        <v>0</v>
      </c>
    </row>
    <row r="95" ht="12.75">
      <c r="B95" s="30" t="s">
        <v>235</v>
      </c>
    </row>
    <row r="97" spans="2:9" ht="12.75">
      <c r="B97" s="30" t="s">
        <v>236</v>
      </c>
      <c r="C97" s="44">
        <f>+C91-C94</f>
        <v>0</v>
      </c>
      <c r="D97" s="44">
        <f>+D91-D94</f>
        <v>8.189999999999994</v>
      </c>
      <c r="E97" s="44">
        <f>+E91-E94</f>
        <v>6.088205479452045</v>
      </c>
      <c r="F97" s="44">
        <f>+F91-F94</f>
        <v>6.668484050880611</v>
      </c>
      <c r="G97" s="44">
        <f>+G91-G94</f>
        <v>6.579318336594916</v>
      </c>
      <c r="H97" s="44">
        <f>+H91-H94</f>
        <v>4.864676622309103</v>
      </c>
      <c r="I97" s="44">
        <f>+I91-I94</f>
        <v>5.144013708023502</v>
      </c>
    </row>
    <row r="99" spans="2:9" ht="12.75">
      <c r="B99" s="30" t="s">
        <v>237</v>
      </c>
      <c r="C99" s="42">
        <f>+C48</f>
        <v>0</v>
      </c>
      <c r="D99" s="42">
        <f>+D48</f>
        <v>7.73</v>
      </c>
      <c r="E99" s="42">
        <f>+E48</f>
        <v>1.0014285714285713</v>
      </c>
      <c r="F99" s="42">
        <f>+F48</f>
        <v>0.3642857142857142</v>
      </c>
      <c r="G99" s="42">
        <f>+G48</f>
        <v>0</v>
      </c>
      <c r="H99" s="42">
        <f>+H48</f>
        <v>0</v>
      </c>
      <c r="I99" s="42">
        <f>+I48</f>
        <v>0</v>
      </c>
    </row>
    <row r="100" spans="3:9" ht="12.75">
      <c r="C100" s="42"/>
      <c r="D100" s="42"/>
      <c r="E100" s="42"/>
      <c r="F100" s="42"/>
      <c r="G100" s="42"/>
      <c r="H100" s="42"/>
      <c r="I100" s="42"/>
    </row>
    <row r="101" spans="2:9" ht="12.75">
      <c r="B101" s="30" t="s">
        <v>238</v>
      </c>
      <c r="C101" s="42">
        <f>+C76</f>
        <v>0</v>
      </c>
      <c r="D101" s="42">
        <f>+D76</f>
        <v>15.92</v>
      </c>
      <c r="E101" s="42">
        <f>+E76</f>
        <v>7.0896340508806075</v>
      </c>
      <c r="F101" s="42">
        <f>+F76</f>
        <v>7.032769765166327</v>
      </c>
      <c r="G101" s="42">
        <f>+G76</f>
        <v>6.579318336594925</v>
      </c>
      <c r="H101" s="42" t="e">
        <f>+H76</f>
        <v>#VALUE!</v>
      </c>
      <c r="I101" s="42" t="e">
        <f>+I76</f>
        <v>#VALUE!</v>
      </c>
    </row>
    <row r="102" spans="3:9" ht="12.75">
      <c r="C102" s="42"/>
      <c r="D102" s="42"/>
      <c r="E102" s="42"/>
      <c r="F102" s="42"/>
      <c r="G102" s="42"/>
      <c r="H102" s="42"/>
      <c r="I102" s="42"/>
    </row>
    <row r="103" spans="2:9" ht="12.75">
      <c r="B103" s="30" t="s">
        <v>239</v>
      </c>
      <c r="C103" s="44">
        <f>+C99-C101</f>
        <v>0</v>
      </c>
      <c r="D103" s="44">
        <f>+D99-D101</f>
        <v>-8.19</v>
      </c>
      <c r="E103" s="44">
        <f>+E99-E101</f>
        <v>-6.088205479452036</v>
      </c>
      <c r="F103" s="44">
        <f>+F99-F101</f>
        <v>-6.668484050880613</v>
      </c>
      <c r="G103" s="44">
        <f>+G99-G101</f>
        <v>-6.579318336594925</v>
      </c>
      <c r="H103" s="44" t="e">
        <f>+H99-H101</f>
        <v>#VALUE!</v>
      </c>
      <c r="I103" s="44" t="e">
        <f>+I99-I101</f>
        <v>#VALUE!</v>
      </c>
    </row>
    <row r="104" spans="3:9" ht="12.75">
      <c r="C104" s="42">
        <f>+C97+C103</f>
        <v>0</v>
      </c>
      <c r="D104" s="42">
        <f>+D97+D103</f>
        <v>0</v>
      </c>
      <c r="E104" s="42">
        <f>+E97+E103</f>
        <v>0</v>
      </c>
      <c r="F104" s="42">
        <f>+F97+F103</f>
        <v>0</v>
      </c>
      <c r="G104" s="42">
        <f>+G97+G103</f>
        <v>0</v>
      </c>
      <c r="H104" s="42" t="e">
        <f>+H97+H103</f>
        <v>#VALUE!</v>
      </c>
      <c r="I104" s="42" t="e">
        <f>+I97+I103</f>
        <v>#VALUE!</v>
      </c>
    </row>
  </sheetData>
  <sheetProtection selectLockedCells="1" selectUnlockedCells="1"/>
  <printOptions/>
  <pageMargins left="0.75" right="0.75" top="0.3902777777777778" bottom="0.3298611111111111" header="0.5118110236220472" footer="0.5118110236220472"/>
  <pageSetup horizontalDpi="300" verticalDpi="300" orientation="landscape" paperSize="9" scale="78"/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14"/>
  <sheetViews>
    <sheetView view="pageBreakPreview" zoomScale="85" zoomScaleSheetLayoutView="85" workbookViewId="0" topLeftCell="A25">
      <selection activeCell="F66" sqref="F66"/>
    </sheetView>
  </sheetViews>
  <sheetFormatPr defaultColWidth="9.140625" defaultRowHeight="12.75"/>
  <cols>
    <col min="1" max="1" width="4.57421875" style="46" customWidth="1"/>
    <col min="2" max="2" width="44.7109375" style="1" customWidth="1"/>
    <col min="3" max="5" width="9.8515625" style="1" hidden="1" customWidth="1"/>
    <col min="6" max="12" width="9.8515625" style="1" customWidth="1"/>
    <col min="13" max="16384" width="9.140625" style="1" customWidth="1"/>
  </cols>
  <sheetData>
    <row r="1" spans="1:2" ht="15.75">
      <c r="A1" s="47" t="s">
        <v>240</v>
      </c>
      <c r="B1" s="47"/>
    </row>
    <row r="2" spans="1:2" ht="15.75">
      <c r="A2" s="48" t="s">
        <v>241</v>
      </c>
      <c r="B2" s="48"/>
    </row>
    <row r="3" spans="1:2" ht="15.75">
      <c r="A3" s="49" t="s">
        <v>242</v>
      </c>
      <c r="B3" s="49"/>
    </row>
    <row r="5" ht="15.75">
      <c r="B5" s="2">
        <f>'CMA-CF'!B2</f>
        <v>0</v>
      </c>
    </row>
    <row r="6" spans="1:12" ht="15">
      <c r="A6" s="50"/>
      <c r="B6" s="4"/>
      <c r="C6" s="50" t="s">
        <v>243</v>
      </c>
      <c r="D6" s="50" t="s">
        <v>243</v>
      </c>
      <c r="E6" s="4" t="s">
        <v>244</v>
      </c>
      <c r="F6" s="4" t="s">
        <v>245</v>
      </c>
      <c r="G6" s="4" t="s">
        <v>245</v>
      </c>
      <c r="H6" s="4" t="s">
        <v>245</v>
      </c>
      <c r="I6" s="4" t="s">
        <v>245</v>
      </c>
      <c r="J6" s="4" t="s">
        <v>245</v>
      </c>
      <c r="K6" s="4" t="s">
        <v>245</v>
      </c>
      <c r="L6" s="4" t="s">
        <v>245</v>
      </c>
    </row>
    <row r="7" spans="1:12" ht="15">
      <c r="A7" s="51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>
      <c r="A8" s="52"/>
      <c r="B8" s="53"/>
      <c r="C8" s="53" t="s">
        <v>246</v>
      </c>
      <c r="D8" s="53" t="s">
        <v>247</v>
      </c>
      <c r="E8" s="54" t="s">
        <v>248</v>
      </c>
      <c r="F8" s="54" t="s">
        <v>175</v>
      </c>
      <c r="G8" s="54" t="s">
        <v>176</v>
      </c>
      <c r="H8" s="54" t="s">
        <v>177</v>
      </c>
      <c r="I8" s="54" t="s">
        <v>178</v>
      </c>
      <c r="J8" s="54" t="s">
        <v>4</v>
      </c>
      <c r="K8" s="54" t="s">
        <v>5</v>
      </c>
      <c r="L8" s="54" t="s">
        <v>6</v>
      </c>
    </row>
    <row r="9" spans="1:12" ht="15.75">
      <c r="A9" s="55" t="s">
        <v>249</v>
      </c>
      <c r="B9" s="2" t="s">
        <v>250</v>
      </c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15">
      <c r="A10" s="46">
        <v>1</v>
      </c>
      <c r="B10" s="1" t="s">
        <v>251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2:12" ht="15">
      <c r="B11" s="1" t="s">
        <v>252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15">
      <c r="A12" s="46" t="s">
        <v>253</v>
      </c>
      <c r="B12" s="1" t="s">
        <v>254</v>
      </c>
      <c r="C12" s="57" t="e">
        <f>+'CMA- BS'!#REF!</f>
        <v>#REF!</v>
      </c>
      <c r="D12" s="57" t="e">
        <f>+'CMA- BS'!#REF!</f>
        <v>#REF!</v>
      </c>
      <c r="E12" s="57" t="e">
        <f>+'CMA- BS'!#REF!</f>
        <v>#REF!</v>
      </c>
      <c r="F12" s="57">
        <f>+'CMA- BS'!B101</f>
        <v>0</v>
      </c>
      <c r="G12" s="57">
        <f>+'CMA- BS'!C101</f>
        <v>0</v>
      </c>
      <c r="H12" s="57">
        <f>+'CMA- BS'!D101</f>
        <v>0</v>
      </c>
      <c r="I12" s="57">
        <f>+'CMA- BS'!E101</f>
        <v>0</v>
      </c>
      <c r="J12" s="57">
        <f>+'CMA- BS'!F101</f>
        <v>0</v>
      </c>
      <c r="K12" s="57">
        <f>+'CMA- BS'!G101</f>
        <v>0</v>
      </c>
      <c r="L12" s="57">
        <f>+'CMA- BS'!H101</f>
        <v>0</v>
      </c>
    </row>
    <row r="13" spans="2:19" ht="15">
      <c r="B13" s="1" t="s">
        <v>255</v>
      </c>
      <c r="C13" s="58" t="e">
        <f>C12/('CMA-PL'!#REF!/300)</f>
        <v>#VALUE!</v>
      </c>
      <c r="D13" s="58" t="e">
        <f>D12/('CMA-PL'!#REF!/300)</f>
        <v>#VALUE!</v>
      </c>
      <c r="E13" s="58" t="e">
        <f>E12/('CMA-PL'!#REF!/300)</f>
        <v>#VALUE!</v>
      </c>
      <c r="F13" s="58" t="e">
        <f>F12/('CMA-PL'!B27/300)</f>
        <v>#DIV/0!</v>
      </c>
      <c r="G13" s="58">
        <f>G12/('CMA-PL'!C27/300)</f>
        <v>0</v>
      </c>
      <c r="H13" s="58">
        <f>H12/('CMA-PL'!D27/300)</f>
        <v>0</v>
      </c>
      <c r="I13" s="58">
        <f>I12/('CMA-PL'!E27/300)</f>
        <v>0</v>
      </c>
      <c r="J13" s="58">
        <f>J12/('CMA-PL'!F27/300)</f>
        <v>0</v>
      </c>
      <c r="K13" s="58">
        <f>K12/('CMA-PL'!G27/300)</f>
        <v>0</v>
      </c>
      <c r="L13" s="58">
        <f>L12/('CMA-PL'!H27/300)</f>
        <v>0</v>
      </c>
      <c r="M13" s="11" t="e">
        <f>F13+F24+F27</f>
        <v>#DIV/0!</v>
      </c>
      <c r="N13" s="11">
        <f>G13+G24+G27</f>
        <v>4.062672230533029</v>
      </c>
      <c r="O13" s="11">
        <f>H13+H24+H27</f>
        <v>4.850203364671924</v>
      </c>
      <c r="P13" s="11">
        <f>I13+I24+I27</f>
        <v>5.741300162561609</v>
      </c>
      <c r="Q13" s="11">
        <f>J13+J24+J27</f>
        <v>6.416832526893766</v>
      </c>
      <c r="R13" s="11">
        <f>K13+K24+K27</f>
        <v>7.465173326550764</v>
      </c>
      <c r="S13" s="11">
        <f>L13+L24+L27</f>
        <v>8.69062144326494</v>
      </c>
    </row>
    <row r="14" spans="3:12" ht="15"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ht="15">
      <c r="A15" s="46" t="s">
        <v>256</v>
      </c>
      <c r="B15" s="1" t="s">
        <v>257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2:12" ht="15">
      <c r="B16" s="1" t="s">
        <v>255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7" spans="1:12" ht="15">
      <c r="A17" s="46">
        <v>2</v>
      </c>
      <c r="B17" s="1" t="s">
        <v>258</v>
      </c>
      <c r="C17" s="57" t="e">
        <f>+'CMA- BS'!#REF!+'CMA- BS'!#REF!</f>
        <v>#VALUE!</v>
      </c>
      <c r="D17" s="57" t="e">
        <f>+'CMA- BS'!#REF!+'CMA- BS'!#REF!</f>
        <v>#VALUE!</v>
      </c>
      <c r="E17" s="57" t="e">
        <f>+'CMA- BS'!#REF!+'CMA- BS'!#REF!</f>
        <v>#VALUE!</v>
      </c>
      <c r="F17" s="57">
        <f>+'CMA- BS'!B104+'CMA- BS'!B105</f>
        <v>0</v>
      </c>
      <c r="G17" s="57">
        <f>+'CMA- BS'!C104+'CMA- BS'!C105</f>
        <v>0</v>
      </c>
      <c r="H17" s="57">
        <f>+'CMA- BS'!D104+'CMA- BS'!D105</f>
        <v>0</v>
      </c>
      <c r="I17" s="57">
        <f>+'CMA- BS'!E104+'CMA- BS'!E105</f>
        <v>0</v>
      </c>
      <c r="J17" s="57">
        <f>+'CMA- BS'!F104+'CMA- BS'!F105</f>
        <v>0</v>
      </c>
      <c r="K17" s="57">
        <f>+'CMA- BS'!G104+'CMA- BS'!G105</f>
        <v>0</v>
      </c>
      <c r="L17" s="57">
        <f>+'CMA- BS'!H104+'CMA- BS'!H105</f>
        <v>0</v>
      </c>
    </row>
    <row r="18" spans="2:12" ht="15">
      <c r="B18" s="1" t="s">
        <v>259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</row>
    <row r="19" spans="1:12" ht="15">
      <c r="A19" s="46" t="s">
        <v>253</v>
      </c>
      <c r="B19" s="1" t="s">
        <v>254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</row>
    <row r="20" spans="2:12" ht="15">
      <c r="B20" s="1" t="s">
        <v>255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</row>
    <row r="21" spans="1:12" ht="15">
      <c r="A21" s="46" t="s">
        <v>256</v>
      </c>
      <c r="B21" s="1" t="s">
        <v>257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</row>
    <row r="22" spans="2:12" ht="15">
      <c r="B22" s="1" t="s">
        <v>255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</row>
    <row r="23" spans="1:12" ht="15">
      <c r="A23" s="46">
        <v>3</v>
      </c>
      <c r="B23" s="1" t="s">
        <v>260</v>
      </c>
      <c r="C23" s="57" t="e">
        <f>+'CMA- BS'!#REF!</f>
        <v>#REF!</v>
      </c>
      <c r="D23" s="57" t="e">
        <f>+'CMA- BS'!#REF!</f>
        <v>#REF!</v>
      </c>
      <c r="E23" s="57" t="e">
        <f>+'CMA- BS'!#REF!</f>
        <v>#REF!</v>
      </c>
      <c r="F23" s="57">
        <f>+'CMA- BS'!B102</f>
        <v>0</v>
      </c>
      <c r="G23" s="57">
        <f>+'CMA- BS'!C102</f>
        <v>0</v>
      </c>
      <c r="H23" s="57">
        <f>+'CMA- BS'!D102</f>
        <v>0</v>
      </c>
      <c r="I23" s="57">
        <f>+'CMA- BS'!E102</f>
        <v>0</v>
      </c>
      <c r="J23" s="57">
        <f>+'CMA- BS'!F102</f>
        <v>0</v>
      </c>
      <c r="K23" s="57">
        <f>+'CMA- BS'!G102</f>
        <v>0</v>
      </c>
      <c r="L23" s="57">
        <f>+'CMA- BS'!H102</f>
        <v>0</v>
      </c>
    </row>
    <row r="24" spans="2:12" ht="15">
      <c r="B24" s="1" t="s">
        <v>261</v>
      </c>
      <c r="C24" s="58" t="e">
        <f>C23/('CMA-PL'!#REF!/300)</f>
        <v>#VALUE!</v>
      </c>
      <c r="D24" s="58" t="e">
        <f>D23/('CMA-PL'!#REF!/300)</f>
        <v>#VALUE!</v>
      </c>
      <c r="E24" s="58" t="e">
        <f>E23/('CMA-PL'!#REF!/300)</f>
        <v>#VALUE!</v>
      </c>
      <c r="F24" s="58" t="e">
        <f>F23/('CMA-PL'!B38/300)</f>
        <v>#DIV/0!</v>
      </c>
      <c r="G24" s="58">
        <f>G23/('CMA-PL'!C38/300)</f>
        <v>0</v>
      </c>
      <c r="H24" s="58">
        <f>H23/('CMA-PL'!D38/300)</f>
        <v>0</v>
      </c>
      <c r="I24" s="58">
        <f>I23/('CMA-PL'!E38/300)</f>
        <v>0</v>
      </c>
      <c r="J24" s="58">
        <f>J23/('CMA-PL'!F38/300)</f>
        <v>0</v>
      </c>
      <c r="K24" s="58">
        <f>K23/('CMA-PL'!G38/300)</f>
        <v>0</v>
      </c>
      <c r="L24" s="58">
        <f>L23/('CMA-PL'!H38/300)</f>
        <v>0</v>
      </c>
    </row>
    <row r="25" spans="3:12" ht="15"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1:12" ht="15">
      <c r="A26" s="46">
        <v>4</v>
      </c>
      <c r="B26" s="1" t="s">
        <v>262</v>
      </c>
      <c r="C26" s="57" t="e">
        <f>+'CMA- BS'!#REF!</f>
        <v>#REF!</v>
      </c>
      <c r="D26" s="57" t="e">
        <f>+'CMA- BS'!#REF!</f>
        <v>#REF!</v>
      </c>
      <c r="E26" s="57" t="e">
        <f>+'CMA- BS'!#REF!</f>
        <v>#REF!</v>
      </c>
      <c r="F26" s="57">
        <f>+'CMA- BS'!B103</f>
        <v>0</v>
      </c>
      <c r="G26" s="57">
        <f>+'CMA- BS'!C103</f>
        <v>3.44</v>
      </c>
      <c r="H26" s="57">
        <f>+'CMA- BS'!D103</f>
        <v>4.128</v>
      </c>
      <c r="I26" s="57">
        <f>+'CMA- BS'!E103</f>
        <v>4.9536</v>
      </c>
      <c r="J26" s="57">
        <f>+'CMA- BS'!F103</f>
        <v>5.944319999999999</v>
      </c>
      <c r="K26" s="57">
        <f>+'CMA- BS'!G103</f>
        <v>7.133183999999999</v>
      </c>
      <c r="L26" s="57">
        <f>+'CMA- BS'!H103</f>
        <v>8.559820799999999</v>
      </c>
    </row>
    <row r="27" spans="3:12" ht="15">
      <c r="C27" s="58" t="e">
        <f>C26/('CMA-PL'!#REF!/300)</f>
        <v>#VALUE!</v>
      </c>
      <c r="D27" s="58" t="e">
        <f>D26/('CMA-PL'!#REF!/300)</f>
        <v>#VALUE!</v>
      </c>
      <c r="E27" s="58" t="e">
        <f>E26/('CMA-PL'!#REF!/300)</f>
        <v>#VALUE!</v>
      </c>
      <c r="F27" s="58" t="e">
        <f>F26/('CMA-PL'!B44/300)</f>
        <v>#DIV/0!</v>
      </c>
      <c r="G27" s="58">
        <f>G26/('CMA-PL'!C44/300)</f>
        <v>4.062672230533029</v>
      </c>
      <c r="H27" s="58">
        <f>H26/('CMA-PL'!D44/300)</f>
        <v>4.850203364671924</v>
      </c>
      <c r="I27" s="58">
        <f>I26/('CMA-PL'!E44/300)</f>
        <v>5.741300162561609</v>
      </c>
      <c r="J27" s="58">
        <f>J26/('CMA-PL'!F44/300)</f>
        <v>6.416832526893766</v>
      </c>
      <c r="K27" s="58">
        <f>K26/('CMA-PL'!G44/300)</f>
        <v>7.465173326550764</v>
      </c>
      <c r="L27" s="58">
        <f>L26/('CMA-PL'!H44/300)</f>
        <v>8.69062144326494</v>
      </c>
    </row>
    <row r="28" spans="2:12" ht="15">
      <c r="B28" s="1" t="s">
        <v>263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ht="15">
      <c r="A29" s="46">
        <v>5.1</v>
      </c>
      <c r="B29" s="1" t="s">
        <v>264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2:12" ht="15">
      <c r="B30" s="1" t="s">
        <v>265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2:12" ht="15">
      <c r="B31" s="1" t="s">
        <v>266</v>
      </c>
      <c r="C31" s="57" t="e">
        <f>+'CMA- BS'!#REF!</f>
        <v>#REF!</v>
      </c>
      <c r="D31" s="57" t="e">
        <f>+'CMA- BS'!#REF!</f>
        <v>#REF!</v>
      </c>
      <c r="E31" s="57" t="e">
        <f>+'CMA- BS'!#REF!</f>
        <v>#REF!</v>
      </c>
      <c r="F31" s="57">
        <f>+'CMA- BS'!B94</f>
        <v>0</v>
      </c>
      <c r="G31" s="57">
        <f>+'CMA- BS'!C94</f>
        <v>3.56</v>
      </c>
      <c r="H31" s="57">
        <f>+'CMA- BS'!D94</f>
        <v>15.1</v>
      </c>
      <c r="I31" s="57">
        <f>+'CMA- BS'!E94</f>
        <v>18</v>
      </c>
      <c r="J31" s="57">
        <f>+'CMA- BS'!F94</f>
        <v>20</v>
      </c>
      <c r="K31" s="57">
        <f>+'CMA- BS'!G94</f>
        <v>22</v>
      </c>
      <c r="L31" s="57">
        <f>+'CMA- BS'!H94</f>
        <v>25</v>
      </c>
    </row>
    <row r="32" spans="3:12" ht="15">
      <c r="C32" s="58" t="e">
        <f>C31/('CMA-PL'!#REF!/300)</f>
        <v>#VALUE!</v>
      </c>
      <c r="D32" s="58" t="e">
        <f>D31/('CMA-PL'!#REF!/300)</f>
        <v>#VALUE!</v>
      </c>
      <c r="E32" s="58" t="e">
        <f>E31/('CMA-PL'!#REF!/300)</f>
        <v>#VALUE!</v>
      </c>
      <c r="F32" s="58" t="e">
        <f>F31/('CMA-PL'!B14/300)</f>
        <v>#DIV/0!</v>
      </c>
      <c r="G32" s="58">
        <f>G31/('CMA-PL'!C14/300)</f>
        <v>3.9221446933529194</v>
      </c>
      <c r="H32" s="58">
        <f>H31/('CMA-PL'!D14/300)</f>
        <v>16.472727272727273</v>
      </c>
      <c r="I32" s="58">
        <f>I31/('CMA-PL'!E14/300)</f>
        <v>19.285714285714285</v>
      </c>
      <c r="J32" s="58">
        <f>J31/('CMA-PL'!F14/300)</f>
        <v>20</v>
      </c>
      <c r="K32" s="58">
        <f>K31/('CMA-PL'!G14/300)</f>
        <v>21.29032258064516</v>
      </c>
      <c r="L32" s="58">
        <f>L31/('CMA-PL'!H14/300)</f>
        <v>23.4375</v>
      </c>
    </row>
    <row r="33" spans="2:12" ht="15">
      <c r="B33" s="1" t="s">
        <v>267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</row>
    <row r="34" spans="2:12" ht="15">
      <c r="B34" s="1" t="s">
        <v>268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</row>
    <row r="35" spans="3:12" ht="15"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6" spans="1:12" ht="15">
      <c r="A36" s="46">
        <v>6</v>
      </c>
      <c r="B36" s="1" t="s">
        <v>269</v>
      </c>
      <c r="C36" s="57" t="e">
        <f>+'CMA- BS'!#REF!</f>
        <v>#REF!</v>
      </c>
      <c r="D36" s="57" t="e">
        <f>+'CMA- BS'!#REF!</f>
        <v>#REF!</v>
      </c>
      <c r="E36" s="57" t="e">
        <f>+'CMA- BS'!#REF!</f>
        <v>#REF!</v>
      </c>
      <c r="F36" s="57">
        <f>+'CMA- BS'!B96</f>
        <v>0</v>
      </c>
      <c r="G36" s="57">
        <f>+'CMA- BS'!C96</f>
        <v>0</v>
      </c>
      <c r="H36" s="57">
        <f>+'CMA- BS'!D96</f>
        <v>0</v>
      </c>
      <c r="I36" s="57">
        <f>+'CMA- BS'!E96</f>
        <v>0</v>
      </c>
      <c r="J36" s="57">
        <f>+'CMA- BS'!F96</f>
        <v>0</v>
      </c>
      <c r="K36" s="57">
        <f>+'CMA- BS'!G96</f>
        <v>0</v>
      </c>
      <c r="L36" s="57">
        <f>+'CMA- BS'!H96</f>
        <v>0</v>
      </c>
    </row>
    <row r="37" spans="2:12" ht="15">
      <c r="B37" s="1" t="s">
        <v>270</v>
      </c>
      <c r="C37" s="58" t="e">
        <f>C36/('CMA-PL'!#REF!/300)</f>
        <v>#VALUE!</v>
      </c>
      <c r="D37" s="58" t="e">
        <f>D36/('CMA-PL'!#REF!/300)</f>
        <v>#VALUE!</v>
      </c>
      <c r="E37" s="58" t="e">
        <f>E36/('CMA-PL'!#REF!/300)</f>
        <v>#VALUE!</v>
      </c>
      <c r="F37" s="58" t="e">
        <f>F36/('CMA-PL'!B14/300)</f>
        <v>#DIV/0!</v>
      </c>
      <c r="G37" s="58">
        <f>G36/('CMA-PL'!C14/300)</f>
        <v>0</v>
      </c>
      <c r="H37" s="58">
        <f>H36/('CMA-PL'!D14/300)</f>
        <v>0</v>
      </c>
      <c r="I37" s="58">
        <f>I36/('CMA-PL'!E14/300)</f>
        <v>0</v>
      </c>
      <c r="J37" s="58">
        <f>J36/('CMA-PL'!F14/300)</f>
        <v>0</v>
      </c>
      <c r="K37" s="58">
        <f>K36/('CMA-PL'!G14/300)</f>
        <v>0</v>
      </c>
      <c r="L37" s="58">
        <f>L36/('CMA-PL'!H14/300)</f>
        <v>0</v>
      </c>
    </row>
    <row r="38" spans="2:12" ht="15">
      <c r="B38" s="1" t="s">
        <v>271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3:12" ht="15"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3:12" ht="15"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ht="15.75">
      <c r="B41" s="2">
        <f>B5</f>
        <v>0</v>
      </c>
    </row>
    <row r="43" spans="1:12" ht="15">
      <c r="A43" s="50"/>
      <c r="B43" s="4"/>
      <c r="C43" s="50" t="s">
        <v>243</v>
      </c>
      <c r="D43" s="50" t="s">
        <v>243</v>
      </c>
      <c r="E43" s="4" t="s">
        <v>244</v>
      </c>
      <c r="F43" s="4" t="s">
        <v>245</v>
      </c>
      <c r="G43" s="4" t="s">
        <v>245</v>
      </c>
      <c r="H43" s="4" t="s">
        <v>245</v>
      </c>
      <c r="I43" s="4" t="s">
        <v>245</v>
      </c>
      <c r="J43" s="4" t="s">
        <v>245</v>
      </c>
      <c r="K43" s="4" t="s">
        <v>245</v>
      </c>
      <c r="L43" s="4" t="s">
        <v>245</v>
      </c>
    </row>
    <row r="44" spans="1:12" ht="15">
      <c r="A44" s="5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>
      <c r="A45" s="52"/>
      <c r="B45" s="53"/>
      <c r="C45" s="53" t="s">
        <v>247</v>
      </c>
      <c r="D45" s="53" t="s">
        <v>247</v>
      </c>
      <c r="E45" s="54" t="s">
        <v>248</v>
      </c>
      <c r="F45" s="54" t="s">
        <v>175</v>
      </c>
      <c r="G45" s="54" t="s">
        <v>176</v>
      </c>
      <c r="H45" s="54">
        <f>+H8</f>
        <v>0</v>
      </c>
      <c r="I45" s="54">
        <f>+I8</f>
        <v>0</v>
      </c>
      <c r="J45" s="54">
        <f>+J8</f>
        <v>0</v>
      </c>
      <c r="K45" s="54">
        <f>+K8</f>
        <v>0</v>
      </c>
      <c r="L45" s="54">
        <f>+L8</f>
        <v>0</v>
      </c>
    </row>
    <row r="46" spans="1:2" ht="15">
      <c r="A46" s="51"/>
      <c r="B46" s="8"/>
    </row>
    <row r="47" spans="1:12" ht="15">
      <c r="A47" s="46">
        <v>7</v>
      </c>
      <c r="B47" s="1" t="s">
        <v>272</v>
      </c>
      <c r="C47" s="57" t="e">
        <f>+'CMA- BS'!#REF!</f>
        <v>#REF!</v>
      </c>
      <c r="D47" s="57" t="e">
        <f>+'CMA- BS'!#REF!</f>
        <v>#REF!</v>
      </c>
      <c r="E47" s="57" t="e">
        <f>+'CMA- BS'!#REF!</f>
        <v>#REF!</v>
      </c>
      <c r="F47" s="57">
        <f>+'CMA- BS'!B107</f>
        <v>0</v>
      </c>
      <c r="G47" s="57">
        <f>+'CMA- BS'!C107</f>
        <v>0</v>
      </c>
      <c r="H47" s="57">
        <f>+'CMA- BS'!D107</f>
        <v>0</v>
      </c>
      <c r="I47" s="57">
        <f>+'CMA- BS'!E107</f>
        <v>0</v>
      </c>
      <c r="J47" s="57">
        <f>+'CMA- BS'!F107</f>
        <v>0</v>
      </c>
      <c r="K47" s="57">
        <f>+'CMA- BS'!G107</f>
        <v>0</v>
      </c>
      <c r="L47" s="57">
        <f>+'CMA- BS'!H107</f>
        <v>0</v>
      </c>
    </row>
    <row r="48" spans="2:12" ht="15">
      <c r="B48" s="1" t="s">
        <v>273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spans="3:12" ht="15"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0" spans="2:12" ht="15">
      <c r="B50" s="1" t="s">
        <v>274</v>
      </c>
      <c r="C50" s="57" t="e">
        <f>+'CMA- BS'!#REF!</f>
        <v>#REF!</v>
      </c>
      <c r="D50" s="57" t="e">
        <f>+'CMA- BS'!#REF!</f>
        <v>#REF!</v>
      </c>
      <c r="E50" s="57" t="e">
        <f>+'CMA- BS'!#REF!</f>
        <v>#REF!</v>
      </c>
      <c r="F50" s="57">
        <f>+'CMA- BS'!B108</f>
        <v>0</v>
      </c>
      <c r="G50" s="57">
        <f>+'CMA- BS'!C108</f>
        <v>0</v>
      </c>
      <c r="H50" s="57">
        <f>+'CMA- BS'!D108</f>
        <v>0</v>
      </c>
      <c r="I50" s="57">
        <f>+'CMA- BS'!E108</f>
        <v>0</v>
      </c>
      <c r="J50" s="57">
        <f>+'CMA- BS'!F108</f>
        <v>0</v>
      </c>
      <c r="K50" s="57">
        <f>+'CMA- BS'!G108</f>
        <v>0</v>
      </c>
      <c r="L50" s="57">
        <f>+'CMA- BS'!H108</f>
        <v>0</v>
      </c>
    </row>
    <row r="51" spans="3:12" ht="15"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1:12" ht="15">
      <c r="A52" s="46">
        <v>8</v>
      </c>
      <c r="B52" s="1" t="s">
        <v>275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2:12" ht="15">
      <c r="B53" s="1" t="s">
        <v>276</v>
      </c>
      <c r="C53" s="57" t="e">
        <f>+'CMA- BS'!#REF!+'CMA- BS'!#REF!+'CMA- BS'!#REF!</f>
        <v>#VALUE!</v>
      </c>
      <c r="D53" s="57" t="e">
        <f>+'CMA- BS'!#REF!+'CMA- BS'!#REF!+'CMA- BS'!#REF!</f>
        <v>#VALUE!</v>
      </c>
      <c r="E53" s="57" t="e">
        <f>+'CMA- BS'!#REF!+'CMA- BS'!#REF!+'CMA- BS'!#REF!</f>
        <v>#VALUE!</v>
      </c>
      <c r="F53" s="57">
        <f>+'CMA- BS'!B109+'CMA- BS'!B97+'CMA- BS'!B93</f>
        <v>0</v>
      </c>
      <c r="G53" s="57">
        <f>+'CMA- BS'!C109+'CMA- BS'!C97+'CMA- BS'!C93</f>
        <v>3.61</v>
      </c>
      <c r="H53" s="57">
        <f>+'CMA- BS'!D109+'CMA- BS'!D97+'CMA- BS'!D93</f>
        <v>3.61</v>
      </c>
      <c r="I53" s="57">
        <f>+'CMA- BS'!E109+'CMA- BS'!E97+'CMA- BS'!E93</f>
        <v>3.61</v>
      </c>
      <c r="J53" s="57">
        <f>+'CMA- BS'!F109+'CMA- BS'!F97+'CMA- BS'!F93</f>
        <v>3.61</v>
      </c>
      <c r="K53" s="57">
        <f>+'CMA- BS'!G109+'CMA- BS'!G97+'CMA- BS'!G93</f>
        <v>3.61</v>
      </c>
      <c r="L53" s="57">
        <f>+'CMA- BS'!H109+'CMA- BS'!H97+'CMA- BS'!H93</f>
        <v>3.61</v>
      </c>
    </row>
    <row r="54" spans="2:12" ht="15">
      <c r="B54" s="1" t="s">
        <v>277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</row>
    <row r="55" spans="3:12" ht="15">
      <c r="C55" s="56"/>
      <c r="D55" s="56"/>
      <c r="E55" s="56"/>
      <c r="F55" s="56"/>
      <c r="G55" s="56"/>
      <c r="H55" s="56"/>
      <c r="I55" s="56"/>
      <c r="J55" s="56"/>
      <c r="K55" s="56"/>
      <c r="L55" s="56"/>
    </row>
    <row r="56" spans="2:12" ht="15">
      <c r="B56" s="1" t="s">
        <v>278</v>
      </c>
      <c r="C56" s="57" t="e">
        <f>+'CMA- BS'!#REF!</f>
        <v>#REF!</v>
      </c>
      <c r="D56" s="57" t="e">
        <f>+'CMA- BS'!#REF!</f>
        <v>#REF!</v>
      </c>
      <c r="E56" s="57" t="e">
        <f>+'CMA- BS'!#REF!</f>
        <v>#REF!</v>
      </c>
      <c r="F56" s="57">
        <f>+'CMA- BS'!B88</f>
        <v>0</v>
      </c>
      <c r="G56" s="57">
        <f>+'CMA- BS'!C88</f>
        <v>8.96</v>
      </c>
      <c r="H56" s="57">
        <f>+'CMA- BS'!D88</f>
        <v>3.4502054794520376</v>
      </c>
      <c r="I56" s="57">
        <f>+'CMA- BS'!E88</f>
        <v>6.271660958904079</v>
      </c>
      <c r="J56" s="57">
        <f>+'CMA- BS'!F88</f>
        <v>9.374545009784718</v>
      </c>
      <c r="K56" s="57">
        <f>+'CMA- BS'!G88</f>
        <v>9.593214774950958</v>
      </c>
      <c r="L56" s="57">
        <f>+'CMA- BS'!H88</f>
        <v>10.796305968688742</v>
      </c>
    </row>
    <row r="57" spans="3:12" ht="15"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1:12" ht="15.75">
      <c r="A58" s="55">
        <v>9</v>
      </c>
      <c r="B58" s="2" t="s">
        <v>279</v>
      </c>
      <c r="C58" s="59" t="e">
        <f>C12+C15+C23+C26+C31+C56+C53+C17+C47+C50+C36</f>
        <v>#REF!</v>
      </c>
      <c r="D58" s="59" t="e">
        <f>D12+D15+D23+D26+D31+D56+D53+D17+D47+D50+D36</f>
        <v>#REF!</v>
      </c>
      <c r="E58" s="59" t="e">
        <f>E12+E15+E23+E26+E31+E56+E53+E17+E47+E50+E36</f>
        <v>#REF!</v>
      </c>
      <c r="F58" s="59">
        <f>F12+F15+F23+F26+F31+F56+F53+F17+F47+F50+F36</f>
        <v>0</v>
      </c>
      <c r="G58" s="59">
        <f>G12+G15+G23+G26+G31+G56+G53+G17+G47+G50+G36</f>
        <v>19.57</v>
      </c>
      <c r="H58" s="59">
        <f>H12+H15+H23+H26+H31+H56+H53+H17+H47+H50+H36</f>
        <v>26.28820547945204</v>
      </c>
      <c r="I58" s="59">
        <f>I12+I15+I23+I26+I31+I56+I53+I17+I47+I50+I36</f>
        <v>32.83526095890408</v>
      </c>
      <c r="J58" s="59">
        <f>J12+J15+J23+J26+J31+J56+J53+J17+J47+J50+J36</f>
        <v>38.928865009784715</v>
      </c>
      <c r="K58" s="59">
        <f>K12+K15+K23+K26+K31+K56+K53+K17+K47+K50+K36</f>
        <v>42.33639877495096</v>
      </c>
      <c r="L58" s="59">
        <f>L12+L15+L23+L26+L31+L56+L53+L17+L47+L50+L36</f>
        <v>47.96612676868874</v>
      </c>
    </row>
    <row r="59" spans="1:12" ht="15.75">
      <c r="A59" s="55"/>
      <c r="B59" s="2" t="s">
        <v>280</v>
      </c>
      <c r="C59" s="57" t="e">
        <f>+'CMA- BS'!#REF!-C58</f>
        <v>#VALUE!</v>
      </c>
      <c r="D59" s="57" t="e">
        <f>+'CMA- BS'!#REF!-D58</f>
        <v>#VALUE!</v>
      </c>
      <c r="E59" s="57" t="e">
        <f>+'CMA- BS'!#REF!-E58</f>
        <v>#VALUE!</v>
      </c>
      <c r="F59" s="57">
        <f>+'CMA- BS'!B111-F58</f>
        <v>0</v>
      </c>
      <c r="G59" s="57">
        <f>+'CMA- BS'!C111-G58</f>
        <v>0</v>
      </c>
      <c r="H59" s="57">
        <f>+'CMA- BS'!D111-H58</f>
        <v>0</v>
      </c>
      <c r="I59" s="57">
        <f>+'CMA- BS'!E111-I58</f>
        <v>0</v>
      </c>
      <c r="J59" s="57">
        <f>+'CMA- BS'!F111-J58</f>
        <v>0</v>
      </c>
      <c r="K59" s="57">
        <f>+'CMA- BS'!G111-K58</f>
        <v>0</v>
      </c>
      <c r="L59" s="57">
        <f>+'CMA- BS'!H111-L58</f>
        <v>0</v>
      </c>
    </row>
    <row r="60" spans="3:12" ht="15">
      <c r="C60" s="57"/>
      <c r="D60" s="57"/>
      <c r="E60" s="57"/>
      <c r="F60" s="57"/>
      <c r="G60" s="57"/>
      <c r="H60" s="57"/>
      <c r="I60" s="57"/>
      <c r="J60" s="57"/>
      <c r="K60" s="57"/>
      <c r="L60" s="57"/>
    </row>
    <row r="61" spans="1:12" ht="15.75">
      <c r="A61" s="46" t="s">
        <v>281</v>
      </c>
      <c r="B61" s="2" t="s">
        <v>282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</row>
    <row r="62" spans="2:12" ht="15">
      <c r="B62" s="1" t="s">
        <v>283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</row>
    <row r="63" spans="2:12" ht="15">
      <c r="B63" s="1" t="s">
        <v>284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</row>
    <row r="64" spans="3:12" ht="15">
      <c r="C64" s="56"/>
      <c r="D64" s="56"/>
      <c r="E64" s="56"/>
      <c r="F64" s="56"/>
      <c r="G64" s="56"/>
      <c r="H64" s="56"/>
      <c r="I64" s="56"/>
      <c r="J64" s="56"/>
      <c r="K64" s="56"/>
      <c r="L64" s="56"/>
    </row>
    <row r="65" spans="1:12" ht="15">
      <c r="A65" s="46">
        <v>10</v>
      </c>
      <c r="B65" s="1" t="s">
        <v>285</v>
      </c>
      <c r="C65" s="57" t="e">
        <f>+'CMA- BS'!#REF!</f>
        <v>#REF!</v>
      </c>
      <c r="D65" s="57" t="e">
        <f>+'CMA- BS'!#REF!</f>
        <v>#REF!</v>
      </c>
      <c r="E65" s="57" t="e">
        <f>+'CMA- BS'!#REF!</f>
        <v>#REF!</v>
      </c>
      <c r="F65" s="57">
        <f>+'CMA- BS'!B20</f>
        <v>0</v>
      </c>
      <c r="G65" s="57">
        <f>+'CMA- BS'!C20</f>
        <v>0</v>
      </c>
      <c r="H65" s="57">
        <f>+'CMA- BS'!D20</f>
        <v>0.25</v>
      </c>
      <c r="I65" s="57">
        <f>+'CMA- BS'!E20</f>
        <v>0.25</v>
      </c>
      <c r="J65" s="57">
        <f>+'CMA- BS'!F20</f>
        <v>0.25</v>
      </c>
      <c r="K65" s="57">
        <f>+'CMA- BS'!G20</f>
        <v>0.25</v>
      </c>
      <c r="L65" s="57">
        <f>+'CMA- BS'!H20</f>
        <v>0.25</v>
      </c>
    </row>
    <row r="66" spans="2:12" ht="15">
      <c r="B66" s="1" t="s">
        <v>286</v>
      </c>
      <c r="C66" s="56"/>
      <c r="D66" s="56"/>
      <c r="E66" s="56"/>
      <c r="F66" s="58" t="e">
        <f>+F65/('CMA-PL'!B27/300)</f>
        <v>#DIV/0!</v>
      </c>
      <c r="G66" s="60">
        <f>+G65/('CMA-PL'!C27/300)</f>
        <v>0</v>
      </c>
      <c r="H66" s="60">
        <f>+H65/('CMA-PL'!D27/300)</f>
        <v>0.3001500750375188</v>
      </c>
      <c r="I66" s="60">
        <f>+I65/('CMA-PL'!E27/300)</f>
        <v>0.2964426877470356</v>
      </c>
      <c r="J66" s="60">
        <f>+J65/('CMA-PL'!F27/300)</f>
        <v>0.27624309392265195</v>
      </c>
      <c r="K66" s="60">
        <f>+K65/('CMA-PL'!G27/300)</f>
        <v>0.2683583980077072</v>
      </c>
      <c r="L66" s="60">
        <f>+L65/('CMA-PL'!H27/300)</f>
        <v>0.2610511660285416</v>
      </c>
    </row>
    <row r="67" spans="1:12" ht="15">
      <c r="A67" s="46">
        <v>11</v>
      </c>
      <c r="B67" s="1" t="s">
        <v>287</v>
      </c>
      <c r="C67" s="57" t="e">
        <f>+'CMA- BS'!#REF!</f>
        <v>#REF!</v>
      </c>
      <c r="D67" s="57" t="e">
        <f>+'CMA- BS'!#REF!</f>
        <v>#REF!</v>
      </c>
      <c r="E67" s="57" t="e">
        <f>+'CMA- BS'!#REF!</f>
        <v>#REF!</v>
      </c>
      <c r="F67" s="57">
        <f>+'CMA- BS'!B22</f>
        <v>0</v>
      </c>
      <c r="G67" s="57">
        <f>+'CMA- BS'!C22</f>
        <v>0</v>
      </c>
      <c r="H67" s="57">
        <f>+'CMA- BS'!D22</f>
        <v>0</v>
      </c>
      <c r="I67" s="57">
        <f>+'CMA- BS'!E22</f>
        <v>0</v>
      </c>
      <c r="J67" s="57">
        <f>+'CMA- BS'!F22</f>
        <v>0</v>
      </c>
      <c r="K67" s="57">
        <f>+'CMA- BS'!G22</f>
        <v>0</v>
      </c>
      <c r="L67" s="57">
        <f>+'CMA- BS'!H22</f>
        <v>0</v>
      </c>
    </row>
    <row r="68" spans="1:12" ht="15">
      <c r="A68" s="46">
        <v>12</v>
      </c>
      <c r="B68" s="1" t="s">
        <v>288</v>
      </c>
      <c r="C68" s="57" t="e">
        <f>+'CMA- BS'!#REF!</f>
        <v>#REF!</v>
      </c>
      <c r="D68" s="57" t="e">
        <f>+'CMA- BS'!#REF!</f>
        <v>#REF!</v>
      </c>
      <c r="E68" s="57" t="e">
        <f>+'CMA- BS'!#REF!</f>
        <v>#REF!</v>
      </c>
      <c r="F68" s="57">
        <f>+'CMA- BS'!B28</f>
        <v>0</v>
      </c>
      <c r="G68" s="57">
        <f>+'CMA- BS'!C28</f>
        <v>0</v>
      </c>
      <c r="H68" s="57">
        <f>+'CMA- BS'!D28</f>
        <v>0</v>
      </c>
      <c r="I68" s="57">
        <f>+'CMA- BS'!E28</f>
        <v>0</v>
      </c>
      <c r="J68" s="57">
        <f>+'CMA- BS'!F28</f>
        <v>0</v>
      </c>
      <c r="K68" s="57">
        <f>+'CMA- BS'!G28</f>
        <v>0</v>
      </c>
      <c r="L68" s="57">
        <f>+'CMA- BS'!H28</f>
        <v>0</v>
      </c>
    </row>
    <row r="69" spans="2:12" ht="15">
      <c r="B69" s="1" t="s">
        <v>289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</row>
    <row r="70" spans="2:12" ht="15">
      <c r="B70" s="1" t="s">
        <v>290</v>
      </c>
      <c r="C70" s="58" t="e">
        <f>+'CMA- BS'!#REF!</f>
        <v>#REF!</v>
      </c>
      <c r="D70" s="58" t="e">
        <f>+'CMA- BS'!#REF!</f>
        <v>#REF!</v>
      </c>
      <c r="E70" s="58" t="e">
        <f>+'CMA- BS'!#REF!</f>
        <v>#REF!</v>
      </c>
      <c r="F70" s="58">
        <f>+'CMA- BS'!B25</f>
        <v>0</v>
      </c>
      <c r="G70" s="57">
        <f>+'CMA- BS'!C25</f>
        <v>0</v>
      </c>
      <c r="H70" s="57">
        <f>+'CMA- BS'!D25</f>
        <v>0</v>
      </c>
      <c r="I70" s="57">
        <f>+'CMA- BS'!E25</f>
        <v>0</v>
      </c>
      <c r="J70" s="57">
        <f>+'CMA- BS'!F25</f>
        <v>0</v>
      </c>
      <c r="K70" s="57">
        <f>+'CMA- BS'!G25</f>
        <v>0</v>
      </c>
      <c r="L70" s="57">
        <f>+'CMA- BS'!H25</f>
        <v>0</v>
      </c>
    </row>
    <row r="71" spans="1:12" ht="15">
      <c r="A71" s="46">
        <v>13</v>
      </c>
      <c r="B71" s="1" t="s">
        <v>291</v>
      </c>
      <c r="C71" s="58" t="e">
        <f>+'CMA- BS'!#REF!</f>
        <v>#REF!</v>
      </c>
      <c r="D71" s="58" t="e">
        <f>+'CMA- BS'!#REF!</f>
        <v>#REF!</v>
      </c>
      <c r="E71" s="58" t="e">
        <f>+'CMA- BS'!#REF!</f>
        <v>#REF!</v>
      </c>
      <c r="F71" s="58">
        <f>+'CMA- BS'!B18</f>
        <v>0</v>
      </c>
      <c r="G71" s="58">
        <f>+'CMA- BS'!C18</f>
        <v>0</v>
      </c>
      <c r="H71" s="58">
        <f>+'CMA- BS'!D18</f>
        <v>0</v>
      </c>
      <c r="I71" s="58">
        <f>+'CMA- BS'!E18</f>
        <v>0</v>
      </c>
      <c r="J71" s="58">
        <f>+'CMA- BS'!F18</f>
        <v>0</v>
      </c>
      <c r="K71" s="58">
        <f>+'CMA- BS'!G18</f>
        <v>0</v>
      </c>
      <c r="L71" s="58">
        <f>+'CMA- BS'!H18</f>
        <v>0</v>
      </c>
    </row>
    <row r="72" spans="2:12" ht="15">
      <c r="B72" s="1" t="s">
        <v>292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</row>
    <row r="73" spans="2:12" ht="15">
      <c r="B73" s="1" t="s">
        <v>293</v>
      </c>
      <c r="C73" s="58" t="e">
        <f>+'CMA- BS'!#REF!</f>
        <v>#REF!</v>
      </c>
      <c r="D73" s="58" t="e">
        <f>+'CMA- BS'!#REF!</f>
        <v>#REF!</v>
      </c>
      <c r="E73" s="58" t="e">
        <f>+'CMA- BS'!#REF!</f>
        <v>#REF!</v>
      </c>
      <c r="F73" s="58">
        <f>+'CMA- BS'!B21</f>
        <v>0</v>
      </c>
      <c r="G73" s="58">
        <f>+'CMA- BS'!C21</f>
        <v>0</v>
      </c>
      <c r="H73" s="58">
        <f>+'CMA- BS'!D21</f>
        <v>0</v>
      </c>
      <c r="I73" s="58">
        <f>+'CMA- BS'!E21</f>
        <v>0</v>
      </c>
      <c r="J73" s="58">
        <f>+'CMA- BS'!F21</f>
        <v>0</v>
      </c>
      <c r="K73" s="58">
        <f>+'CMA- BS'!G21</f>
        <v>0</v>
      </c>
      <c r="L73" s="58">
        <f>+'CMA- BS'!H21</f>
        <v>0</v>
      </c>
    </row>
    <row r="74" spans="2:12" ht="15">
      <c r="B74" s="1" t="s">
        <v>294</v>
      </c>
      <c r="C74" s="58"/>
      <c r="D74" s="58"/>
      <c r="E74" s="58"/>
      <c r="F74" s="58"/>
      <c r="G74" s="58"/>
      <c r="H74" s="58"/>
      <c r="I74" s="58"/>
      <c r="J74" s="58"/>
      <c r="K74" s="58"/>
      <c r="L74" s="58"/>
    </row>
    <row r="75" spans="2:12" ht="15">
      <c r="B75" s="1" t="s">
        <v>295</v>
      </c>
      <c r="C75" s="57" t="e">
        <f>+'CMA- BS'!#REF!</f>
        <v>#REF!</v>
      </c>
      <c r="D75" s="57" t="e">
        <f>+'CMA- BS'!#REF!</f>
        <v>#REF!</v>
      </c>
      <c r="E75" s="57" t="e">
        <f>+'CMA- BS'!#REF!</f>
        <v>#REF!</v>
      </c>
      <c r="F75" s="57">
        <f>+'CMA- BS'!B30</f>
        <v>0</v>
      </c>
      <c r="G75" s="57">
        <f>+'CMA- BS'!C30</f>
        <v>0</v>
      </c>
      <c r="H75" s="57">
        <f>+'CMA- BS'!D30</f>
        <v>0.12142857142857143</v>
      </c>
      <c r="I75" s="57">
        <f>+'CMA- BS'!E30</f>
        <v>0.4857142857142857</v>
      </c>
      <c r="J75" s="57">
        <f>+'CMA- BS'!F30</f>
        <v>0.4857142857142857</v>
      </c>
      <c r="K75" s="57">
        <f>+'CMA- BS'!G30</f>
        <v>0.4857142857142857</v>
      </c>
      <c r="L75" s="57">
        <f>+'CMA- BS'!H30</f>
        <v>0.4857142857142857</v>
      </c>
    </row>
    <row r="76" spans="2:12" ht="15">
      <c r="B76" s="1" t="s">
        <v>296</v>
      </c>
      <c r="C76" s="57" t="e">
        <f>+'CMA- BS'!#REF!</f>
        <v>#REF!</v>
      </c>
      <c r="D76" s="57" t="e">
        <f>+'CMA- BS'!#REF!</f>
        <v>#REF!</v>
      </c>
      <c r="E76" s="57" t="e">
        <f>+'CMA- BS'!#REF!</f>
        <v>#REF!</v>
      </c>
      <c r="F76" s="57">
        <f>+'CMA- BS'!B33</f>
        <v>0</v>
      </c>
      <c r="G76" s="57">
        <f>+'CMA- BS'!C33</f>
        <v>0.36</v>
      </c>
      <c r="H76" s="57">
        <f>+'CMA- BS'!D33</f>
        <v>0.36</v>
      </c>
      <c r="I76" s="57">
        <f>+'CMA- BS'!E33</f>
        <v>0.36</v>
      </c>
      <c r="J76" s="57">
        <f>+'CMA- BS'!F33</f>
        <v>0.36</v>
      </c>
      <c r="K76" s="57">
        <f>+'CMA- BS'!G33</f>
        <v>0.36</v>
      </c>
      <c r="L76" s="57">
        <f>+'CMA- BS'!H33</f>
        <v>0.36</v>
      </c>
    </row>
    <row r="77" spans="3:12" ht="15">
      <c r="C77" s="56"/>
      <c r="D77" s="56"/>
      <c r="E77" s="56"/>
      <c r="F77" s="56"/>
      <c r="G77" s="56"/>
      <c r="H77" s="56"/>
      <c r="I77" s="56"/>
      <c r="J77" s="56"/>
      <c r="K77" s="56"/>
      <c r="L77" s="56"/>
    </row>
    <row r="78" spans="1:12" ht="15.75">
      <c r="A78" s="55">
        <v>14</v>
      </c>
      <c r="B78" s="2" t="s">
        <v>297</v>
      </c>
      <c r="C78" s="59" t="e">
        <f>SUM(C65:C76)</f>
        <v>#REF!</v>
      </c>
      <c r="D78" s="59" t="e">
        <f>SUM(D65:D76)</f>
        <v>#REF!</v>
      </c>
      <c r="E78" s="59" t="e">
        <f>SUM(E65:E76)</f>
        <v>#REF!</v>
      </c>
      <c r="F78" s="59" t="e">
        <f>SUM(F65:F76)</f>
        <v>#DIV/0!</v>
      </c>
      <c r="G78" s="59">
        <f>SUM(G65:G76)</f>
        <v>0.36</v>
      </c>
      <c r="H78" s="59">
        <f>SUM(H65:H76)</f>
        <v>1.03157864646609</v>
      </c>
      <c r="I78" s="59">
        <f>SUM(I65:I76)</f>
        <v>1.3921569734613213</v>
      </c>
      <c r="J78" s="59">
        <f>SUM(J65:J76)</f>
        <v>1.3719573796369375</v>
      </c>
      <c r="K78" s="59">
        <f>SUM(K65:K76)</f>
        <v>1.364072683721993</v>
      </c>
      <c r="L78" s="59">
        <f>SUM(L65:L76)</f>
        <v>1.3567654517428274</v>
      </c>
    </row>
    <row r="79" spans="1:12" ht="15.75">
      <c r="A79" s="55"/>
      <c r="B79" s="2" t="s">
        <v>298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</row>
    <row r="80" spans="1:12" ht="15.75">
      <c r="A80" s="55"/>
      <c r="B80" s="2"/>
      <c r="C80" s="57" t="e">
        <f>+C78-'CMA- BS'!#REF!</f>
        <v>#REF!</v>
      </c>
      <c r="D80" s="57" t="e">
        <f>+D78-'CMA- BS'!#REF!</f>
        <v>#REF!</v>
      </c>
      <c r="E80" s="57" t="e">
        <f>+E78-'CMA- BS'!#REF!</f>
        <v>#REF!</v>
      </c>
      <c r="F80" s="57" t="e">
        <f>+F78-'CMA- BS'!B35</f>
        <v>#DIV/0!</v>
      </c>
      <c r="G80" s="57">
        <f>+G78-'CMA- BS'!C35</f>
        <v>0</v>
      </c>
      <c r="H80" s="57">
        <f>+H78-'CMA- BS'!D35</f>
        <v>0.30015007503751867</v>
      </c>
      <c r="I80" s="57">
        <f>+I78-'CMA- BS'!E35</f>
        <v>0.29644268774703564</v>
      </c>
      <c r="J80" s="57">
        <f>+J78-'CMA- BS'!F35</f>
        <v>0.2762430939226519</v>
      </c>
      <c r="K80" s="57">
        <f>+K78-'CMA- BS'!G35</f>
        <v>0.26835839800770733</v>
      </c>
      <c r="L80" s="57">
        <f>+L78-'CMA- BS'!H35</f>
        <v>0.2610511660285417</v>
      </c>
    </row>
    <row r="81" spans="1:12" ht="15.75">
      <c r="A81" s="55"/>
      <c r="B81" s="2"/>
      <c r="C81" s="61"/>
      <c r="D81" s="61"/>
      <c r="E81" s="61"/>
      <c r="F81" s="61"/>
      <c r="G81" s="61"/>
      <c r="H81" s="61"/>
      <c r="I81" s="61"/>
      <c r="J81" s="61"/>
      <c r="K81" s="61"/>
      <c r="L81" s="61"/>
    </row>
    <row r="82" spans="1:2" ht="15.75">
      <c r="A82" s="55"/>
      <c r="B82" s="2"/>
    </row>
    <row r="83" ht="15.75">
      <c r="B83" s="2">
        <f>B5</f>
        <v>0</v>
      </c>
    </row>
    <row r="85" spans="1:12" ht="15">
      <c r="A85" s="50"/>
      <c r="B85" s="4"/>
      <c r="C85" s="50" t="s">
        <v>243</v>
      </c>
      <c r="D85" s="50" t="s">
        <v>243</v>
      </c>
      <c r="E85" s="4" t="s">
        <v>244</v>
      </c>
      <c r="F85" s="4" t="s">
        <v>245</v>
      </c>
      <c r="G85" s="4" t="s">
        <v>245</v>
      </c>
      <c r="H85" s="4" t="s">
        <v>245</v>
      </c>
      <c r="I85" s="4" t="s">
        <v>245</v>
      </c>
      <c r="J85" s="4" t="s">
        <v>245</v>
      </c>
      <c r="K85" s="4" t="s">
        <v>245</v>
      </c>
      <c r="L85" s="4" t="s">
        <v>245</v>
      </c>
    </row>
    <row r="86" spans="1:12" ht="15">
      <c r="A86" s="51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>
      <c r="A87" s="52"/>
      <c r="B87" s="53"/>
      <c r="C87" s="53" t="s">
        <v>247</v>
      </c>
      <c r="D87" s="53" t="s">
        <v>247</v>
      </c>
      <c r="E87" s="54" t="s">
        <v>248</v>
      </c>
      <c r="F87" s="54" t="s">
        <v>175</v>
      </c>
      <c r="G87" s="54" t="s">
        <v>176</v>
      </c>
      <c r="H87" s="54" t="s">
        <v>177</v>
      </c>
      <c r="I87" s="54" t="s">
        <v>178</v>
      </c>
      <c r="J87" s="54" t="s">
        <v>4</v>
      </c>
      <c r="K87" s="54" t="s">
        <v>5</v>
      </c>
      <c r="L87" s="54" t="s">
        <v>6</v>
      </c>
    </row>
    <row r="89" spans="1:12" ht="15">
      <c r="A89" s="46" t="s">
        <v>299</v>
      </c>
      <c r="B89" s="1" t="s">
        <v>300</v>
      </c>
      <c r="C89" s="57" t="e">
        <f>C58</f>
        <v>#REF!</v>
      </c>
      <c r="D89" s="57" t="e">
        <f>D58</f>
        <v>#REF!</v>
      </c>
      <c r="E89" s="57" t="e">
        <f>E58</f>
        <v>#REF!</v>
      </c>
      <c r="F89" s="57">
        <f>F58</f>
        <v>0</v>
      </c>
      <c r="G89" s="57">
        <f>G58</f>
        <v>19.57</v>
      </c>
      <c r="H89" s="57">
        <f>H58</f>
        <v>26.28820547945204</v>
      </c>
      <c r="I89" s="57">
        <f>I58</f>
        <v>32.83526095890408</v>
      </c>
      <c r="J89" s="57">
        <f>J58</f>
        <v>38.928865009784715</v>
      </c>
      <c r="K89" s="57">
        <f>K58</f>
        <v>42.33639877495096</v>
      </c>
      <c r="L89" s="57">
        <f>L58</f>
        <v>47.96612676868874</v>
      </c>
    </row>
    <row r="90" spans="3:12" ht="15">
      <c r="C90" s="57"/>
      <c r="D90" s="57"/>
      <c r="E90" s="57"/>
      <c r="F90" s="57"/>
      <c r="G90" s="57"/>
      <c r="H90" s="57"/>
      <c r="I90" s="57"/>
      <c r="J90" s="57"/>
      <c r="K90" s="57"/>
      <c r="L90" s="57"/>
    </row>
    <row r="91" spans="1:12" ht="15">
      <c r="A91" s="46" t="s">
        <v>281</v>
      </c>
      <c r="B91" s="1" t="s">
        <v>301</v>
      </c>
      <c r="C91" s="56"/>
      <c r="D91" s="56"/>
      <c r="E91" s="56"/>
      <c r="F91" s="56"/>
      <c r="G91" s="56"/>
      <c r="H91" s="56"/>
      <c r="I91" s="56"/>
      <c r="J91" s="56"/>
      <c r="K91" s="56"/>
      <c r="L91" s="56"/>
    </row>
    <row r="92" spans="2:12" ht="15">
      <c r="B92" s="1" t="s">
        <v>302</v>
      </c>
      <c r="C92" s="57" t="e">
        <f>C78</f>
        <v>#REF!</v>
      </c>
      <c r="D92" s="57" t="e">
        <f>D78</f>
        <v>#REF!</v>
      </c>
      <c r="E92" s="57" t="e">
        <f>E78</f>
        <v>#REF!</v>
      </c>
      <c r="F92" s="57" t="e">
        <f>F78</f>
        <v>#DIV/0!</v>
      </c>
      <c r="G92" s="57">
        <f>G78</f>
        <v>0.36</v>
      </c>
      <c r="H92" s="57">
        <f>H78</f>
        <v>1.03157864646609</v>
      </c>
      <c r="I92" s="57">
        <f>I78</f>
        <v>1.3921569734613213</v>
      </c>
      <c r="J92" s="57">
        <f>J78</f>
        <v>1.3719573796369375</v>
      </c>
      <c r="K92" s="57">
        <f>K78</f>
        <v>1.364072683721993</v>
      </c>
      <c r="L92" s="57">
        <f>L78</f>
        <v>1.3567654517428274</v>
      </c>
    </row>
    <row r="93" spans="3:12" ht="15">
      <c r="C93" s="56"/>
      <c r="D93" s="56"/>
      <c r="E93" s="56"/>
      <c r="F93" s="56"/>
      <c r="G93" s="56"/>
      <c r="H93" s="56"/>
      <c r="I93" s="56"/>
      <c r="J93" s="56"/>
      <c r="K93" s="56"/>
      <c r="L93" s="56"/>
    </row>
    <row r="94" spans="1:12" ht="15">
      <c r="A94" s="46" t="s">
        <v>303</v>
      </c>
      <c r="B94" s="1" t="s">
        <v>304</v>
      </c>
      <c r="C94" s="57" t="e">
        <f>C89-C92</f>
        <v>#REF!</v>
      </c>
      <c r="D94" s="57" t="e">
        <f>D89-D92</f>
        <v>#REF!</v>
      </c>
      <c r="E94" s="57" t="e">
        <f>E89-E92</f>
        <v>#REF!</v>
      </c>
      <c r="F94" s="57" t="e">
        <f>F89-F92</f>
        <v>#DIV/0!</v>
      </c>
      <c r="G94" s="57">
        <f>G89-G92</f>
        <v>19.21</v>
      </c>
      <c r="H94" s="57">
        <f>H89-H92</f>
        <v>25.256626832985948</v>
      </c>
      <c r="I94" s="57">
        <f>I89-I92</f>
        <v>31.443103985442757</v>
      </c>
      <c r="J94" s="57">
        <f>J89-J92</f>
        <v>37.556907630147776</v>
      </c>
      <c r="K94" s="57">
        <f>K89-K92</f>
        <v>40.972326091228965</v>
      </c>
      <c r="L94" s="57">
        <f>L89-L92</f>
        <v>46.60936131694591</v>
      </c>
    </row>
    <row r="95" spans="3:12" ht="15">
      <c r="C95" s="56"/>
      <c r="D95" s="56"/>
      <c r="E95" s="56"/>
      <c r="F95" s="56"/>
      <c r="G95" s="56"/>
      <c r="H95" s="56"/>
      <c r="I95" s="56"/>
      <c r="J95" s="56"/>
      <c r="K95" s="56"/>
      <c r="L95" s="56"/>
    </row>
    <row r="96" spans="1:12" ht="15">
      <c r="A96" s="46" t="s">
        <v>305</v>
      </c>
      <c r="B96" s="1" t="s">
        <v>306</v>
      </c>
      <c r="C96" s="57" t="e">
        <f>+'CMA- BS'!#REF!</f>
        <v>#REF!</v>
      </c>
      <c r="D96" s="57" t="e">
        <f>+'CMA- BS'!#REF!</f>
        <v>#REF!</v>
      </c>
      <c r="E96" s="57" t="e">
        <f>+'CMA- BS'!#REF!</f>
        <v>#REF!</v>
      </c>
      <c r="F96" s="57">
        <f>+'CMA- BS'!B12</f>
        <v>0</v>
      </c>
      <c r="G96" s="57">
        <f>+'CMA- BS'!C12</f>
        <v>0</v>
      </c>
      <c r="H96" s="57">
        <f>+'CMA- BS'!D12</f>
        <v>0</v>
      </c>
      <c r="I96" s="57">
        <f>+'CMA- BS'!E12</f>
        <v>0</v>
      </c>
      <c r="J96" s="57">
        <f>+'CMA- BS'!F12</f>
        <v>0</v>
      </c>
      <c r="K96" s="57">
        <f>+'CMA- BS'!G12</f>
        <v>0</v>
      </c>
      <c r="L96" s="57">
        <f>+'CMA- BS'!H12</f>
        <v>0</v>
      </c>
    </row>
    <row r="97" spans="3:12" ht="15">
      <c r="C97" s="57"/>
      <c r="D97" s="57"/>
      <c r="E97" s="57"/>
      <c r="F97" s="57"/>
      <c r="G97" s="57"/>
      <c r="H97" s="57"/>
      <c r="I97" s="57"/>
      <c r="J97" s="57"/>
      <c r="K97" s="57"/>
      <c r="L97" s="57"/>
    </row>
    <row r="98" spans="1:12" ht="15">
      <c r="A98" s="46" t="s">
        <v>307</v>
      </c>
      <c r="B98" s="1" t="s">
        <v>308</v>
      </c>
      <c r="C98" s="57" t="e">
        <f>C92+C96</f>
        <v>#REF!</v>
      </c>
      <c r="D98" s="57" t="e">
        <f>D92+D96</f>
        <v>#REF!</v>
      </c>
      <c r="E98" s="57" t="e">
        <f>E92+E96</f>
        <v>#REF!</v>
      </c>
      <c r="F98" s="57" t="e">
        <f>F92+F96</f>
        <v>#DIV/0!</v>
      </c>
      <c r="G98" s="57">
        <f>G92+G96</f>
        <v>0.36</v>
      </c>
      <c r="H98" s="57">
        <f>H92+H96</f>
        <v>1.03157864646609</v>
      </c>
      <c r="I98" s="57">
        <f>I92+I96</f>
        <v>1.3921569734613213</v>
      </c>
      <c r="J98" s="57">
        <f>J92+J96</f>
        <v>1.3719573796369375</v>
      </c>
      <c r="K98" s="57">
        <f>K92+K96</f>
        <v>1.364072683721993</v>
      </c>
      <c r="L98" s="57">
        <f>L92+L96</f>
        <v>1.3567654517428274</v>
      </c>
    </row>
    <row r="99" spans="3:12" ht="15">
      <c r="C99" s="57"/>
      <c r="D99" s="57"/>
      <c r="E99" s="57"/>
      <c r="F99" s="57"/>
      <c r="G99" s="57"/>
      <c r="H99" s="57"/>
      <c r="I99" s="57"/>
      <c r="J99" s="57"/>
      <c r="K99" s="57"/>
      <c r="L99" s="57"/>
    </row>
    <row r="100" spans="1:12" ht="15">
      <c r="A100" s="46" t="s">
        <v>309</v>
      </c>
      <c r="B100" s="1" t="s">
        <v>310</v>
      </c>
      <c r="C100" s="57" t="e">
        <f>C89-C98</f>
        <v>#REF!</v>
      </c>
      <c r="D100" s="57" t="e">
        <f>D89-D98</f>
        <v>#REF!</v>
      </c>
      <c r="E100" s="57" t="e">
        <f>E89-E98</f>
        <v>#REF!</v>
      </c>
      <c r="F100" s="57" t="e">
        <f>F89-F98</f>
        <v>#DIV/0!</v>
      </c>
      <c r="G100" s="57">
        <f>G89-G98</f>
        <v>19.21</v>
      </c>
      <c r="H100" s="57">
        <f>H89-H98</f>
        <v>25.256626832985948</v>
      </c>
      <c r="I100" s="57">
        <f>I89-I98</f>
        <v>31.443103985442757</v>
      </c>
      <c r="J100" s="57">
        <f>J89-J98</f>
        <v>37.556907630147776</v>
      </c>
      <c r="K100" s="57">
        <f>K89-K98</f>
        <v>40.972326091228965</v>
      </c>
      <c r="L100" s="57">
        <f>L89-L98</f>
        <v>46.60936131694591</v>
      </c>
    </row>
    <row r="101" spans="3:12" ht="15"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>
      <c r="A102" s="46" t="s">
        <v>311</v>
      </c>
      <c r="B102" s="1" t="s">
        <v>312</v>
      </c>
      <c r="C102" s="56"/>
      <c r="D102" s="56"/>
      <c r="E102" s="56"/>
      <c r="F102" s="56"/>
      <c r="G102" s="56"/>
      <c r="H102" s="56"/>
      <c r="I102" s="56"/>
      <c r="J102" s="56"/>
      <c r="K102" s="56"/>
      <c r="L102" s="56"/>
    </row>
    <row r="103" spans="2:12" ht="15">
      <c r="B103" s="1" t="s">
        <v>313</v>
      </c>
      <c r="C103" s="57" t="e">
        <f>C89*0.25</f>
        <v>#REF!</v>
      </c>
      <c r="D103" s="57" t="e">
        <f>D89*0.25</f>
        <v>#REF!</v>
      </c>
      <c r="E103" s="57" t="e">
        <f>E89*0.25</f>
        <v>#REF!</v>
      </c>
      <c r="F103" s="57">
        <f>F89*0.25</f>
        <v>0</v>
      </c>
      <c r="G103" s="57">
        <f>G89*0.25</f>
        <v>4.8925</v>
      </c>
      <c r="H103" s="57">
        <f>H89*0.25</f>
        <v>6.57205136986301</v>
      </c>
      <c r="I103" s="57">
        <f>I89*0.25</f>
        <v>8.20881523972602</v>
      </c>
      <c r="J103" s="57">
        <f>J89*0.25</f>
        <v>9.732216252446179</v>
      </c>
      <c r="K103" s="57">
        <f>K89*0.25</f>
        <v>10.58409969373774</v>
      </c>
      <c r="L103" s="57">
        <f>L89*0.25</f>
        <v>11.991531692172185</v>
      </c>
    </row>
    <row r="104" spans="3:12" ht="15">
      <c r="C104" s="57"/>
      <c r="D104" s="57"/>
      <c r="E104" s="57"/>
      <c r="F104" s="57"/>
      <c r="G104" s="57"/>
      <c r="H104" s="57"/>
      <c r="I104" s="57"/>
      <c r="J104" s="57"/>
      <c r="K104" s="57"/>
      <c r="L104" s="57"/>
    </row>
    <row r="105" spans="1:12" ht="15">
      <c r="A105" s="46" t="s">
        <v>314</v>
      </c>
      <c r="B105" s="1" t="s">
        <v>315</v>
      </c>
      <c r="C105" s="57" t="e">
        <f>C94-C103</f>
        <v>#REF!</v>
      </c>
      <c r="D105" s="57" t="e">
        <f>D94-D103</f>
        <v>#REF!</v>
      </c>
      <c r="E105" s="57" t="e">
        <f>E94-E103</f>
        <v>#REF!</v>
      </c>
      <c r="F105" s="57" t="e">
        <f>F94-F103</f>
        <v>#DIV/0!</v>
      </c>
      <c r="G105" s="57">
        <f>G94-G103</f>
        <v>14.3175</v>
      </c>
      <c r="H105" s="57">
        <f>H94-H103</f>
        <v>18.68457546312294</v>
      </c>
      <c r="I105" s="57">
        <f>I94-I103</f>
        <v>23.23428874571674</v>
      </c>
      <c r="J105" s="57">
        <f>J94-J103</f>
        <v>27.824691377701598</v>
      </c>
      <c r="K105" s="57">
        <f>K94-K103</f>
        <v>30.388226397491223</v>
      </c>
      <c r="L105" s="57">
        <f>L94-L103</f>
        <v>34.61782962477372</v>
      </c>
    </row>
    <row r="106" spans="3:12" ht="15">
      <c r="C106" s="57"/>
      <c r="D106" s="57"/>
      <c r="E106" s="57"/>
      <c r="F106" s="57"/>
      <c r="G106" s="57"/>
      <c r="H106" s="57"/>
      <c r="I106" s="57"/>
      <c r="J106" s="57"/>
      <c r="K106" s="57"/>
      <c r="L106" s="57"/>
    </row>
    <row r="107" spans="1:12" ht="15">
      <c r="A107" s="46" t="s">
        <v>316</v>
      </c>
      <c r="B107" s="1" t="s">
        <v>317</v>
      </c>
      <c r="C107" s="57" t="e">
        <f>C94-C100</f>
        <v>#REF!</v>
      </c>
      <c r="D107" s="57" t="e">
        <f>D94-D100</f>
        <v>#REF!</v>
      </c>
      <c r="E107" s="57" t="e">
        <f>E94-E100</f>
        <v>#REF!</v>
      </c>
      <c r="F107" s="57" t="e">
        <f>F94-F100</f>
        <v>#DIV/0!</v>
      </c>
      <c r="G107" s="57">
        <f>G94-G100</f>
        <v>0</v>
      </c>
      <c r="H107" s="57">
        <f>H94-H100</f>
        <v>0</v>
      </c>
      <c r="I107" s="57">
        <f>I94-I100</f>
        <v>0</v>
      </c>
      <c r="J107" s="57">
        <f>J94-J100</f>
        <v>0</v>
      </c>
      <c r="K107" s="57">
        <f>K94-K100</f>
        <v>0</v>
      </c>
      <c r="L107" s="57">
        <f>L94-L100</f>
        <v>0</v>
      </c>
    </row>
    <row r="108" spans="3:12" ht="15">
      <c r="C108" s="57"/>
      <c r="D108" s="57"/>
      <c r="E108" s="57"/>
      <c r="F108" s="57"/>
      <c r="G108" s="57"/>
      <c r="H108" s="57"/>
      <c r="I108" s="57"/>
      <c r="J108" s="57"/>
      <c r="K108" s="57"/>
      <c r="L108" s="57"/>
    </row>
    <row r="109" spans="1:12" ht="15">
      <c r="A109" s="46" t="s">
        <v>318</v>
      </c>
      <c r="B109" s="1" t="s">
        <v>319</v>
      </c>
      <c r="C109" s="56"/>
      <c r="D109" s="56"/>
      <c r="E109" s="56"/>
      <c r="F109" s="56"/>
      <c r="G109" s="56"/>
      <c r="H109" s="56"/>
      <c r="I109" s="56"/>
      <c r="J109" s="56"/>
      <c r="K109" s="56"/>
      <c r="L109" s="56"/>
    </row>
    <row r="110" spans="2:12" ht="15">
      <c r="B110" s="1" t="s">
        <v>320</v>
      </c>
      <c r="C110" s="57" t="e">
        <f>C107</f>
        <v>#REF!</v>
      </c>
      <c r="D110" s="57" t="e">
        <f>D107</f>
        <v>#REF!</v>
      </c>
      <c r="E110" s="57" t="e">
        <f>E107</f>
        <v>#REF!</v>
      </c>
      <c r="F110" s="57" t="e">
        <f>F107</f>
        <v>#DIV/0!</v>
      </c>
      <c r="G110" s="57">
        <f>G107</f>
        <v>0</v>
      </c>
      <c r="H110" s="57">
        <f>H107</f>
        <v>0</v>
      </c>
      <c r="I110" s="57">
        <f>I107</f>
        <v>0</v>
      </c>
      <c r="J110" s="57">
        <f>J107</f>
        <v>0</v>
      </c>
      <c r="K110" s="57">
        <f>K107</f>
        <v>0</v>
      </c>
      <c r="L110" s="57">
        <f>L107</f>
        <v>0</v>
      </c>
    </row>
    <row r="111" spans="3:12" ht="15">
      <c r="C111" s="57"/>
      <c r="D111" s="57"/>
      <c r="E111" s="57"/>
      <c r="F111" s="57"/>
      <c r="G111" s="57"/>
      <c r="H111" s="57"/>
      <c r="I111" s="57"/>
      <c r="J111" s="57"/>
      <c r="K111" s="57"/>
      <c r="L111" s="57"/>
    </row>
    <row r="112" spans="1:12" ht="15">
      <c r="A112" s="46" t="s">
        <v>321</v>
      </c>
      <c r="B112" s="1" t="s">
        <v>322</v>
      </c>
      <c r="C112" s="57" t="e">
        <f>+C110-C96</f>
        <v>#REF!</v>
      </c>
      <c r="D112" s="57" t="e">
        <f>+D110-D96</f>
        <v>#REF!</v>
      </c>
      <c r="E112" s="57" t="e">
        <f>+E110-E96</f>
        <v>#REF!</v>
      </c>
      <c r="F112" s="57" t="e">
        <f>+F110-F96</f>
        <v>#DIV/0!</v>
      </c>
      <c r="G112" s="57">
        <f>+G110-G96</f>
        <v>0</v>
      </c>
      <c r="H112" s="57">
        <f>+H110-H96</f>
        <v>0</v>
      </c>
      <c r="I112" s="57">
        <f>+I110-I96</f>
        <v>0</v>
      </c>
      <c r="J112" s="57">
        <f>+J110-J96</f>
        <v>0</v>
      </c>
      <c r="K112" s="57">
        <f>+K110-K96</f>
        <v>0</v>
      </c>
      <c r="L112" s="57">
        <f>+L110-L96</f>
        <v>0</v>
      </c>
    </row>
    <row r="113" ht="15">
      <c r="B113" s="1" t="s">
        <v>323</v>
      </c>
    </row>
    <row r="114" ht="15">
      <c r="B114" s="1" t="s">
        <v>324</v>
      </c>
    </row>
  </sheetData>
  <sheetProtection selectLockedCells="1" selectUnlockedCells="1"/>
  <mergeCells count="1">
    <mergeCell ref="A1:B1"/>
  </mergeCells>
  <printOptions/>
  <pageMargins left="0.75" right="0.75" top="0.4798611111111111" bottom="0.4201388888888889" header="0.5118110236220472" footer="0.5118110236220472"/>
  <pageSetup horizontalDpi="300" verticalDpi="300" orientation="landscape" paperSize="9" scale="82"/>
  <rowBreaks count="2" manualBreakCount="2">
    <brk id="39" max="255" man="1"/>
    <brk id="8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SheetLayoutView="100" workbookViewId="0" topLeftCell="A1">
      <selection activeCell="G16" sqref="G16"/>
    </sheetView>
  </sheetViews>
  <sheetFormatPr defaultColWidth="9.140625" defaultRowHeight="12.75"/>
  <cols>
    <col min="1" max="1" width="23.140625" style="62" customWidth="1"/>
    <col min="2" max="2" width="10.28125" style="62" customWidth="1"/>
    <col min="3" max="3" width="12.00390625" style="62" customWidth="1"/>
    <col min="4" max="4" width="11.8515625" style="62" customWidth="1"/>
    <col min="5" max="5" width="11.7109375" style="62" customWidth="1"/>
    <col min="6" max="6" width="10.57421875" style="62" customWidth="1"/>
    <col min="7" max="7" width="8.140625" style="62" customWidth="1"/>
    <col min="8" max="16384" width="9.140625" style="62" customWidth="1"/>
  </cols>
  <sheetData>
    <row r="1" ht="12.75">
      <c r="F1" s="63" t="s">
        <v>325</v>
      </c>
    </row>
    <row r="3" spans="1:7" ht="12.75">
      <c r="A3" s="64">
        <f>+'CMA IV'!B5</f>
        <v>0</v>
      </c>
      <c r="B3" s="64"/>
      <c r="C3" s="64"/>
      <c r="D3" s="64"/>
      <c r="E3" s="64"/>
      <c r="F3" s="64"/>
      <c r="G3" s="64"/>
    </row>
    <row r="4" spans="1:7" ht="12.75">
      <c r="A4" s="65" t="s">
        <v>326</v>
      </c>
      <c r="B4" s="65"/>
      <c r="C4" s="65"/>
      <c r="D4" s="65"/>
      <c r="E4" s="65"/>
      <c r="F4" s="65"/>
      <c r="G4" s="65"/>
    </row>
    <row r="5" spans="1:5" ht="13.5">
      <c r="A5" s="66"/>
      <c r="B5" s="67"/>
      <c r="C5" s="68"/>
      <c r="D5" s="67"/>
      <c r="E5" s="67"/>
    </row>
    <row r="6" spans="1:9" ht="12.75">
      <c r="A6" s="69"/>
      <c r="B6" s="70"/>
      <c r="C6" s="71" t="s">
        <v>327</v>
      </c>
      <c r="D6" s="72" t="s">
        <v>328</v>
      </c>
      <c r="E6" s="73" t="s">
        <v>329</v>
      </c>
      <c r="F6" s="74" t="s">
        <v>330</v>
      </c>
      <c r="G6" s="75" t="s">
        <v>331</v>
      </c>
      <c r="I6" s="63" t="s">
        <v>332</v>
      </c>
    </row>
    <row r="7" spans="1:9" ht="12.75">
      <c r="A7" s="76"/>
      <c r="B7" s="77"/>
      <c r="C7" s="78" t="s">
        <v>333</v>
      </c>
      <c r="D7" s="79"/>
      <c r="E7" s="76"/>
      <c r="F7" s="80">
        <v>0.125</v>
      </c>
      <c r="G7" s="81" t="s">
        <v>330</v>
      </c>
      <c r="I7" s="63" t="s">
        <v>334</v>
      </c>
    </row>
    <row r="8" spans="1:9" ht="12.75">
      <c r="A8" s="82" t="s">
        <v>335</v>
      </c>
      <c r="B8" s="82" t="s">
        <v>336</v>
      </c>
      <c r="C8" s="83">
        <v>0</v>
      </c>
      <c r="D8" s="83">
        <v>0</v>
      </c>
      <c r="E8" s="83">
        <f aca="true" t="shared" si="0" ref="E8:E11">C8-D8</f>
        <v>0</v>
      </c>
      <c r="F8" s="84">
        <f>(C8*$F$7*$I$8/365)</f>
        <v>0</v>
      </c>
      <c r="G8" s="85"/>
      <c r="I8" s="62">
        <v>91</v>
      </c>
    </row>
    <row r="9" spans="1:9" ht="12.75">
      <c r="A9" s="82"/>
      <c r="B9" s="82" t="s">
        <v>337</v>
      </c>
      <c r="C9" s="84">
        <v>0</v>
      </c>
      <c r="D9" s="84">
        <v>0</v>
      </c>
      <c r="E9" s="84">
        <f t="shared" si="0"/>
        <v>0</v>
      </c>
      <c r="F9" s="84">
        <f>(C9*$F$7*$I$9/365)</f>
        <v>0</v>
      </c>
      <c r="G9" s="86"/>
      <c r="I9" s="62">
        <v>92</v>
      </c>
    </row>
    <row r="10" spans="1:9" ht="12.75">
      <c r="A10" s="82"/>
      <c r="B10" s="82" t="s">
        <v>338</v>
      </c>
      <c r="C10" s="84">
        <v>0</v>
      </c>
      <c r="D10" s="84">
        <v>0</v>
      </c>
      <c r="E10" s="84">
        <f t="shared" si="0"/>
        <v>0</v>
      </c>
      <c r="F10" s="87">
        <f>(C10*$F$7*$I$10/365)</f>
        <v>0</v>
      </c>
      <c r="G10" s="86"/>
      <c r="H10" s="88"/>
      <c r="I10" s="62">
        <v>92</v>
      </c>
    </row>
    <row r="11" spans="1:11" ht="13.5">
      <c r="A11" s="82"/>
      <c r="B11" s="82" t="s">
        <v>339</v>
      </c>
      <c r="C11" s="84">
        <v>3.4</v>
      </c>
      <c r="D11" s="84">
        <f>+C11/28</f>
        <v>0.12142857142857143</v>
      </c>
      <c r="E11" s="89">
        <f t="shared" si="0"/>
        <v>3.2785714285714285</v>
      </c>
      <c r="F11" s="84">
        <f>(C11*$F$7*I11/365)</f>
        <v>0.1047945205479452</v>
      </c>
      <c r="G11" s="90">
        <f>SUM(F8:F11)</f>
        <v>0.1047945205479452</v>
      </c>
      <c r="I11" s="62">
        <v>90</v>
      </c>
      <c r="K11" s="62">
        <v>1.35</v>
      </c>
    </row>
    <row r="12" spans="2:11" ht="13.5">
      <c r="B12" s="82"/>
      <c r="C12" s="91" t="s">
        <v>340</v>
      </c>
      <c r="D12" s="92">
        <f>SUM(D8:D11)</f>
        <v>0.12142857142857143</v>
      </c>
      <c r="E12" s="92"/>
      <c r="F12" s="92"/>
      <c r="G12" s="93"/>
      <c r="K12" s="62">
        <f>K11/28</f>
        <v>0.048214285714285716</v>
      </c>
    </row>
    <row r="13" spans="1:7" ht="12.75">
      <c r="A13" s="82" t="s">
        <v>341</v>
      </c>
      <c r="B13" s="82" t="s">
        <v>336</v>
      </c>
      <c r="C13" s="83">
        <f>+E11</f>
        <v>3.2785714285714285</v>
      </c>
      <c r="D13" s="83">
        <f>D11</f>
        <v>0.12142857142857143</v>
      </c>
      <c r="E13" s="83">
        <f aca="true" t="shared" si="1" ref="E13:E16">C13-D13</f>
        <v>3.157142857142857</v>
      </c>
      <c r="F13" s="84">
        <f>(C13*$F$7*$I$8/365)</f>
        <v>0.10217465753424657</v>
      </c>
      <c r="G13" s="85"/>
    </row>
    <row r="14" spans="1:14" ht="12.75">
      <c r="A14" s="82"/>
      <c r="B14" s="82" t="s">
        <v>337</v>
      </c>
      <c r="C14" s="84">
        <f>E13</f>
        <v>3.157142857142857</v>
      </c>
      <c r="D14" s="87">
        <f aca="true" t="shared" si="2" ref="D14:D16">+D13</f>
        <v>0.12142857142857143</v>
      </c>
      <c r="E14" s="84">
        <f t="shared" si="1"/>
        <v>3.0357142857142856</v>
      </c>
      <c r="F14" s="84">
        <f>(C14*$F$7*$I$9/365)</f>
        <v>0.09947162426614481</v>
      </c>
      <c r="G14" s="86"/>
      <c r="L14" s="94"/>
      <c r="M14" s="63"/>
      <c r="N14" s="62">
        <v>7</v>
      </c>
    </row>
    <row r="15" spans="1:14" ht="12.75">
      <c r="A15" s="82"/>
      <c r="B15" s="82" t="s">
        <v>338</v>
      </c>
      <c r="C15" s="84">
        <f>+E14</f>
        <v>3.0357142857142856</v>
      </c>
      <c r="D15" s="84">
        <f t="shared" si="2"/>
        <v>0.12142857142857143</v>
      </c>
      <c r="E15" s="84">
        <f t="shared" si="1"/>
        <v>2.914285714285714</v>
      </c>
      <c r="F15" s="84">
        <f>(C15*$F$7*$I$10/365)</f>
        <v>0.09564579256360078</v>
      </c>
      <c r="G15" s="86"/>
      <c r="N15" s="62">
        <f>+N14*4</f>
        <v>28</v>
      </c>
    </row>
    <row r="16" spans="1:7" ht="13.5">
      <c r="A16" s="82"/>
      <c r="B16" s="82" t="s">
        <v>339</v>
      </c>
      <c r="C16" s="89">
        <f>E15</f>
        <v>2.914285714285714</v>
      </c>
      <c r="D16" s="84">
        <f t="shared" si="2"/>
        <v>0.12142857142857143</v>
      </c>
      <c r="E16" s="89">
        <f t="shared" si="1"/>
        <v>2.7928571428571427</v>
      </c>
      <c r="F16" s="84">
        <f>(C16*$F$7*$I$11/365)</f>
        <v>0.0898238747553816</v>
      </c>
      <c r="G16" s="90">
        <f>SUM(F13:F16)</f>
        <v>0.38711594911937375</v>
      </c>
    </row>
    <row r="17" spans="1:7" ht="13.5">
      <c r="A17" s="82"/>
      <c r="B17" s="82"/>
      <c r="C17" s="91" t="s">
        <v>340</v>
      </c>
      <c r="D17" s="92">
        <f>SUM(D13:D16)</f>
        <v>0.4857142857142857</v>
      </c>
      <c r="E17" s="92"/>
      <c r="F17" s="92"/>
      <c r="G17" s="93"/>
    </row>
    <row r="18" spans="1:7" ht="12.75">
      <c r="A18" s="82" t="s">
        <v>342</v>
      </c>
      <c r="B18" s="82" t="s">
        <v>336</v>
      </c>
      <c r="C18" s="83">
        <f>E16</f>
        <v>2.7928571428571427</v>
      </c>
      <c r="D18" s="83">
        <f>D16</f>
        <v>0.12142857142857143</v>
      </c>
      <c r="E18" s="83">
        <f aca="true" t="shared" si="3" ref="E18:E21">C18-D18</f>
        <v>2.6714285714285713</v>
      </c>
      <c r="F18" s="84">
        <f>(C18*$F$7*$I$8/365)</f>
        <v>0.0870376712328767</v>
      </c>
      <c r="G18" s="85"/>
    </row>
    <row r="19" spans="1:7" ht="12.75">
      <c r="A19" s="82"/>
      <c r="B19" s="82" t="s">
        <v>337</v>
      </c>
      <c r="C19" s="84">
        <f aca="true" t="shared" si="4" ref="C19:C21">E18</f>
        <v>2.6714285714285713</v>
      </c>
      <c r="D19" s="84">
        <f aca="true" t="shared" si="5" ref="D19:D21">+D18</f>
        <v>0.12142857142857143</v>
      </c>
      <c r="E19" s="84">
        <f t="shared" si="3"/>
        <v>2.55</v>
      </c>
      <c r="F19" s="84">
        <f>(C19*$F$7*$I$9/365)</f>
        <v>0.08416829745596868</v>
      </c>
      <c r="G19" s="86"/>
    </row>
    <row r="20" spans="1:7" ht="12.75">
      <c r="A20" s="82"/>
      <c r="B20" s="82" t="s">
        <v>338</v>
      </c>
      <c r="C20" s="84">
        <f t="shared" si="4"/>
        <v>2.55</v>
      </c>
      <c r="D20" s="84">
        <f t="shared" si="5"/>
        <v>0.12142857142857143</v>
      </c>
      <c r="E20" s="84">
        <f t="shared" si="3"/>
        <v>2.4285714285714284</v>
      </c>
      <c r="F20" s="84">
        <f>(C20*$F$7*$I$10/365)</f>
        <v>0.08034246575342466</v>
      </c>
      <c r="G20" s="86"/>
    </row>
    <row r="21" spans="1:7" ht="13.5">
      <c r="A21" s="82"/>
      <c r="B21" s="82" t="s">
        <v>339</v>
      </c>
      <c r="C21" s="89">
        <f t="shared" si="4"/>
        <v>2.4285714285714284</v>
      </c>
      <c r="D21" s="84">
        <f t="shared" si="5"/>
        <v>0.12142857142857143</v>
      </c>
      <c r="E21" s="89">
        <f t="shared" si="3"/>
        <v>2.307142857142857</v>
      </c>
      <c r="F21" s="84">
        <f>(C21*$F$7*$I$11/365)</f>
        <v>0.074853228962818</v>
      </c>
      <c r="G21" s="90">
        <f>SUM(F18:F21)</f>
        <v>0.326401663405088</v>
      </c>
    </row>
    <row r="22" spans="1:7" ht="13.5">
      <c r="A22" s="82"/>
      <c r="B22" s="82"/>
      <c r="C22" s="91" t="s">
        <v>340</v>
      </c>
      <c r="D22" s="92">
        <f>SUM(D18:D21)</f>
        <v>0.4857142857142857</v>
      </c>
      <c r="E22" s="92"/>
      <c r="F22" s="92"/>
      <c r="G22" s="93"/>
    </row>
    <row r="23" spans="1:7" ht="12.75">
      <c r="A23" s="82" t="s">
        <v>343</v>
      </c>
      <c r="B23" s="82" t="s">
        <v>336</v>
      </c>
      <c r="C23" s="83">
        <f>E21</f>
        <v>2.307142857142857</v>
      </c>
      <c r="D23" s="83">
        <f>+D21</f>
        <v>0.12142857142857143</v>
      </c>
      <c r="E23" s="83">
        <f aca="true" t="shared" si="6" ref="E23:E26">C23-D23</f>
        <v>2.1857142857142855</v>
      </c>
      <c r="F23" s="84">
        <f>(C23*$F$7*$I$8/365)</f>
        <v>0.07190068493150685</v>
      </c>
      <c r="G23" s="95"/>
    </row>
    <row r="24" spans="1:7" ht="12.75">
      <c r="A24" s="82"/>
      <c r="B24" s="82" t="s">
        <v>337</v>
      </c>
      <c r="C24" s="84">
        <f aca="true" t="shared" si="7" ref="C24:C26">E23</f>
        <v>2.1857142857142855</v>
      </c>
      <c r="D24" s="84">
        <f>D23</f>
        <v>0.12142857142857143</v>
      </c>
      <c r="E24" s="84">
        <f t="shared" si="6"/>
        <v>2.064285714285714</v>
      </c>
      <c r="F24" s="84">
        <f>(C24*$F$7*$I$9/365)</f>
        <v>0.06886497064579256</v>
      </c>
      <c r="G24" s="96"/>
    </row>
    <row r="25" spans="1:7" ht="12.75">
      <c r="A25" s="82"/>
      <c r="B25" s="82" t="s">
        <v>338</v>
      </c>
      <c r="C25" s="84">
        <f t="shared" si="7"/>
        <v>2.064285714285714</v>
      </c>
      <c r="D25" s="84">
        <f aca="true" t="shared" si="8" ref="D25:D26">+D24</f>
        <v>0.12142857142857143</v>
      </c>
      <c r="E25" s="84">
        <f t="shared" si="6"/>
        <v>1.9428571428571426</v>
      </c>
      <c r="F25" s="84">
        <f>(C25*$F$7*$I$10/365)</f>
        <v>0.06503913894324852</v>
      </c>
      <c r="G25" s="96"/>
    </row>
    <row r="26" spans="1:7" ht="13.5">
      <c r="A26" s="82"/>
      <c r="B26" s="82" t="s">
        <v>339</v>
      </c>
      <c r="C26" s="89">
        <f t="shared" si="7"/>
        <v>1.9428571428571426</v>
      </c>
      <c r="D26" s="84">
        <f t="shared" si="8"/>
        <v>0.12142857142857143</v>
      </c>
      <c r="E26" s="89">
        <f t="shared" si="6"/>
        <v>1.8214285714285712</v>
      </c>
      <c r="F26" s="84">
        <f>(C26*$F$7*$I$11/365)</f>
        <v>0.0598825831702544</v>
      </c>
      <c r="G26" s="97">
        <f>SUM(F23:F26)</f>
        <v>0.2656873776908023</v>
      </c>
    </row>
    <row r="27" spans="1:7" ht="13.5">
      <c r="A27" s="82"/>
      <c r="B27" s="82"/>
      <c r="C27" s="91" t="s">
        <v>340</v>
      </c>
      <c r="D27" s="92">
        <f>SUM(D23:D26)</f>
        <v>0.4857142857142857</v>
      </c>
      <c r="E27" s="92"/>
      <c r="F27" s="98"/>
      <c r="G27" s="99"/>
    </row>
    <row r="28" spans="1:7" ht="12.75">
      <c r="A28" s="82" t="s">
        <v>344</v>
      </c>
      <c r="B28" s="82" t="s">
        <v>336</v>
      </c>
      <c r="C28" s="83">
        <f>E26</f>
        <v>1.8214285714285712</v>
      </c>
      <c r="D28" s="83">
        <f>+D26</f>
        <v>0.12142857142857143</v>
      </c>
      <c r="E28" s="83">
        <f aca="true" t="shared" si="9" ref="E28:E31">C28-D28</f>
        <v>1.6999999999999997</v>
      </c>
      <c r="F28" s="84">
        <f>(C28*$F$7*$I$8/365)</f>
        <v>0.05676369863013698</v>
      </c>
      <c r="G28" s="100"/>
    </row>
    <row r="29" spans="1:7" ht="12.75">
      <c r="A29" s="82"/>
      <c r="B29" s="82" t="s">
        <v>337</v>
      </c>
      <c r="C29" s="84">
        <f aca="true" t="shared" si="10" ref="C29:C31">E28</f>
        <v>1.6999999999999997</v>
      </c>
      <c r="D29" s="84">
        <f aca="true" t="shared" si="11" ref="D29:D31">+D28</f>
        <v>0.12142857142857143</v>
      </c>
      <c r="E29" s="84">
        <f t="shared" si="9"/>
        <v>1.5785714285714283</v>
      </c>
      <c r="F29" s="84">
        <f>(C29*$F$7*$I$9/365)</f>
        <v>0.05356164383561643</v>
      </c>
      <c r="G29" s="101"/>
    </row>
    <row r="30" spans="1:7" ht="12.75">
      <c r="A30" s="82"/>
      <c r="B30" s="82" t="s">
        <v>338</v>
      </c>
      <c r="C30" s="84">
        <f t="shared" si="10"/>
        <v>1.5785714285714283</v>
      </c>
      <c r="D30" s="84">
        <f t="shared" si="11"/>
        <v>0.12142857142857143</v>
      </c>
      <c r="E30" s="84">
        <f t="shared" si="9"/>
        <v>1.4571428571428569</v>
      </c>
      <c r="F30" s="84">
        <f>(C30*$F$7*$I$10/365)</f>
        <v>0.0497358121330724</v>
      </c>
      <c r="G30" s="101"/>
    </row>
    <row r="31" spans="1:7" ht="13.5">
      <c r="A31" s="82"/>
      <c r="B31" s="82" t="s">
        <v>339</v>
      </c>
      <c r="C31" s="89">
        <f t="shared" si="10"/>
        <v>1.4571428571428569</v>
      </c>
      <c r="D31" s="89">
        <f t="shared" si="11"/>
        <v>0.12142857142857143</v>
      </c>
      <c r="E31" s="89">
        <f t="shared" si="9"/>
        <v>1.3357142857142854</v>
      </c>
      <c r="F31" s="84">
        <f>(C31*$F$7*$I$11/365)</f>
        <v>0.044911937377690794</v>
      </c>
      <c r="G31" s="97">
        <f>SUM(F28:F31)</f>
        <v>0.20497309197651659</v>
      </c>
    </row>
    <row r="32" spans="1:7" ht="13.5">
      <c r="A32" s="82"/>
      <c r="B32" s="82"/>
      <c r="C32" s="102" t="s">
        <v>340</v>
      </c>
      <c r="D32" s="92">
        <f>SUM(D28:D31)</f>
        <v>0.4857142857142857</v>
      </c>
      <c r="E32" s="98"/>
      <c r="F32" s="98"/>
      <c r="G32" s="99"/>
    </row>
    <row r="33" spans="1:7" ht="12.75">
      <c r="A33" s="82" t="s">
        <v>345</v>
      </c>
      <c r="B33" s="82" t="s">
        <v>336</v>
      </c>
      <c r="C33" s="83">
        <f>E31</f>
        <v>1.3357142857142854</v>
      </c>
      <c r="D33" s="83">
        <f>+D31</f>
        <v>0.12142857142857143</v>
      </c>
      <c r="E33" s="83">
        <f aca="true" t="shared" si="12" ref="E33:E36">C33-D33</f>
        <v>1.214285714285714</v>
      </c>
      <c r="F33" s="84">
        <f>(C33*$F$7*$I$8/365)</f>
        <v>0.041626712328767114</v>
      </c>
      <c r="G33" s="100"/>
    </row>
    <row r="34" spans="1:7" ht="12.75">
      <c r="A34" s="82"/>
      <c r="B34" s="82" t="s">
        <v>337</v>
      </c>
      <c r="C34" s="84">
        <f aca="true" t="shared" si="13" ref="C34:C36">E33</f>
        <v>1.214285714285714</v>
      </c>
      <c r="D34" s="84">
        <f aca="true" t="shared" si="14" ref="D34:D36">+D33</f>
        <v>0.12142857142857143</v>
      </c>
      <c r="E34" s="84">
        <f t="shared" si="12"/>
        <v>1.0928571428571425</v>
      </c>
      <c r="F34" s="84">
        <f>(C34*$F$7*$I$9/365)</f>
        <v>0.0382583170254403</v>
      </c>
      <c r="G34" s="101"/>
    </row>
    <row r="35" spans="1:7" ht="12.75">
      <c r="A35" s="82"/>
      <c r="B35" s="82" t="s">
        <v>338</v>
      </c>
      <c r="C35" s="84">
        <f t="shared" si="13"/>
        <v>1.0928571428571425</v>
      </c>
      <c r="D35" s="84">
        <f t="shared" si="14"/>
        <v>0.12142857142857143</v>
      </c>
      <c r="E35" s="84">
        <f t="shared" si="12"/>
        <v>0.9714285714285711</v>
      </c>
      <c r="F35" s="84">
        <f>(C35*$F$7*$I$10/365)</f>
        <v>0.03443248532289627</v>
      </c>
      <c r="G35" s="101"/>
    </row>
    <row r="36" spans="1:8" ht="13.5">
      <c r="A36" s="82"/>
      <c r="B36" s="82" t="s">
        <v>339</v>
      </c>
      <c r="C36" s="89">
        <f t="shared" si="13"/>
        <v>0.9714285714285711</v>
      </c>
      <c r="D36" s="89">
        <f t="shared" si="14"/>
        <v>0.12142857142857143</v>
      </c>
      <c r="E36" s="84">
        <f t="shared" si="12"/>
        <v>0.8499999999999996</v>
      </c>
      <c r="F36" s="84">
        <f>(C36*$F$7*$I$11/365)</f>
        <v>0.02994129158512719</v>
      </c>
      <c r="G36" s="97">
        <f>SUM(F33:F36)</f>
        <v>0.14425880626223087</v>
      </c>
      <c r="H36" s="66"/>
    </row>
    <row r="37" spans="1:8" ht="13.5">
      <c r="A37" s="82"/>
      <c r="B37" s="82"/>
      <c r="C37" s="102" t="s">
        <v>340</v>
      </c>
      <c r="D37" s="92">
        <f>SUM(D33:D36)</f>
        <v>0.4857142857142857</v>
      </c>
      <c r="E37" s="98"/>
      <c r="F37" s="98"/>
      <c r="G37" s="99"/>
      <c r="H37" s="66"/>
    </row>
    <row r="38" spans="1:7" ht="12.75">
      <c r="A38" s="82" t="s">
        <v>346</v>
      </c>
      <c r="B38" s="82" t="s">
        <v>336</v>
      </c>
      <c r="C38" s="83">
        <f>+E36</f>
        <v>0.8499999999999996</v>
      </c>
      <c r="D38" s="83">
        <f>+D36</f>
        <v>0.12142857142857143</v>
      </c>
      <c r="E38" s="83">
        <f aca="true" t="shared" si="15" ref="E38:E41">C38-D38</f>
        <v>0.7285714285714282</v>
      </c>
      <c r="F38" s="84">
        <f>(C38*$F$7*$I$8/365)</f>
        <v>0.02648972602739725</v>
      </c>
      <c r="G38" s="100"/>
    </row>
    <row r="39" spans="1:7" ht="12.75">
      <c r="A39" s="82"/>
      <c r="B39" s="82" t="s">
        <v>337</v>
      </c>
      <c r="C39" s="84">
        <f aca="true" t="shared" si="16" ref="C39:C41">E38</f>
        <v>0.7285714285714282</v>
      </c>
      <c r="D39" s="84">
        <f aca="true" t="shared" si="17" ref="D39:D41">+D38</f>
        <v>0.12142857142857143</v>
      </c>
      <c r="E39" s="84">
        <f t="shared" si="15"/>
        <v>0.6071428571428568</v>
      </c>
      <c r="F39" s="84">
        <f>(C39*$F$7*$I$9/365)</f>
        <v>0.022954990215264176</v>
      </c>
      <c r="G39" s="101"/>
    </row>
    <row r="40" spans="1:7" ht="12.75">
      <c r="A40" s="82"/>
      <c r="B40" s="82" t="s">
        <v>338</v>
      </c>
      <c r="C40" s="84">
        <f t="shared" si="16"/>
        <v>0.6071428571428568</v>
      </c>
      <c r="D40" s="84">
        <f t="shared" si="17"/>
        <v>0.12142857142857143</v>
      </c>
      <c r="E40" s="84">
        <f t="shared" si="15"/>
        <v>0.4857142857142853</v>
      </c>
      <c r="F40" s="84">
        <f>(C40*$F$7*$I$10/365)</f>
        <v>0.019129158512720144</v>
      </c>
      <c r="G40" s="101"/>
    </row>
    <row r="41" spans="1:8" ht="13.5">
      <c r="A41" s="82"/>
      <c r="B41" s="82" t="s">
        <v>339</v>
      </c>
      <c r="C41" s="89">
        <f t="shared" si="16"/>
        <v>0.4857142857142853</v>
      </c>
      <c r="D41" s="89">
        <f t="shared" si="17"/>
        <v>0.12142857142857143</v>
      </c>
      <c r="E41" s="84">
        <f t="shared" si="15"/>
        <v>0.3642857142857139</v>
      </c>
      <c r="F41" s="84">
        <f>(C41*$F$7*$I$11/365)</f>
        <v>0.014970645792563589</v>
      </c>
      <c r="G41" s="97">
        <f>SUM(F38:F41)</f>
        <v>0.08354452054794516</v>
      </c>
      <c r="H41" s="66"/>
    </row>
    <row r="42" spans="1:8" ht="13.5">
      <c r="A42" s="82"/>
      <c r="B42" s="82"/>
      <c r="C42" s="102" t="s">
        <v>340</v>
      </c>
      <c r="D42" s="92">
        <f>SUM(D38:D41)</f>
        <v>0.4857142857142857</v>
      </c>
      <c r="E42" s="98"/>
      <c r="F42" s="98"/>
      <c r="G42" s="99"/>
      <c r="H42" s="66"/>
    </row>
    <row r="43" spans="1:7" ht="12.75">
      <c r="A43" s="82" t="s">
        <v>347</v>
      </c>
      <c r="B43" s="82" t="s">
        <v>336</v>
      </c>
      <c r="C43" s="83">
        <f>+E41</f>
        <v>0.3642857142857139</v>
      </c>
      <c r="D43" s="83">
        <f>+D41</f>
        <v>0.12142857142857143</v>
      </c>
      <c r="E43" s="83">
        <f aca="true" t="shared" si="18" ref="E43:E46">C43-D43</f>
        <v>0.24285714285714244</v>
      </c>
      <c r="F43" s="84">
        <f>(C43*$F$7*$I$8/365)</f>
        <v>0.011352739726027385</v>
      </c>
      <c r="G43" s="100"/>
    </row>
    <row r="44" spans="1:7" ht="12.75">
      <c r="A44" s="82"/>
      <c r="B44" s="82" t="s">
        <v>337</v>
      </c>
      <c r="C44" s="84">
        <f aca="true" t="shared" si="19" ref="C44:C46">E43</f>
        <v>0.24285714285714244</v>
      </c>
      <c r="D44" s="84">
        <f aca="true" t="shared" si="20" ref="D44:D45">+D43</f>
        <v>0.12142857142857143</v>
      </c>
      <c r="E44" s="84">
        <f t="shared" si="18"/>
        <v>0.12142857142857101</v>
      </c>
      <c r="F44" s="84">
        <f>(C44*$F$7*$I$9/365)</f>
        <v>0.00765166340508805</v>
      </c>
      <c r="G44" s="101"/>
    </row>
    <row r="45" spans="1:7" ht="12.75">
      <c r="A45" s="82"/>
      <c r="B45" s="82" t="s">
        <v>338</v>
      </c>
      <c r="C45" s="84">
        <f t="shared" si="19"/>
        <v>0.12142857142857101</v>
      </c>
      <c r="D45" s="84">
        <f t="shared" si="20"/>
        <v>0.12142857142857143</v>
      </c>
      <c r="E45" s="84">
        <f t="shared" si="18"/>
        <v>0</v>
      </c>
      <c r="F45" s="84">
        <f>(C45*$F$7*$I$10/365)</f>
        <v>0.003825831702544018</v>
      </c>
      <c r="G45" s="101"/>
    </row>
    <row r="46" spans="1:8" ht="13.5">
      <c r="A46" s="82"/>
      <c r="B46" s="82" t="s">
        <v>339</v>
      </c>
      <c r="C46" s="89">
        <f t="shared" si="19"/>
        <v>0</v>
      </c>
      <c r="D46" s="89">
        <v>0</v>
      </c>
      <c r="E46" s="84">
        <f t="shared" si="18"/>
        <v>0</v>
      </c>
      <c r="F46" s="84">
        <f>(C46*$F$7*$I$11/365)</f>
        <v>0</v>
      </c>
      <c r="G46" s="97">
        <f>SUM(F43:F46)</f>
        <v>0.022830234833659452</v>
      </c>
      <c r="H46" s="66"/>
    </row>
    <row r="47" spans="1:8" ht="13.5">
      <c r="A47" s="82"/>
      <c r="B47" s="82"/>
      <c r="C47" s="102" t="s">
        <v>340</v>
      </c>
      <c r="D47" s="92">
        <f>SUM(D43:D46)</f>
        <v>0.36428571428571427</v>
      </c>
      <c r="E47" s="98"/>
      <c r="F47" s="98"/>
      <c r="G47" s="99"/>
      <c r="H47" s="66"/>
    </row>
  </sheetData>
  <sheetProtection selectLockedCells="1" selectUnlockedCells="1"/>
  <mergeCells count="2">
    <mergeCell ref="A3:G3"/>
    <mergeCell ref="A4:G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pageBreakPreview" zoomScale="130" zoomScaleSheetLayoutView="130" workbookViewId="0" topLeftCell="A1">
      <selection activeCell="G11" sqref="G11"/>
    </sheetView>
  </sheetViews>
  <sheetFormatPr defaultColWidth="9.140625" defaultRowHeight="12.75"/>
  <cols>
    <col min="1" max="1" width="15.00390625" style="0" customWidth="1"/>
    <col min="2" max="3" width="9.7109375" style="0" customWidth="1"/>
    <col min="4" max="7" width="10.140625" style="0" customWidth="1"/>
  </cols>
  <sheetData>
    <row r="1" ht="12.75">
      <c r="B1" s="103" t="s">
        <v>62</v>
      </c>
    </row>
    <row r="3" spans="1:8" ht="25.5">
      <c r="A3" s="104"/>
      <c r="B3" s="105" t="s">
        <v>335</v>
      </c>
      <c r="C3" s="105" t="s">
        <v>341</v>
      </c>
      <c r="D3" s="105" t="s">
        <v>342</v>
      </c>
      <c r="E3" s="105" t="s">
        <v>343</v>
      </c>
      <c r="F3" s="105" t="s">
        <v>344</v>
      </c>
      <c r="G3" s="105" t="s">
        <v>345</v>
      </c>
      <c r="H3" s="106" t="s">
        <v>297</v>
      </c>
    </row>
    <row r="4" spans="1:8" ht="16.5" customHeight="1">
      <c r="A4" s="107" t="s">
        <v>348</v>
      </c>
      <c r="B4" s="108">
        <f>+'CMA-PL'!D73</f>
        <v>6.573705479452045</v>
      </c>
      <c r="C4" s="108">
        <f>+'CMA-PL'!E73</f>
        <v>6.956159050880611</v>
      </c>
      <c r="D4" s="108">
        <f>+'CMA-PL'!F73</f>
        <v>7.123842086594916</v>
      </c>
      <c r="E4" s="108">
        <f>+'CMA-PL'!G73</f>
        <v>7.627521809809103</v>
      </c>
      <c r="F4" s="108">
        <f>+'CMA-PL'!H73</f>
        <v>8.092432117398499</v>
      </c>
      <c r="G4" s="108">
        <f>+'CMA-PL'!I73</f>
        <v>6.180446001706489</v>
      </c>
      <c r="H4" s="106"/>
    </row>
    <row r="5" spans="1:8" ht="12.75">
      <c r="A5" s="107" t="s">
        <v>349</v>
      </c>
      <c r="B5" s="108">
        <f>+'CMA-PL'!C33</f>
        <v>2.37</v>
      </c>
      <c r="C5" s="108">
        <f>+'CMA-PL'!D33</f>
        <v>2.0145</v>
      </c>
      <c r="D5" s="108">
        <f>+'CMA-PL'!E33</f>
        <v>1.7123249999999999</v>
      </c>
      <c r="E5" s="108">
        <f>+'CMA-PL'!F33</f>
        <v>1.4554762499999998</v>
      </c>
      <c r="F5" s="108">
        <f>+'CMA-PL'!G33</f>
        <v>1.2371548124999998</v>
      </c>
      <c r="G5" s="108">
        <f>+'CMA-PL'!H33</f>
        <v>1.051581590625</v>
      </c>
      <c r="H5" s="106"/>
    </row>
    <row r="6" spans="1:8" ht="12.75">
      <c r="A6" s="107" t="s">
        <v>350</v>
      </c>
      <c r="B6" s="109">
        <f>+'term loan'!G11</f>
        <v>0.1047945205479452</v>
      </c>
      <c r="C6" s="109">
        <f>+'term loan'!G16</f>
        <v>0.38711594911937375</v>
      </c>
      <c r="D6" s="109">
        <f>+'term loan'!G21</f>
        <v>0.326401663405088</v>
      </c>
      <c r="E6" s="109">
        <f>+'term loan'!G26</f>
        <v>0.2656873776908023</v>
      </c>
      <c r="F6" s="109">
        <f>+'term loan'!G31</f>
        <v>0.20497309197651659</v>
      </c>
      <c r="G6" s="109">
        <f>+'term loan'!G36</f>
        <v>0.14425880626223087</v>
      </c>
      <c r="H6" s="106"/>
    </row>
    <row r="7" spans="1:8" ht="12.75">
      <c r="A7" s="107" t="s">
        <v>351</v>
      </c>
      <c r="B7" s="108">
        <f>+SUM(B4:B6)</f>
        <v>9.04849999999999</v>
      </c>
      <c r="C7" s="108">
        <f>+SUM(C4:C6)</f>
        <v>9.357774999999984</v>
      </c>
      <c r="D7" s="108">
        <f>+SUM(D4:D6)</f>
        <v>9.162568750000004</v>
      </c>
      <c r="E7" s="108">
        <f>+SUM(E4:E6)</f>
        <v>9.348685437499904</v>
      </c>
      <c r="F7" s="108">
        <f>+SUM(F4:F6)</f>
        <v>9.534560021875015</v>
      </c>
      <c r="G7" s="108">
        <f>+SUM(G4:G6)</f>
        <v>7.37628639859372</v>
      </c>
      <c r="H7" s="110">
        <f>SUM(B7:G7)</f>
        <v>53.82837560796862</v>
      </c>
    </row>
    <row r="8" spans="1:8" ht="12.75">
      <c r="A8" s="107" t="s">
        <v>352</v>
      </c>
      <c r="B8" s="108">
        <f>+B6</f>
        <v>0.1047945205479452</v>
      </c>
      <c r="C8" s="108">
        <f>+C6</f>
        <v>0.38711594911937375</v>
      </c>
      <c r="D8" s="108">
        <f>+D6</f>
        <v>0.326401663405088</v>
      </c>
      <c r="E8" s="108">
        <f>+E6</f>
        <v>0.2656873776908023</v>
      </c>
      <c r="F8" s="108">
        <f>+F6</f>
        <v>0.20497309197651659</v>
      </c>
      <c r="G8" s="108">
        <f>+G6</f>
        <v>0.14425880626223087</v>
      </c>
      <c r="H8" s="106"/>
    </row>
    <row r="9" spans="1:8" ht="12.75">
      <c r="A9" s="107" t="s">
        <v>353</v>
      </c>
      <c r="B9" s="108">
        <f>+'CMA- BS'!D30</f>
        <v>0.12142857142857143</v>
      </c>
      <c r="C9" s="108">
        <f>+'CMA- BS'!E30</f>
        <v>0.4857142857142857</v>
      </c>
      <c r="D9" s="108">
        <f>+'CMA- BS'!F30</f>
        <v>0.4857142857142857</v>
      </c>
      <c r="E9" s="108">
        <f>+'CMA- BS'!G30</f>
        <v>0.4857142857142857</v>
      </c>
      <c r="F9" s="108">
        <f>+'CMA- BS'!H30</f>
        <v>0.4857142857142857</v>
      </c>
      <c r="G9" s="108">
        <f>+'CMA- BS'!I30</f>
        <v>0.4857142857142857</v>
      </c>
      <c r="H9" s="106"/>
    </row>
    <row r="10" spans="1:8" ht="12.75">
      <c r="A10" s="107" t="s">
        <v>354</v>
      </c>
      <c r="B10" s="108">
        <f>+B8+B9</f>
        <v>0.22622309197651663</v>
      </c>
      <c r="C10" s="108">
        <f>+C8+B9</f>
        <v>0.5085445205479452</v>
      </c>
      <c r="D10" s="108">
        <f>+D8+C9</f>
        <v>0.8121159491193737</v>
      </c>
      <c r="E10" s="108">
        <f>+E8+D9</f>
        <v>0.751401663405088</v>
      </c>
      <c r="F10" s="108">
        <f>+F8+E9</f>
        <v>0.6906873776908022</v>
      </c>
      <c r="G10" s="108">
        <f>+G8+F9</f>
        <v>0.6299730919765165</v>
      </c>
      <c r="H10" s="110">
        <f>SUM(B10:G10)</f>
        <v>3.6189456947162424</v>
      </c>
    </row>
    <row r="11" spans="1:8" ht="12.75">
      <c r="A11" s="107" t="s">
        <v>355</v>
      </c>
      <c r="B11" s="108">
        <f>+B7/B10</f>
        <v>39.998127162629714</v>
      </c>
      <c r="C11" s="108">
        <f>+C7/C10</f>
        <v>18.401092966093103</v>
      </c>
      <c r="D11" s="108">
        <f>+D7/D10</f>
        <v>11.28234060657906</v>
      </c>
      <c r="E11" s="108">
        <f>+E7/E10</f>
        <v>12.441661887112348</v>
      </c>
      <c r="F11" s="108">
        <f>+F7/F10</f>
        <v>13.804450942410764</v>
      </c>
      <c r="G11" s="108">
        <f>+G7/G10</f>
        <v>11.708891209068792</v>
      </c>
      <c r="H11" s="111">
        <f>+H7/H10</f>
        <v>14.874049004537286</v>
      </c>
    </row>
    <row r="12" spans="1:8" ht="15.75">
      <c r="A12" s="107" t="s">
        <v>356</v>
      </c>
      <c r="B12" s="112">
        <f>+H11</f>
        <v>14.874049004537286</v>
      </c>
      <c r="C12" s="104"/>
      <c r="D12" s="104"/>
      <c r="E12" s="104"/>
      <c r="F12" s="104"/>
      <c r="G12" s="104"/>
      <c r="H12" s="106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Arzya Principle Knowledge Advisory APKA CMA</dc:title>
  <dc:subject>Credit Monitoring Analysis Report</dc:subject>
  <dc:creator/>
  <cp:keywords/>
  <dc:description/>
  <cp:lastModifiedBy/>
  <dcterms:created xsi:type="dcterms:W3CDTF">2021-10-25T16:07:17Z</dcterms:created>
  <dcterms:modified xsi:type="dcterms:W3CDTF">2022-07-05T09:12:07Z</dcterms:modified>
  <cp:category/>
  <cp:version/>
  <cp:contentType/>
  <cp:contentStatus/>
  <cp:revision>3</cp:revision>
</cp:coreProperties>
</file>