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FSJ CUSTOMS" sheetId="2" r:id="rId5"/>
    <sheet name="FSJ IP" sheetId="3" r:id="rId6"/>
    <sheet name="FSJ HANGARS" sheetId="4" r:id="rId7"/>
    <sheet name="FSR IP" sheetId="5" r:id="rId8"/>
    <sheet name="FSJ HSDF" sheetId="6" r:id="rId9"/>
  </sheets>
</workbook>
</file>

<file path=xl/sharedStrings.xml><?xml version="1.0" encoding="utf-8"?>
<sst xmlns="http://schemas.openxmlformats.org/spreadsheetml/2006/main" uniqueCount="169">
  <si>
    <t>Plot of Land</t>
  </si>
  <si>
    <t>Project</t>
  </si>
  <si>
    <t>Area Dedicated</t>
  </si>
  <si>
    <t>Investment in USD</t>
  </si>
  <si>
    <t>Finca San Jose</t>
  </si>
  <si>
    <t>Customs &amp; Fiscal Warehouse</t>
  </si>
  <si>
    <t>Industrial Park</t>
  </si>
  <si>
    <t>*Close to 30,000m2 of land becomes available when VOR moves</t>
  </si>
  <si>
    <t>Hangars</t>
  </si>
  <si>
    <t>FSJ Subtotal</t>
  </si>
  <si>
    <t>Finca Santa Rosa</t>
  </si>
  <si>
    <t>HSDF</t>
  </si>
  <si>
    <t>*113,000m2 in FSJ + 76,000 in FEPQ</t>
  </si>
  <si>
    <t>FSR Subtotal</t>
  </si>
  <si>
    <t>TOTAL</t>
  </si>
  <si>
    <t>TRANSSHIPPING WORLD COMPANY</t>
  </si>
  <si>
    <t>PRESUPUESTO INTERNO PI-TWC-ZONA ADUANAL Y DEPOSITO ADUANERO TEMPORAL</t>
  </si>
  <si>
    <t>CONSTRUCCION DE ZONA ADUANERA 48,429.79 M2 Y DEPOSITO ADUANERO TEMPORAL 11,784,58 M2</t>
  </si>
  <si>
    <t>Duración:</t>
  </si>
  <si>
    <t>1097 días naturales</t>
  </si>
  <si>
    <t>FINCA SAN JOSE, PUERTO SAN JOSE, MUNICIPIO DE ESCUINTLA, GUATEMALA, GUATEMALA</t>
  </si>
  <si>
    <t>Fecha:</t>
  </si>
  <si>
    <t>UBICADA EN EL KM.105, RUTA CA-9A</t>
  </si>
  <si>
    <t>Inicio Obra:</t>
  </si>
  <si>
    <t>01/006/2024</t>
  </si>
  <si>
    <t>Fin Obra:</t>
  </si>
  <si>
    <t>01/006/2026</t>
  </si>
  <si>
    <t>DOCUMENTO</t>
  </si>
  <si>
    <t>ART. 45 A.1 RLOPySRM</t>
  </si>
  <si>
    <t>Ciudad de Guatemala, Guatemala 04 de Mayo del 2023</t>
  </si>
  <si>
    <t>RESUMEN DE INVERSION ESTIMADA</t>
  </si>
  <si>
    <t>TIPO DE CAMBIO</t>
  </si>
  <si>
    <t>Código</t>
  </si>
  <si>
    <t>Concepto</t>
  </si>
  <si>
    <t>Unidad</t>
  </si>
  <si>
    <t>P. Unitario</t>
  </si>
  <si>
    <t>Op.</t>
  </si>
  <si>
    <t>Cantidad</t>
  </si>
  <si>
    <t>Importe</t>
  </si>
  <si>
    <t>%</t>
  </si>
  <si>
    <t>$/USD</t>
  </si>
  <si>
    <t>$/QUETZALES</t>
  </si>
  <si>
    <t>Partida:</t>
  </si>
  <si>
    <t>PI-TWC-ZONA ADUANAL</t>
  </si>
  <si>
    <t>MONEDA</t>
  </si>
  <si>
    <t>PESOS MX</t>
  </si>
  <si>
    <t>Construccion</t>
  </si>
  <si>
    <t>1. Construccion de Zona Aduanera y Deposito Temporal Aduanero Temporal (DAT)</t>
  </si>
  <si>
    <t>ZONA ADUANERA Y DEPOSITO TEMPORAL ADUANERO ETAPA 1A</t>
  </si>
  <si>
    <t>Construccion de Almacen Bodega Principal AAA</t>
  </si>
  <si>
    <t>m2</t>
  </si>
  <si>
    <t>*</t>
  </si>
  <si>
    <t>Construccion de Cuartos frios y equipamiento para productos perecederos</t>
  </si>
  <si>
    <t>Construccion de Areas Refrigeradas, Bandas Transportadoras, Andenes y Pasillos</t>
  </si>
  <si>
    <r>
      <rPr>
        <sz val="8"/>
        <color indexed="8"/>
        <rFont val="Arial"/>
      </rPr>
      <t xml:space="preserve">Construccion de Caseta de Control Acceso Principal Peatonal Registro </t>
    </r>
    <r>
      <rPr>
        <b val="1"/>
        <sz val="8"/>
        <color indexed="8"/>
        <rFont val="Arial"/>
      </rPr>
      <t>Beta</t>
    </r>
  </si>
  <si>
    <r>
      <rPr>
        <sz val="8"/>
        <color indexed="8"/>
        <rFont val="Arial"/>
      </rPr>
      <t xml:space="preserve">Construccion de Areas de Oficinas dentro del Deposito Aduanero Temporal, Incluye Control de Acceso </t>
    </r>
    <r>
      <rPr>
        <b val="1"/>
        <sz val="8"/>
        <color indexed="8"/>
        <rFont val="Arial"/>
      </rPr>
      <t>Gama</t>
    </r>
  </si>
  <si>
    <r>
      <rPr>
        <sz val="8"/>
        <color indexed="8"/>
        <rFont val="Arial"/>
      </rPr>
      <t xml:space="preserve">Construccion de Caseta de Control Acceso Principal Peatonal Registro </t>
    </r>
    <r>
      <rPr>
        <b val="1"/>
        <sz val="8"/>
        <color indexed="8"/>
        <rFont val="Arial"/>
      </rPr>
      <t>Delta</t>
    </r>
  </si>
  <si>
    <r>
      <rPr>
        <sz val="8"/>
        <color indexed="8"/>
        <rFont val="Arial"/>
      </rPr>
      <t xml:space="preserve">Modernizacion de la Caseta de Acceso Existente </t>
    </r>
    <r>
      <rPr>
        <b val="1"/>
        <sz val="8"/>
        <color indexed="8"/>
        <rFont val="Arial"/>
      </rPr>
      <t>Alfa</t>
    </r>
  </si>
  <si>
    <t>Construccion de Estacionamiento Principal</t>
  </si>
  <si>
    <t>Construccion de Pavimento Hidraulico de Acceso Principal</t>
  </si>
  <si>
    <t>Construccion de Pavimento de Salida</t>
  </si>
  <si>
    <t xml:space="preserve">Construccion de Patio de Maniobra </t>
  </si>
  <si>
    <t>Construccion de Carga y Descarga de Almacen A</t>
  </si>
  <si>
    <t>Construccion de Banquetas y Guarniciones</t>
  </si>
  <si>
    <t>Construccion de Areas Verdes</t>
  </si>
  <si>
    <t>Construccion de Barda Perimetral</t>
  </si>
  <si>
    <t>Adecuacion de Terreno</t>
  </si>
  <si>
    <t>Urbanizacion (Area Total)</t>
  </si>
  <si>
    <t>Construccion de Pozo Mecanico</t>
  </si>
  <si>
    <t>Lote</t>
  </si>
  <si>
    <t>Equipos de Equipamiento de Pozo Mecanico</t>
  </si>
  <si>
    <t>Construccion de Cisterna de Concreto Capacidad de 450 m3</t>
  </si>
  <si>
    <t>m3</t>
  </si>
  <si>
    <t>Construccion de Caseta de Control Acceso Principal Peatonal Registro Delta</t>
  </si>
  <si>
    <t>Construccion de Planta de Tratemiento de Industrial para Tratar m3-dia</t>
  </si>
  <si>
    <t>Construccion de una Subestacion Precio de Mercado por KVA</t>
  </si>
  <si>
    <t>KVA</t>
  </si>
  <si>
    <t>Construccion de Techumbre Ailstante con Techo TPO, Domos y Soportes para Paneles Solares</t>
  </si>
  <si>
    <t>Instalacion de Sistema de Paneles Solares</t>
  </si>
  <si>
    <t>Sistema de Enfriamiento de Aire Acondicionado para Oficinas</t>
  </si>
  <si>
    <t>Sistema de Control Inteligente Inmotico de Edificios</t>
  </si>
  <si>
    <t>Equipamiento de Mobiliario de Oficinas</t>
  </si>
  <si>
    <t>Sistema de Iluminacion  Industrial y de Oficina</t>
  </si>
  <si>
    <t>% de Inversion en Infraestructura, Seguridad Tecnicas Informaticas</t>
  </si>
  <si>
    <t>% Estimado de Costo de Elaboración del Proyecto Ejecutivo</t>
  </si>
  <si>
    <t>% Estimado de Costo de Elaboración de Tramites y Permisos</t>
  </si>
  <si>
    <t>% Estimado de Costo de Servicios de Supervision y Control de Calidad de la Obra</t>
  </si>
  <si>
    <t>% Estimado de Costo de Equipamiento de Mobiliario, Equipo de Computo, Estanteria, RACKS, Equipos Montacarga, Equipos de Transporte, Carga y Descarga para la operacion de la Aduana</t>
  </si>
  <si>
    <t>TOTAL ZONA ADUANERA Y DEPOSITO TEMPORAL ADUANERO ETAPA 1A</t>
  </si>
  <si>
    <t>EDIFICIOS DE ZONA ADUANERA  ETAPA 1B</t>
  </si>
  <si>
    <t>Construccion de Oficinas destinados a la Funcion Publica Aduanera</t>
  </si>
  <si>
    <t>Construccion de Comedor Industrial, Capacidad 136 Comensales</t>
  </si>
  <si>
    <t>Area de Descanso, Cuartos Habitacionales 48 Camas</t>
  </si>
  <si>
    <t>Oficinas Administrativas Principales TWC</t>
  </si>
  <si>
    <t>Construccion de Andadores</t>
  </si>
  <si>
    <t>Equipamiento de Mobiliario de Oficina</t>
  </si>
  <si>
    <t>AHORRO MENSUAL</t>
  </si>
  <si>
    <t>AHORRO ANUAL</t>
  </si>
  <si>
    <t>BODEGA</t>
  </si>
  <si>
    <t>INFRAESTRUCTURA</t>
  </si>
  <si>
    <t>Estimado de Equipo de Equipamiento de Oficinas, Servidores, Racks, Contraincendio</t>
  </si>
  <si>
    <t>TOTAL ZONA ADUANERA Y DEPOSITO TEMPORAL ADUANERO ETAPA 1B</t>
  </si>
  <si>
    <t>CAPACITACION Y ADIESTRAMIENTO</t>
  </si>
  <si>
    <t>Capacitacion de Personal Operativo, Administrativo, de Seguridad y Adiestramiento</t>
  </si>
  <si>
    <t>TOTAL DE CAPACITACION Y ADIESTRAMIENTO</t>
  </si>
  <si>
    <t>SUBTOTAL:</t>
  </si>
  <si>
    <t>Subtotal antes de Impuesto</t>
  </si>
  <si>
    <t xml:space="preserve">Subtotal  </t>
  </si>
  <si>
    <t>(* TREINTA Y NUEVE MILLONES, TRESCIENTOS SETENTA Y SEIS MIL, CIENTO CUARENTA Y NUEVE 47/100  USD *)</t>
  </si>
  <si>
    <t>PRESUPUESTO INTERNO PI-TWC-ZEDEEP SAN JOSE</t>
  </si>
  <si>
    <t xml:space="preserve">CONSTRUCCION DE ZONA ZEDEEP SJ 444,600 M2 </t>
  </si>
  <si>
    <t>PI-TWC-ZEDEEP SJ</t>
  </si>
  <si>
    <t>1. CONSTRUCCION DE ZONA ZEDEEP SJ</t>
  </si>
  <si>
    <t>CONSTRUCCION DE ZONA ZEDEEP SJ</t>
  </si>
  <si>
    <t>TOTAL ZONA ZEEDEP</t>
  </si>
  <si>
    <t>TOTAL ZONA ZEDEEP</t>
  </si>
  <si>
    <t>TOTAL ZONA ZEDEEP + CAPACITACION Y ADIESTRAMIENTO</t>
  </si>
  <si>
    <t>Total</t>
  </si>
  <si>
    <t>(* TRES MIL, CIENTO VEINTITRES MILLONES, DOSCIENTOS DOS MIL, NOVECIENTOS CINCUENTA Y NUEVE PESOS 46/100  M.N. *)</t>
  </si>
  <si>
    <t>CONSTRUCCION DE ZONA DE HANGARES Y ESCUELA DE AVIACION</t>
  </si>
  <si>
    <t>PI-TWC-HANGARES-SAC</t>
  </si>
  <si>
    <t>1. CONSTRUCCION DE ZONA DE HANGARES Y ESCUELA DE AVIACION</t>
  </si>
  <si>
    <t>(* OCHOCIENTOS TREINTA Y OCHO MILLONES, NOVECIENTOS VEINTI NUEVE MIL, CUATROCIENTOS CUARENTA Y TRES PESOS 81/100  M.N. *)</t>
  </si>
  <si>
    <t xml:space="preserve">CONSTRUCCION DE ZONA ZEDEEP 78,512.03 M2 </t>
  </si>
  <si>
    <t>PI-TWC-ZEDEEP SR</t>
  </si>
  <si>
    <t>1. CONSTRUCCION DE ZONA ZEDEEP SR</t>
  </si>
  <si>
    <t>CONSTRUCCION DE ZONA ZEDEEP SR</t>
  </si>
  <si>
    <t>(* SETECIENTOS TREINTA Y CINCO MILLONES, TRESCIENTOS CINCO MIL, SETECIENTOS SETENTA Y TRES PESOS 12/100  M.N. *)</t>
  </si>
  <si>
    <t>PRESUPUESTO INTERNO PI-TWC-TADH</t>
  </si>
  <si>
    <t xml:space="preserve">CONSTRUCCION DE TERMINAL DE ALMACENAMIENTO DE HIDROCARBUROS 112,776.20 M2 </t>
  </si>
  <si>
    <t>PI-TWC-TADH</t>
  </si>
  <si>
    <t>1. Construccion de Terminal de Almacenamiento de Hidrocarburos.</t>
  </si>
  <si>
    <t>Construccion de Terminal de Almacenamiento de Hidrocarburos (Obra Civil)</t>
  </si>
  <si>
    <r>
      <rPr>
        <sz val="8"/>
        <color indexed="8"/>
        <rFont val="Arial"/>
      </rPr>
      <t xml:space="preserve">Construccion de Areas de Oficinas y Centros Comerciales, Incluye Control de Acceso </t>
    </r>
    <r>
      <rPr>
        <b val="1"/>
        <sz val="8"/>
        <color indexed="8"/>
        <rFont val="Arial"/>
      </rPr>
      <t>Gama</t>
    </r>
  </si>
  <si>
    <t>Edificio de Aulas 1</t>
  </si>
  <si>
    <t>Edificio de Talleres</t>
  </si>
  <si>
    <t>Construccion de Planta de Tratemiento de Industrial para Aguas Aceitosas Tratar m3-dia</t>
  </si>
  <si>
    <t>Edificio Administrativo</t>
  </si>
  <si>
    <t>Cancha de Fut Rapido</t>
  </si>
  <si>
    <t>Alberca</t>
  </si>
  <si>
    <t>Cancha de Basquet</t>
  </si>
  <si>
    <t>Andadores</t>
  </si>
  <si>
    <t>% Estimado de Costo de Equipamiento de Mobiliario, Equipo de Computo, Estanteria, RACKS, Simuladores de Vuelo, Softwares, Equipo de Laboratorio</t>
  </si>
  <si>
    <t>Construccion de Terminal de Almacenamiento de Hidrocarburos (Infraestructura Petrolera)</t>
  </si>
  <si>
    <t>Tanque de Almacenamiento de Diesel TV-1001, 100 MBLS</t>
  </si>
  <si>
    <t>Tanque</t>
  </si>
  <si>
    <t>Tanque de Almacenamiento de Gasolina TV-1002, 100 MBLS</t>
  </si>
  <si>
    <t>Tanque de Almacenamiento de Gasolina Premium TV-1003, 100 MBLS</t>
  </si>
  <si>
    <t>Tanque de Almacenamiento de Turbocina TV-1004, 100 MBLS</t>
  </si>
  <si>
    <t>Sistema Contraincendio, Procura, Instalacion y Puesta en Marcha</t>
  </si>
  <si>
    <t>Sistema</t>
  </si>
  <si>
    <t>Sistema de Deteccion, Procura, Instalacion y Puesta en Marcha</t>
  </si>
  <si>
    <t>Paquete de Medicion de Transferencia y Custodia</t>
  </si>
  <si>
    <t>Paquete</t>
  </si>
  <si>
    <t>Gasolinoducto de 24" de Monoboya 01 a TV 1002-1 y 2, 1003-1 y 2</t>
  </si>
  <si>
    <t>Ducto</t>
  </si>
  <si>
    <t>Gasolinoducto de 24" de Monoboya 01 a TV 1001-1 y 2</t>
  </si>
  <si>
    <t>Gasolinoducto de 24" de Monoboya 01 a TV 1004-1 y 2</t>
  </si>
  <si>
    <t>Sistema de Tuberia de Descarga de 4" de TV 1002-1 y 2, 1003-1 y 2 a llenaderas</t>
  </si>
  <si>
    <t>Sistema de Tuberia de Descarga 4" de TV 1001-1 y 2 a llenadera</t>
  </si>
  <si>
    <t>Sistema de Tuberia de Descarga de 4" de TV 1004-1 y 2 a Llenadera</t>
  </si>
  <si>
    <t>Sistema de Luz y Fuerza y Alumbrado</t>
  </si>
  <si>
    <t>Construccion de Ductos Submarinos</t>
  </si>
  <si>
    <t>Procura e Instalacion, puesta en marcha de sistema de Instrumentacion</t>
  </si>
  <si>
    <t>Procura e Instalacion, puesta en marcha de Monoboya</t>
  </si>
  <si>
    <t>Monoboya</t>
  </si>
  <si>
    <t>Construccion de Llenaderas para la distribucion de Combustible</t>
  </si>
  <si>
    <t>Llenadera</t>
  </si>
  <si>
    <t>(* CUATRO MIL, TRES MILLONES, DOSCIENTOS TREINTA Y SIETE MIL, SETECIENTOS CINCUENTA Y NUEVE PESOS 62/100 M.N. *)</t>
  </si>
</sst>
</file>

<file path=xl/styles.xml><?xml version="1.0" encoding="utf-8"?>
<styleSheet xmlns="http://schemas.openxmlformats.org/spreadsheetml/2006/main">
  <numFmts count="12">
    <numFmt numFmtId="0" formatCode="General"/>
    <numFmt numFmtId="59" formatCode="&quot; &quot;* #,##0&quot; &quot;;&quot;-&quot;* #,##0&quot; &quot;;&quot; &quot;* &quot;-&quot;??&quot; &quot;"/>
    <numFmt numFmtId="60" formatCode="&quot; &quot;&quot;$&quot;* #,##0&quot; &quot;;&quot;-&quot;&quot;$&quot;* #,##0&quot; &quot;;&quot; &quot;&quot;$&quot;* &quot;-&quot;??&quot; &quot;"/>
    <numFmt numFmtId="61" formatCode="dd/mm/yyyy"/>
    <numFmt numFmtId="62" formatCode="#,##0.0000"/>
    <numFmt numFmtId="63" formatCode="#,##0.0000##"/>
    <numFmt numFmtId="64" formatCode="&quot;$&quot;#,##0.00"/>
    <numFmt numFmtId="65" formatCode="&quot; &quot;&quot;$&quot;* #,##0.00&quot; &quot;;&quot;-&quot;&quot;$&quot;* #,##0.00&quot; &quot;;&quot; &quot;&quot;$&quot;* &quot;-&quot;??&quot; &quot;"/>
    <numFmt numFmtId="66" formatCode="0.0000%"/>
    <numFmt numFmtId="67" formatCode="0.00000000"/>
    <numFmt numFmtId="68" formatCode="&quot;$&quot;#,##0.0000"/>
    <numFmt numFmtId="69" formatCode="&quot;$&quot;#,##0.00;&quot;-&quot;&quot;$&quot;#,##0.00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i val="1"/>
      <sz val="10"/>
      <color indexed="8"/>
      <name val="Arial"/>
    </font>
    <font>
      <sz val="13"/>
      <color indexed="8"/>
      <name val="Helvetica Neue"/>
    </font>
    <font>
      <sz val="8"/>
      <color indexed="8"/>
      <name val="Arial"/>
    </font>
    <font>
      <b val="1"/>
      <sz val="20"/>
      <color indexed="8"/>
      <name val="Arial"/>
    </font>
    <font>
      <b val="1"/>
      <sz val="8"/>
      <color indexed="8"/>
      <name val="Arial"/>
    </font>
    <font>
      <b val="1"/>
      <sz val="6"/>
      <color indexed="8"/>
      <name val="Arial"/>
    </font>
    <font>
      <sz val="8"/>
      <color indexed="16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>
        <color indexed="14"/>
      </left>
      <right>
        <color indexed="14"/>
      </right>
      <top>
        <color indexed="14"/>
      </top>
      <bottom>
        <color indexed="1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horizontal="center" vertical="bottom"/>
    </xf>
    <xf numFmtId="49" fontId="3" fillId="3" borderId="5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60" fontId="0" fillId="2" borderId="7" applyNumberFormat="1" applyFont="1" applyFill="1" applyBorder="1" applyAlignment="1" applyProtection="0">
      <alignment vertical="bottom"/>
    </xf>
    <xf numFmtId="59" fontId="0" fillId="4" borderId="8" applyNumberFormat="1" applyFont="1" applyFill="1" applyBorder="1" applyAlignment="1" applyProtection="0">
      <alignment vertical="bottom"/>
    </xf>
    <xf numFmtId="60" fontId="0" fillId="4" borderId="8" applyNumberFormat="1" applyFont="1" applyFill="1" applyBorder="1" applyAlignment="1" applyProtection="0">
      <alignment vertical="bottom"/>
    </xf>
    <xf numFmtId="49" fontId="3" fillId="4" borderId="6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59" fontId="3" fillId="5" borderId="10" applyNumberFormat="1" applyFont="1" applyFill="1" applyBorder="1" applyAlignment="1" applyProtection="0">
      <alignment vertical="bottom"/>
    </xf>
    <xf numFmtId="60" fontId="3" fillId="5" borderId="10" applyNumberFormat="1" applyFont="1" applyFill="1" applyBorder="1" applyAlignment="1" applyProtection="0">
      <alignment vertical="bottom"/>
    </xf>
    <xf numFmtId="49" fontId="3" fillId="5" borderId="1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2" applyNumberFormat="1" applyFont="1" applyFill="0" applyBorder="1" applyAlignment="1" applyProtection="0">
      <alignment vertical="bottom"/>
    </xf>
    <xf numFmtId="0" fontId="0" fillId="2" borderId="12" applyNumberFormat="1" applyFont="1" applyFill="1" applyBorder="1" applyAlignment="1" applyProtection="0">
      <alignment horizontal="center" vertical="bottom"/>
    </xf>
    <xf numFmtId="0" fontId="6" fillId="2" borderId="12" applyNumberFormat="1" applyFont="1" applyFill="1" applyBorder="1" applyAlignment="1" applyProtection="0">
      <alignment vertical="bottom"/>
    </xf>
    <xf numFmtId="49" fontId="7" fillId="2" borderId="13" applyNumberFormat="1" applyFont="1" applyFill="1" applyBorder="1" applyAlignment="1" applyProtection="0">
      <alignment horizontal="left" vertical="top" wrapText="1"/>
    </xf>
    <xf numFmtId="0" fontId="7" fillId="2" borderId="8" applyNumberFormat="0" applyFont="1" applyFill="1" applyBorder="1" applyAlignment="1" applyProtection="0">
      <alignment horizontal="left" vertical="top" wrapText="1"/>
    </xf>
    <xf numFmtId="0" fontId="7" fillId="2" borderId="14" applyNumberFormat="0" applyFont="1" applyFill="1" applyBorder="1" applyAlignment="1" applyProtection="0">
      <alignment horizontal="left" vertical="top" wrapText="1"/>
    </xf>
    <xf numFmtId="0" fontId="7" fillId="2" borderId="15" applyNumberFormat="0" applyFont="1" applyFill="1" applyBorder="1" applyAlignment="1" applyProtection="0">
      <alignment horizontal="left" vertical="top" wrapText="1"/>
    </xf>
    <xf numFmtId="0" fontId="7" fillId="2" borderId="2" applyNumberFormat="0" applyFont="1" applyFill="1" applyBorder="1" applyAlignment="1" applyProtection="0">
      <alignment horizontal="left" vertical="top" wrapText="1"/>
    </xf>
    <xf numFmtId="0" fontId="7" fillId="2" borderId="16" applyNumberFormat="0" applyFont="1" applyFill="1" applyBorder="1" applyAlignment="1" applyProtection="0">
      <alignment horizontal="left" vertical="top" wrapText="1"/>
    </xf>
    <xf numFmtId="0" fontId="7" fillId="2" borderId="5" applyNumberFormat="0" applyFont="1" applyFill="1" applyBorder="1" applyAlignment="1" applyProtection="0">
      <alignment horizontal="left" vertical="top" wrapText="1"/>
    </xf>
    <xf numFmtId="0" fontId="7" fillId="2" borderId="17" applyNumberFormat="0" applyFont="1" applyFill="1" applyBorder="1" applyAlignment="1" applyProtection="0">
      <alignment horizontal="left" vertical="top" wrapText="1"/>
    </xf>
    <xf numFmtId="0" fontId="8" borderId="16" applyNumberFormat="0" applyFont="1" applyFill="0" applyBorder="1" applyAlignment="1" applyProtection="0">
      <alignment horizontal="right" vertical="bottom"/>
    </xf>
    <xf numFmtId="0" fontId="6" fillId="2" borderId="5" applyNumberFormat="1" applyFont="1" applyFill="1" applyBorder="1" applyAlignment="1" applyProtection="0">
      <alignment vertical="top" wrapText="1"/>
    </xf>
    <xf numFmtId="0" fontId="6" fillId="2" borderId="5" applyNumberFormat="0" applyFont="1" applyFill="1" applyBorder="1" applyAlignment="1" applyProtection="0">
      <alignment vertical="top" wrapText="1"/>
    </xf>
    <xf numFmtId="0" fontId="6" borderId="5" applyNumberFormat="0" applyFont="1" applyFill="0" applyBorder="1" applyAlignment="1" applyProtection="0">
      <alignment vertical="bottom"/>
    </xf>
    <xf numFmtId="0" fontId="6" borderId="17" applyNumberFormat="0" applyFont="1" applyFill="0" applyBorder="1" applyAlignment="1" applyProtection="0">
      <alignment vertical="bottom"/>
    </xf>
    <xf numFmtId="0" fontId="6" borderId="16" applyNumberFormat="0" applyFont="1" applyFill="0" applyBorder="1" applyAlignment="1" applyProtection="0">
      <alignment vertical="bottom"/>
    </xf>
    <xf numFmtId="0" fontId="6" borderId="16" applyNumberFormat="0" applyFont="1" applyFill="0" applyBorder="1" applyAlignment="1" applyProtection="0">
      <alignment horizontal="right" vertical="bottom"/>
    </xf>
    <xf numFmtId="49" fontId="8" borderId="16" applyNumberFormat="1" applyFont="1" applyFill="0" applyBorder="1" applyAlignment="1" applyProtection="0">
      <alignment horizontal="left" vertical="bottom"/>
    </xf>
    <xf numFmtId="0" fontId="8" borderId="5" applyNumberFormat="0" applyFont="1" applyFill="0" applyBorder="1" applyAlignment="1" applyProtection="0">
      <alignment horizontal="left" vertical="bottom"/>
    </xf>
    <xf numFmtId="0" fontId="8" fillId="2" borderId="5" applyNumberFormat="0" applyFont="1" applyFill="1" applyBorder="1" applyAlignment="1" applyProtection="0">
      <alignment horizontal="left" vertical="bottom"/>
    </xf>
    <xf numFmtId="49" fontId="8" fillId="2" borderId="5" applyNumberFormat="1" applyFont="1" applyFill="1" applyBorder="1" applyAlignment="1" applyProtection="0">
      <alignment horizontal="center" vertical="bottom"/>
    </xf>
    <xf numFmtId="49" fontId="6" borderId="5" applyNumberFormat="1" applyFont="1" applyFill="0" applyBorder="1" applyAlignment="1" applyProtection="0">
      <alignment vertical="bottom"/>
    </xf>
    <xf numFmtId="49" fontId="8" fillId="2" borderId="5" applyNumberFormat="1" applyFont="1" applyFill="1" applyBorder="1" applyAlignment="1" applyProtection="0">
      <alignment horizontal="right" vertical="bottom"/>
    </xf>
    <xf numFmtId="61" fontId="6" borderId="5" applyNumberFormat="1" applyFont="1" applyFill="0" applyBorder="1" applyAlignment="1" applyProtection="0">
      <alignment horizontal="center" vertical="bottom"/>
    </xf>
    <xf numFmtId="14" fontId="6" borderId="17" applyNumberFormat="1" applyFont="1" applyFill="0" applyBorder="1" applyAlignment="1" applyProtection="0">
      <alignment horizontal="center" vertical="bottom"/>
    </xf>
    <xf numFmtId="14" fontId="6" borderId="16" applyNumberFormat="1" applyFont="1" applyFill="0" applyBorder="1" applyAlignment="1" applyProtection="0">
      <alignment horizontal="center" vertical="bottom"/>
    </xf>
    <xf numFmtId="14" fontId="6" borderId="5" applyNumberFormat="1" applyFont="1" applyFill="0" applyBorder="1" applyAlignment="1" applyProtection="0">
      <alignment horizontal="center" vertical="bottom"/>
    </xf>
    <xf numFmtId="0" fontId="8" borderId="5" applyNumberFormat="0" applyFont="1" applyFill="0" applyBorder="1" applyAlignment="1" applyProtection="0">
      <alignment horizontal="center" vertical="bottom"/>
    </xf>
    <xf numFmtId="0" fontId="8" borderId="17" applyNumberFormat="0" applyFont="1" applyFill="0" applyBorder="1" applyAlignment="1" applyProtection="0">
      <alignment horizontal="center" vertical="bottom"/>
    </xf>
    <xf numFmtId="0" fontId="8" borderId="16" applyNumberFormat="0" applyFont="1" applyFill="0" applyBorder="1" applyAlignment="1" applyProtection="0">
      <alignment horizontal="center" vertical="bottom"/>
    </xf>
    <xf numFmtId="49" fontId="6" borderId="5" applyNumberFormat="1" applyFont="1" applyFill="0" applyBorder="1" applyAlignment="1" applyProtection="0">
      <alignment horizontal="center" vertical="bottom"/>
    </xf>
    <xf numFmtId="49" fontId="8" borderId="5" applyNumberFormat="1" applyFont="1" applyFill="0" applyBorder="1" applyAlignment="1" applyProtection="0">
      <alignment vertical="bottom"/>
    </xf>
    <xf numFmtId="49" fontId="8" borderId="5" applyNumberFormat="1" applyFont="1" applyFill="0" applyBorder="1" applyAlignment="1" applyProtection="0">
      <alignment horizontal="center" vertical="bottom"/>
    </xf>
    <xf numFmtId="49" fontId="6" borderId="18" applyNumberFormat="1" applyFont="1" applyFill="0" applyBorder="1" applyAlignment="1" applyProtection="0">
      <alignment horizontal="left" vertical="bottom"/>
    </xf>
    <xf numFmtId="0" fontId="6" borderId="7" applyNumberFormat="0" applyFont="1" applyFill="0" applyBorder="1" applyAlignment="1" applyProtection="0">
      <alignment horizontal="left" vertical="bottom"/>
    </xf>
    <xf numFmtId="0" fontId="6" fillId="2" borderId="7" applyNumberFormat="0" applyFont="1" applyFill="1" applyBorder="1" applyAlignment="1" applyProtection="0">
      <alignment horizontal="center" vertical="bottom"/>
    </xf>
    <xf numFmtId="62" fontId="0" fillId="2" borderId="7" applyNumberFormat="1" applyFont="1" applyFill="1" applyBorder="1" applyAlignment="1" applyProtection="0">
      <alignment vertical="bottom"/>
    </xf>
    <xf numFmtId="0" fontId="6" borderId="7" applyNumberFormat="0" applyFont="1" applyFill="0" applyBorder="1" applyAlignment="1" applyProtection="0">
      <alignment vertical="bottom"/>
    </xf>
    <xf numFmtId="0" fontId="6" borderId="19" applyNumberFormat="0" applyFont="1" applyFill="0" applyBorder="1" applyAlignment="1" applyProtection="0">
      <alignment vertical="bottom"/>
    </xf>
    <xf numFmtId="0" fontId="6" borderId="20" applyNumberFormat="0" applyFont="1" applyFill="0" applyBorder="1" applyAlignment="1" applyProtection="0">
      <alignment vertical="bottom"/>
    </xf>
    <xf numFmtId="0" fontId="6" borderId="8" applyNumberFormat="0" applyFont="1" applyFill="0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horizontal="center" vertical="bottom"/>
    </xf>
    <xf numFmtId="49" fontId="3" borderId="4" applyNumberFormat="1" applyFont="1" applyFill="0" applyBorder="1" applyAlignment="1" applyProtection="0">
      <alignment horizontal="center" vertical="bottom"/>
    </xf>
    <xf numFmtId="0" fontId="3" borderId="5" applyNumberFormat="0" applyFont="1" applyFill="0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0" fontId="6" borderId="21" applyNumberFormat="0" applyFont="1" applyFill="0" applyBorder="1" applyAlignment="1" applyProtection="0">
      <alignment vertical="bottom"/>
    </xf>
    <xf numFmtId="49" fontId="8" fillId="2" borderId="22" applyNumberFormat="1" applyFont="1" applyFill="1" applyBorder="1" applyAlignment="1" applyProtection="0">
      <alignment horizontal="center" vertical="center"/>
    </xf>
    <xf numFmtId="0" fontId="8" fillId="2" borderId="16" applyNumberFormat="0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center" vertical="center"/>
    </xf>
    <xf numFmtId="0" fontId="8" fillId="2" borderId="5" applyNumberFormat="1" applyFont="1" applyFill="1" applyBorder="1" applyAlignment="1" applyProtection="0">
      <alignment horizontal="center" vertical="center"/>
    </xf>
    <xf numFmtId="0" fontId="8" fillId="2" borderId="5" applyNumberFormat="0" applyFont="1" applyFill="1" applyBorder="1" applyAlignment="1" applyProtection="0">
      <alignment horizontal="center" vertical="center"/>
    </xf>
    <xf numFmtId="49" fontId="6" fillId="2" borderId="20" applyNumberFormat="1" applyFont="1" applyFill="1" applyBorder="1" applyAlignment="1" applyProtection="0">
      <alignment vertical="top"/>
    </xf>
    <xf numFmtId="49" fontId="6" fillId="2" borderId="8" applyNumberFormat="1" applyFont="1" applyFill="1" applyBorder="1" applyAlignment="1" applyProtection="0">
      <alignment vertical="top"/>
    </xf>
    <xf numFmtId="0" fontId="6" fillId="2" borderId="8" applyNumberFormat="0" applyFont="1" applyFill="1" applyBorder="1" applyAlignment="1" applyProtection="0">
      <alignment vertical="top"/>
    </xf>
    <xf numFmtId="49" fontId="6" borderId="8" applyNumberFormat="1" applyFont="1" applyFill="0" applyBorder="1" applyAlignment="1" applyProtection="0">
      <alignment horizontal="center" vertical="bottom"/>
    </xf>
    <xf numFmtId="59" fontId="6" fillId="2" borderId="8" applyNumberFormat="1" applyFont="1" applyFill="1" applyBorder="1" applyAlignment="1" applyProtection="0">
      <alignment vertical="top"/>
    </xf>
    <xf numFmtId="49" fontId="6" fillId="2" borderId="8" applyNumberFormat="1" applyFont="1" applyFill="1" applyBorder="1" applyAlignment="1" applyProtection="0">
      <alignment horizontal="center" vertical="center"/>
    </xf>
    <xf numFmtId="0" fontId="8" fillId="2" borderId="4" applyNumberFormat="0" applyFont="1" applyFill="1" applyBorder="1" applyAlignment="1" applyProtection="0">
      <alignment vertical="center"/>
    </xf>
    <xf numFmtId="0" fontId="8" fillId="2" borderId="5" applyNumberFormat="0" applyFont="1" applyFill="1" applyBorder="1" applyAlignment="1" applyProtection="0">
      <alignment horizontal="left" vertical="top"/>
    </xf>
    <xf numFmtId="49" fontId="8" fillId="2" borderId="5" applyNumberFormat="1" applyFont="1" applyFill="1" applyBorder="1" applyAlignment="1" applyProtection="0">
      <alignment horizontal="center" vertical="top"/>
    </xf>
    <xf numFmtId="0" fontId="8" fillId="2" borderId="5" applyNumberFormat="0" applyFont="1" applyFill="1" applyBorder="1" applyAlignment="1" applyProtection="0">
      <alignment horizontal="center" vertical="top"/>
    </xf>
    <xf numFmtId="63" fontId="8" fillId="2" borderId="5" applyNumberFormat="1" applyFont="1" applyFill="1" applyBorder="1" applyAlignment="1" applyProtection="0">
      <alignment horizontal="left" vertical="top"/>
    </xf>
    <xf numFmtId="64" fontId="8" fillId="2" borderId="5" applyNumberFormat="1" applyFont="1" applyFill="1" applyBorder="1" applyAlignment="1" applyProtection="0">
      <alignment horizontal="right" vertical="top"/>
    </xf>
    <xf numFmtId="49" fontId="6" fillId="2" borderId="4" applyNumberFormat="1" applyFont="1" applyFill="1" applyBorder="1" applyAlignment="1" applyProtection="0">
      <alignment horizontal="justify" vertical="top" wrapText="1"/>
    </xf>
    <xf numFmtId="0" fontId="6" fillId="2" borderId="5" applyNumberFormat="0" applyFont="1" applyFill="1" applyBorder="1" applyAlignment="1" applyProtection="0">
      <alignment horizontal="justify" vertical="top" wrapText="1"/>
    </xf>
    <xf numFmtId="49" fontId="8" fillId="2" borderId="4" applyNumberFormat="1" applyFont="1" applyFill="1" applyBorder="1" applyAlignment="1" applyProtection="0">
      <alignment horizontal="left" vertical="top"/>
    </xf>
    <xf numFmtId="0" fontId="6" fillId="2" borderId="5" applyNumberFormat="0" applyFont="1" applyFill="1" applyBorder="1" applyAlignment="1" applyProtection="0">
      <alignment horizontal="center" vertical="bottom"/>
    </xf>
    <xf numFmtId="62" fontId="0" fillId="2" borderId="5" applyNumberFormat="1" applyFont="1" applyFill="1" applyBorder="1" applyAlignment="1" applyProtection="0">
      <alignment vertical="bottom"/>
    </xf>
    <xf numFmtId="1" fontId="6" fillId="2" borderId="4" applyNumberFormat="1" applyFont="1" applyFill="1" applyBorder="1" applyAlignment="1" applyProtection="0">
      <alignment horizontal="center" vertical="top"/>
    </xf>
    <xf numFmtId="49" fontId="6" fillId="2" borderId="5" applyNumberFormat="1" applyFont="1" applyFill="1" applyBorder="1" applyAlignment="1" applyProtection="0">
      <alignment horizontal="justify" vertical="center" wrapText="1"/>
    </xf>
    <xf numFmtId="49" fontId="6" fillId="2" borderId="5" applyNumberFormat="1" applyFont="1" applyFill="1" applyBorder="1" applyAlignment="1" applyProtection="0">
      <alignment horizontal="center" vertical="center"/>
    </xf>
    <xf numFmtId="4" fontId="6" fillId="2" borderId="5" applyNumberFormat="1" applyFont="1" applyFill="1" applyBorder="1" applyAlignment="1" applyProtection="0">
      <alignment horizontal="center" vertical="center"/>
    </xf>
    <xf numFmtId="65" fontId="6" fillId="2" borderId="5" applyNumberFormat="1" applyFont="1" applyFill="1" applyBorder="1" applyAlignment="1" applyProtection="0">
      <alignment horizontal="right" vertical="center"/>
    </xf>
    <xf numFmtId="10" fontId="6" fillId="2" borderId="5" applyNumberFormat="1" applyFont="1" applyFill="1" applyBorder="1" applyAlignment="1" applyProtection="0">
      <alignment horizontal="center" vertical="center"/>
    </xf>
    <xf numFmtId="65" fontId="6" fillId="2" borderId="5" applyNumberFormat="1" applyFont="1" applyFill="1" applyBorder="1" applyAlignment="1" applyProtection="0">
      <alignment horizontal="center" vertical="center"/>
    </xf>
    <xf numFmtId="1" fontId="6" fillId="2" borderId="4" applyNumberFormat="1" applyFont="1" applyFill="1" applyBorder="1" applyAlignment="1" applyProtection="0">
      <alignment horizontal="center" vertical="center"/>
    </xf>
    <xf numFmtId="49" fontId="6" fillId="2" borderId="5" applyNumberFormat="1" applyFont="1" applyFill="1" applyBorder="1" applyAlignment="1" applyProtection="0">
      <alignment horizontal="justify" vertical="top" wrapText="1"/>
    </xf>
    <xf numFmtId="65" fontId="6" fillId="2" borderId="5" applyNumberFormat="1" applyFont="1" applyFill="1" applyBorder="1" applyAlignment="1" applyProtection="0">
      <alignment horizontal="right" vertical="top"/>
    </xf>
    <xf numFmtId="65" fontId="6" fillId="2" borderId="7" applyNumberFormat="1" applyFont="1" applyFill="1" applyBorder="1" applyAlignment="1" applyProtection="0">
      <alignment horizontal="right" vertical="center"/>
    </xf>
    <xf numFmtId="65" fontId="6" fillId="2" borderId="7" applyNumberFormat="1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center" vertical="top"/>
    </xf>
    <xf numFmtId="64" fontId="6" fillId="2" borderId="5" applyNumberFormat="1" applyFont="1" applyFill="1" applyBorder="1" applyAlignment="1" applyProtection="0">
      <alignment horizontal="right" vertical="top"/>
    </xf>
    <xf numFmtId="64" fontId="6" fillId="2" borderId="5" applyNumberFormat="1" applyFont="1" applyFill="1" applyBorder="1" applyAlignment="1" applyProtection="0">
      <alignment horizontal="center" vertical="top"/>
    </xf>
    <xf numFmtId="4" fontId="6" fillId="2" borderId="5" applyNumberFormat="1" applyFont="1" applyFill="1" applyBorder="1" applyAlignment="1" applyProtection="0">
      <alignment horizontal="center" vertical="top"/>
    </xf>
    <xf numFmtId="65" fontId="8" fillId="2" borderId="8" applyNumberFormat="1" applyFont="1" applyFill="1" applyBorder="1" applyAlignment="1" applyProtection="0">
      <alignment horizontal="right" vertical="top"/>
    </xf>
    <xf numFmtId="65" fontId="8" fillId="2" borderId="8" applyNumberFormat="1" applyFont="1" applyFill="1" applyBorder="1" applyAlignment="1" applyProtection="0">
      <alignment horizontal="center" vertical="center"/>
    </xf>
    <xf numFmtId="10" fontId="6" fillId="2" borderId="5" applyNumberFormat="1" applyFont="1" applyFill="1" applyBorder="1" applyAlignment="1" applyProtection="0">
      <alignment horizontal="right" vertical="top"/>
    </xf>
    <xf numFmtId="49" fontId="6" fillId="2" borderId="5" applyNumberFormat="1" applyFont="1" applyFill="1" applyBorder="1" applyAlignment="1" applyProtection="0">
      <alignment horizontal="center" vertical="top"/>
    </xf>
    <xf numFmtId="10" fontId="6" fillId="2" borderId="5" applyNumberFormat="1" applyFont="1" applyFill="1" applyBorder="1" applyAlignment="1" applyProtection="0">
      <alignment horizontal="center" vertical="top"/>
    </xf>
    <xf numFmtId="65" fontId="6" fillId="2" borderId="5" applyNumberFormat="1" applyFont="1" applyFill="1" applyBorder="1" applyAlignment="1" applyProtection="0">
      <alignment horizontal="center" vertical="top"/>
    </xf>
    <xf numFmtId="1" fontId="6" fillId="6" borderId="4" applyNumberFormat="1" applyFont="1" applyFill="1" applyBorder="1" applyAlignment="1" applyProtection="0">
      <alignment horizontal="center" vertical="center"/>
    </xf>
    <xf numFmtId="49" fontId="6" fillId="6" borderId="5" applyNumberFormat="1" applyFont="1" applyFill="1" applyBorder="1" applyAlignment="1" applyProtection="0">
      <alignment horizontal="justify" vertical="top" wrapText="1"/>
    </xf>
    <xf numFmtId="49" fontId="6" fillId="6" borderId="5" applyNumberFormat="1" applyFont="1" applyFill="1" applyBorder="1" applyAlignment="1" applyProtection="0">
      <alignment horizontal="center" vertical="top"/>
    </xf>
    <xf numFmtId="10" fontId="6" fillId="6" borderId="5" applyNumberFormat="1" applyFont="1" applyFill="1" applyBorder="1" applyAlignment="1" applyProtection="0">
      <alignment horizontal="center" vertical="top"/>
    </xf>
    <xf numFmtId="65" fontId="6" fillId="6" borderId="5" applyNumberFormat="1" applyFont="1" applyFill="1" applyBorder="1" applyAlignment="1" applyProtection="0">
      <alignment horizontal="right" vertical="top"/>
    </xf>
    <xf numFmtId="10" fontId="6" fillId="6" borderId="5" applyNumberFormat="1" applyFont="1" applyFill="1" applyBorder="1" applyAlignment="1" applyProtection="0">
      <alignment horizontal="center" vertical="center"/>
    </xf>
    <xf numFmtId="65" fontId="6" fillId="2" borderId="7" applyNumberFormat="1" applyFont="1" applyFill="1" applyBorder="1" applyAlignment="1" applyProtection="0">
      <alignment horizontal="right" vertical="top"/>
    </xf>
    <xf numFmtId="10" fontId="6" fillId="2" borderId="7" applyNumberFormat="1" applyFont="1" applyFill="1" applyBorder="1" applyAlignment="1" applyProtection="0">
      <alignment horizontal="right" vertical="top"/>
    </xf>
    <xf numFmtId="1" fontId="6" fillId="2" borderId="4" applyNumberFormat="1" applyFont="1" applyFill="1" applyBorder="1" applyAlignment="1" applyProtection="0">
      <alignment vertical="top"/>
    </xf>
    <xf numFmtId="49" fontId="8" fillId="2" borderId="5" applyNumberFormat="1" applyFont="1" applyFill="1" applyBorder="1" applyAlignment="1" applyProtection="0">
      <alignment horizontal="left" vertical="top" wrapText="1"/>
    </xf>
    <xf numFmtId="0" fontId="8" fillId="2" borderId="5" applyNumberFormat="0" applyFont="1" applyFill="1" applyBorder="1" applyAlignment="1" applyProtection="0">
      <alignment horizontal="left" vertical="top" wrapText="1"/>
    </xf>
    <xf numFmtId="49" fontId="9" fillId="2" borderId="5" applyNumberFormat="1" applyFont="1" applyFill="1" applyBorder="1" applyAlignment="1" applyProtection="0">
      <alignment horizontal="center" vertical="center"/>
    </xf>
    <xf numFmtId="49" fontId="9" fillId="2" borderId="5" applyNumberFormat="1" applyFont="1" applyFill="1" applyBorder="1" applyAlignment="1" applyProtection="0">
      <alignment horizontal="left" vertical="center"/>
    </xf>
    <xf numFmtId="65" fontId="6" fillId="2" borderId="7" applyNumberFormat="1" applyFont="1" applyFill="1" applyBorder="1" applyAlignment="1" applyProtection="0">
      <alignment horizontal="center" vertical="top"/>
    </xf>
    <xf numFmtId="0" fontId="6" fillId="2" borderId="5" applyNumberFormat="1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justify" vertical="center" wrapText="1"/>
    </xf>
    <xf numFmtId="65" fontId="8" fillId="2" borderId="8" applyNumberFormat="1" applyFont="1" applyFill="1" applyBorder="1" applyAlignment="1" applyProtection="0">
      <alignment horizontal="center" vertical="top"/>
    </xf>
    <xf numFmtId="10" fontId="9" fillId="2" borderId="5" applyNumberFormat="1" applyFont="1" applyFill="1" applyBorder="1" applyAlignment="1" applyProtection="0">
      <alignment horizontal="center" vertical="center"/>
    </xf>
    <xf numFmtId="9" fontId="6" fillId="6" borderId="5" applyNumberFormat="1" applyFont="1" applyFill="1" applyBorder="1" applyAlignment="1" applyProtection="0">
      <alignment horizontal="center" vertical="top"/>
    </xf>
    <xf numFmtId="9" fontId="6" fillId="2" borderId="5" applyNumberFormat="1" applyFont="1" applyFill="1" applyBorder="1" applyAlignment="1" applyProtection="0">
      <alignment horizontal="center" vertical="top"/>
    </xf>
    <xf numFmtId="1" fontId="6" fillId="2" borderId="5" applyNumberFormat="1" applyFont="1" applyFill="1" applyBorder="1" applyAlignment="1" applyProtection="0">
      <alignment horizontal="center" vertical="center"/>
    </xf>
    <xf numFmtId="49" fontId="6" fillId="2" borderId="6" applyNumberFormat="1" applyFont="1" applyFill="1" applyBorder="1" applyAlignment="1" applyProtection="0">
      <alignment horizontal="justify" vertical="center" wrapText="1"/>
    </xf>
    <xf numFmtId="2" fontId="6" fillId="2" borderId="5" applyNumberFormat="1" applyFont="1" applyFill="1" applyBorder="1" applyAlignment="1" applyProtection="0">
      <alignment horizontal="center" vertical="top"/>
    </xf>
    <xf numFmtId="49" fontId="8" fillId="2" borderId="5" applyNumberFormat="1" applyFont="1" applyFill="1" applyBorder="1" applyAlignment="1" applyProtection="0">
      <alignment horizontal="left" vertical="top"/>
    </xf>
    <xf numFmtId="2" fontId="6" fillId="2" borderId="5" applyNumberFormat="1" applyFont="1" applyFill="1" applyBorder="1" applyAlignment="1" applyProtection="0">
      <alignment horizontal="center" vertical="center"/>
    </xf>
    <xf numFmtId="65" fontId="8" fillId="2" borderId="7" applyNumberFormat="1" applyFont="1" applyFill="1" applyBorder="1" applyAlignment="1" applyProtection="0">
      <alignment horizontal="right" vertical="top"/>
    </xf>
    <xf numFmtId="65" fontId="8" fillId="2" borderId="23" applyNumberFormat="1" applyFont="1" applyFill="1" applyBorder="1" applyAlignment="1" applyProtection="0">
      <alignment horizontal="right" vertical="top"/>
    </xf>
    <xf numFmtId="10" fontId="6" fillId="2" borderId="7" applyNumberFormat="1" applyFont="1" applyFill="1" applyBorder="1" applyAlignment="1" applyProtection="0">
      <alignment horizontal="center" vertical="center"/>
    </xf>
    <xf numFmtId="49" fontId="8" fillId="2" borderId="4" applyNumberFormat="1" applyFont="1" applyFill="1" applyBorder="1" applyAlignment="1" applyProtection="0">
      <alignment vertical="top"/>
    </xf>
    <xf numFmtId="64" fontId="8" borderId="23" applyNumberFormat="1" applyFont="1" applyFill="0" applyBorder="1" applyAlignment="1" applyProtection="0">
      <alignment vertical="bottom"/>
    </xf>
    <xf numFmtId="10" fontId="8" fillId="2" borderId="8" applyNumberFormat="1" applyFont="1" applyFill="1" applyBorder="1" applyAlignment="1" applyProtection="0">
      <alignment horizontal="right" vertical="top"/>
    </xf>
    <xf numFmtId="10" fontId="8" fillId="2" borderId="5" applyNumberFormat="1" applyFont="1" applyFill="1" applyBorder="1" applyAlignment="1" applyProtection="0">
      <alignment horizontal="right" vertical="top"/>
    </xf>
    <xf numFmtId="65" fontId="8" fillId="2" borderId="5" applyNumberFormat="1" applyFont="1" applyFill="1" applyBorder="1" applyAlignment="1" applyProtection="0">
      <alignment horizontal="right" vertical="top"/>
    </xf>
    <xf numFmtId="0" fontId="8" fillId="2" borderId="4" applyNumberFormat="0" applyFont="1" applyFill="1" applyBorder="1" applyAlignment="1" applyProtection="0">
      <alignment vertical="top"/>
    </xf>
    <xf numFmtId="64" fontId="8" borderId="8" applyNumberFormat="1" applyFont="1" applyFill="0" applyBorder="1" applyAlignment="1" applyProtection="0">
      <alignment vertical="bottom"/>
    </xf>
    <xf numFmtId="0" fontId="8" borderId="5" applyNumberFormat="0" applyFont="1" applyFill="0" applyBorder="1" applyAlignment="1" applyProtection="0">
      <alignment vertical="bottom"/>
    </xf>
    <xf numFmtId="66" fontId="0" fillId="2" borderId="5" applyNumberFormat="1" applyFont="1" applyFill="1" applyBorder="1" applyAlignment="1" applyProtection="0">
      <alignment vertical="bottom"/>
    </xf>
    <xf numFmtId="64" fontId="8" borderId="5" applyNumberFormat="1" applyFont="1" applyFill="0" applyBorder="1" applyAlignment="1" applyProtection="0">
      <alignment vertical="bottom"/>
    </xf>
    <xf numFmtId="0" fontId="8" fillId="2" borderId="21" applyNumberFormat="0" applyFont="1" applyFill="1" applyBorder="1" applyAlignment="1" applyProtection="0">
      <alignment vertical="top"/>
    </xf>
    <xf numFmtId="49" fontId="8" borderId="7" applyNumberFormat="1" applyFont="1" applyFill="0" applyBorder="1" applyAlignment="1" applyProtection="0">
      <alignment horizontal="left" vertical="bottom"/>
    </xf>
    <xf numFmtId="0" fontId="8" fillId="2" borderId="7" applyNumberFormat="0" applyFont="1" applyFill="1" applyBorder="1" applyAlignment="1" applyProtection="0">
      <alignment horizontal="left" vertical="top"/>
    </xf>
    <xf numFmtId="0" fontId="8" fillId="2" borderId="7" applyNumberFormat="0" applyFont="1" applyFill="1" applyBorder="1" applyAlignment="1" applyProtection="0">
      <alignment horizontal="center" vertical="top"/>
    </xf>
    <xf numFmtId="66" fontId="0" fillId="2" borderId="7" applyNumberFormat="1" applyFont="1" applyFill="1" applyBorder="1" applyAlignment="1" applyProtection="0">
      <alignment vertical="bottom"/>
    </xf>
    <xf numFmtId="64" fontId="6" borderId="7" applyNumberFormat="1" applyFont="1" applyFill="0" applyBorder="1" applyAlignment="1" applyProtection="0">
      <alignment vertical="bottom"/>
    </xf>
    <xf numFmtId="10" fontId="8" fillId="2" borderId="7" applyNumberFormat="1" applyFont="1" applyFill="1" applyBorder="1" applyAlignment="1" applyProtection="0">
      <alignment horizontal="right" vertical="top"/>
    </xf>
    <xf numFmtId="0" fontId="7" fillId="2" borderId="13" applyNumberFormat="0" applyFont="1" applyFill="1" applyBorder="1" applyAlignment="1" applyProtection="0">
      <alignment horizontal="left" vertical="top" wrapText="1"/>
    </xf>
    <xf numFmtId="10" fontId="8" fillId="2" borderId="16" applyNumberFormat="1" applyFont="1" applyFill="1" applyBorder="1" applyAlignment="1" applyProtection="0">
      <alignment horizontal="right" vertical="top"/>
    </xf>
    <xf numFmtId="0" fontId="8" borderId="16" applyNumberFormat="0" applyFont="1" applyFill="0" applyBorder="1" applyAlignment="1" applyProtection="0">
      <alignment horizontal="left" vertical="bottom"/>
    </xf>
    <xf numFmtId="62" fontId="8" fillId="2" borderId="5" applyNumberFormat="1" applyFont="1" applyFill="1" applyBorder="1" applyAlignment="1" applyProtection="0">
      <alignment horizontal="center" vertical="bottom"/>
    </xf>
    <xf numFmtId="62" fontId="8" fillId="2" borderId="5" applyNumberFormat="1" applyFont="1" applyFill="1" applyBorder="1" applyAlignment="1" applyProtection="0">
      <alignment horizontal="right" vertical="bottom"/>
    </xf>
    <xf numFmtId="0" fontId="6" borderId="18" applyNumberFormat="0" applyFont="1" applyFill="0" applyBorder="1" applyAlignment="1" applyProtection="0">
      <alignment horizontal="left" vertical="bottom"/>
    </xf>
    <xf numFmtId="0" fontId="6" borderId="13" applyNumberFormat="0" applyFont="1" applyFill="0" applyBorder="1" applyAlignment="1" applyProtection="0">
      <alignment horizontal="right" vertical="bottom"/>
    </xf>
    <xf numFmtId="0" fontId="6" fillId="2" borderId="8" applyNumberFormat="0" applyFont="1" applyFill="1" applyBorder="1" applyAlignment="1" applyProtection="0">
      <alignment vertical="top" wrapText="1"/>
    </xf>
    <xf numFmtId="0" fontId="6" borderId="4" applyNumberFormat="0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horizontal="center" vertical="bottom"/>
    </xf>
    <xf numFmtId="0" fontId="8" fillId="2" borderId="22" applyNumberFormat="0" applyFont="1" applyFill="1" applyBorder="1" applyAlignment="1" applyProtection="0">
      <alignment horizontal="center" vertical="center"/>
    </xf>
    <xf numFmtId="62" fontId="8" fillId="2" borderId="22" applyNumberFormat="1" applyFont="1" applyFill="1" applyBorder="1" applyAlignment="1" applyProtection="0">
      <alignment horizontal="center" vertical="center"/>
    </xf>
    <xf numFmtId="0" fontId="6" fillId="2" borderId="20" applyNumberFormat="0" applyFont="1" applyFill="1" applyBorder="1" applyAlignment="1" applyProtection="0">
      <alignment vertical="top"/>
    </xf>
    <xf numFmtId="0" fontId="6" borderId="8" applyNumberFormat="0" applyFont="1" applyFill="0" applyBorder="1" applyAlignment="1" applyProtection="0">
      <alignment horizontal="center" vertical="bottom"/>
    </xf>
    <xf numFmtId="62" fontId="6" fillId="2" borderId="8" applyNumberFormat="1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justify" vertical="top" wrapText="1"/>
    </xf>
    <xf numFmtId="0" fontId="8" fillId="2" borderId="4" applyNumberFormat="0" applyFont="1" applyFill="1" applyBorder="1" applyAlignment="1" applyProtection="0">
      <alignment horizontal="left" vertical="top"/>
    </xf>
    <xf numFmtId="0" fontId="6" fillId="2" borderId="5" applyNumberFormat="0" applyFont="1" applyFill="1" applyBorder="1" applyAlignment="1" applyProtection="0">
      <alignment horizontal="center" vertical="center"/>
    </xf>
    <xf numFmtId="64" fontId="6" fillId="2" borderId="5" applyNumberFormat="1" applyFont="1" applyFill="1" applyBorder="1" applyAlignment="1" applyProtection="0">
      <alignment horizontal="center" vertical="center"/>
    </xf>
    <xf numFmtId="65" fontId="6" fillId="2" borderId="5" applyNumberFormat="1" applyFont="1" applyFill="1" applyBorder="1" applyAlignment="1" applyProtection="0">
      <alignment vertical="center"/>
    </xf>
    <xf numFmtId="1" fontId="6" fillId="2" borderId="9" applyNumberFormat="1" applyFont="1" applyFill="1" applyBorder="1" applyAlignment="1" applyProtection="0">
      <alignment horizontal="center" vertical="center"/>
    </xf>
    <xf numFmtId="0" fontId="8" fillId="2" borderId="10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horizontal="right" vertical="top"/>
    </xf>
    <xf numFmtId="2" fontId="6" fillId="2" borderId="5" applyNumberFormat="1" applyFont="1" applyFill="1" applyBorder="1" applyAlignment="1" applyProtection="0">
      <alignment vertical="center"/>
    </xf>
    <xf numFmtId="2" fontId="6" fillId="2" borderId="5" applyNumberFormat="1" applyFont="1" applyFill="1" applyBorder="1" applyAlignment="1" applyProtection="0">
      <alignment vertical="top"/>
    </xf>
    <xf numFmtId="0" fontId="0" fillId="2" borderId="5" applyNumberFormat="1" applyFont="1" applyFill="1" applyBorder="1" applyAlignment="1" applyProtection="0">
      <alignment vertical="center"/>
    </xf>
    <xf numFmtId="65" fontId="3" fillId="6" borderId="5" applyNumberFormat="1" applyFont="1" applyFill="1" applyBorder="1" applyAlignment="1" applyProtection="0">
      <alignment vertical="center"/>
    </xf>
    <xf numFmtId="65" fontId="3" fillId="6" borderId="6" applyNumberFormat="1" applyFont="1" applyFill="1" applyBorder="1" applyAlignment="1" applyProtection="0">
      <alignment vertical="center"/>
    </xf>
    <xf numFmtId="0" fontId="0" borderId="4" applyNumberFormat="0" applyFont="1" applyFill="0" applyBorder="1" applyAlignment="1" applyProtection="0">
      <alignment vertical="bottom"/>
    </xf>
    <xf numFmtId="64" fontId="0" borderId="5" applyNumberFormat="1" applyFont="1" applyFill="0" applyBorder="1" applyAlignment="1" applyProtection="0">
      <alignment vertical="bottom"/>
    </xf>
    <xf numFmtId="2" fontId="0" borderId="5" applyNumberFormat="1" applyFont="1" applyFill="0" applyBorder="1" applyAlignment="1" applyProtection="0">
      <alignment vertical="bottom"/>
    </xf>
    <xf numFmtId="67" fontId="0" borderId="5" applyNumberFormat="1" applyFont="1" applyFill="0" applyBorder="1" applyAlignment="1" applyProtection="0">
      <alignment vertical="bottom"/>
    </xf>
    <xf numFmtId="68" fontId="6" fillId="2" borderId="5" applyNumberFormat="1" applyFont="1" applyFill="1" applyBorder="1" applyAlignment="1" applyProtection="0">
      <alignment horizontal="center" vertical="top"/>
    </xf>
    <xf numFmtId="68" fontId="0" borderId="5" applyNumberFormat="1" applyFont="1" applyFill="0" applyBorder="1" applyAlignment="1" applyProtection="0">
      <alignment vertical="bottom"/>
    </xf>
    <xf numFmtId="4" fontId="0" borderId="5" applyNumberFormat="1" applyFont="1" applyFill="0" applyBorder="1" applyAlignment="1" applyProtection="0">
      <alignment vertical="bottom"/>
    </xf>
    <xf numFmtId="65" fontId="0" borderId="5" applyNumberFormat="1" applyFont="1" applyFill="0" applyBorder="1" applyAlignment="1" applyProtection="0">
      <alignment vertical="bottom"/>
    </xf>
    <xf numFmtId="65" fontId="6" borderId="5" applyNumberFormat="1" applyFont="1" applyFill="0" applyBorder="1" applyAlignment="1" applyProtection="0">
      <alignment vertical="bottom"/>
    </xf>
    <xf numFmtId="49" fontId="8" borderId="5" applyNumberFormat="1" applyFont="1" applyFill="0" applyBorder="1" applyAlignment="1" applyProtection="0">
      <alignment horizontal="left" vertical="bottom"/>
    </xf>
    <xf numFmtId="64" fontId="6" borderId="5" applyNumberFormat="1" applyFont="1" applyFill="0" applyBorder="1" applyAlignment="1" applyProtection="0">
      <alignment vertical="bottom"/>
    </xf>
    <xf numFmtId="64" fontId="8" borderId="5" applyNumberFormat="1" applyFont="1" applyFill="0" applyBorder="1" applyAlignment="1" applyProtection="0">
      <alignment horizontal="left" vertical="bottom"/>
    </xf>
    <xf numFmtId="64" fontId="0" borderId="5" applyNumberFormat="1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horizontal="center" vertical="bottom"/>
    </xf>
    <xf numFmtId="69" fontId="0" fillId="2" borderId="5" applyNumberFormat="1" applyFont="1" applyFill="1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6" fillId="2" borderId="5" applyNumberFormat="1" applyFont="1" applyFill="1" applyBorder="1" applyAlignment="1" applyProtection="0">
      <alignment horizontal="right" vertical="top"/>
    </xf>
    <xf numFmtId="1" fontId="6" fillId="6" borderId="4" applyNumberFormat="1" applyFont="1" applyFill="1" applyBorder="1" applyAlignment="1" applyProtection="0">
      <alignment horizontal="center" vertical="top"/>
    </xf>
    <xf numFmtId="0" fontId="0" fillId="2" borderId="5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0" fontId="10" fillId="2" borderId="5" applyNumberFormat="1" applyFont="1" applyFill="1" applyBorder="1" applyAlignment="1" applyProtection="0">
      <alignment horizontal="center" vertical="center"/>
    </xf>
    <xf numFmtId="64" fontId="10" fillId="2" borderId="5" applyNumberFormat="1" applyFont="1" applyFill="1" applyBorder="1" applyAlignment="1" applyProtection="0">
      <alignment horizontal="right" vertical="top"/>
    </xf>
    <xf numFmtId="65" fontId="10" fillId="2" borderId="5" applyNumberFormat="1" applyFont="1" applyFill="1" applyBorder="1" applyAlignment="1" applyProtection="0">
      <alignment horizontal="right" vertical="top"/>
    </xf>
    <xf numFmtId="64" fontId="10" fillId="2" borderId="5" applyNumberFormat="1" applyFont="1" applyFill="1" applyBorder="1" applyAlignment="1" applyProtection="0">
      <alignment horizontal="center" vertical="top"/>
    </xf>
    <xf numFmtId="4" fontId="10" fillId="2" borderId="5" applyNumberFormat="1" applyFont="1" applyFill="1" applyBorder="1" applyAlignment="1" applyProtection="0">
      <alignment horizontal="center" vertical="top"/>
    </xf>
    <xf numFmtId="0" fontId="0" borderId="5" applyNumberFormat="1" applyFont="1" applyFill="0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horizontal="right" vertical="top"/>
    </xf>
    <xf numFmtId="65" fontId="0" fillId="2" borderId="5" applyNumberFormat="1" applyFont="1" applyFill="1" applyBorder="1" applyAlignment="1" applyProtection="0">
      <alignment horizontal="center" vertical="center"/>
    </xf>
    <xf numFmtId="49" fontId="6" fillId="2" borderId="4" applyNumberFormat="1" applyFont="1" applyFill="1" applyBorder="1" applyAlignment="1" applyProtection="0">
      <alignment vertical="top"/>
    </xf>
    <xf numFmtId="0" fontId="0" fillId="2" borderId="5" applyNumberFormat="0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horizontal="left" vertical="top" wrapText="1"/>
    </xf>
    <xf numFmtId="49" fontId="6" fillId="2" borderId="5" applyNumberFormat="1" applyFont="1" applyFill="1" applyBorder="1" applyAlignment="1" applyProtection="0">
      <alignment horizontal="center" vertical="top" wrapText="1"/>
    </xf>
    <xf numFmtId="0" fontId="6" fillId="2" borderId="5" applyNumberFormat="1" applyFont="1" applyFill="1" applyBorder="1" applyAlignment="1" applyProtection="0">
      <alignment horizontal="center" vertical="top" wrapText="1"/>
    </xf>
    <xf numFmtId="65" fontId="6" fillId="2" borderId="5" applyNumberFormat="1" applyFont="1" applyFill="1" applyBorder="1" applyAlignment="1" applyProtection="0">
      <alignment horizontal="left" vertical="top" wrapText="1"/>
    </xf>
    <xf numFmtId="49" fontId="6" fillId="2" borderId="5" applyNumberFormat="1" applyFont="1" applyFill="1" applyBorder="1" applyAlignment="1" applyProtection="0">
      <alignment horizontal="left" vertical="center" wrapText="1"/>
    </xf>
    <xf numFmtId="49" fontId="6" fillId="2" borderId="5" applyNumberFormat="1" applyFont="1" applyFill="1" applyBorder="1" applyAlignment="1" applyProtection="0">
      <alignment horizontal="center" vertical="center" wrapText="1"/>
    </xf>
    <xf numFmtId="0" fontId="6" fillId="2" borderId="5" applyNumberFormat="1" applyFont="1" applyFill="1" applyBorder="1" applyAlignment="1" applyProtection="0">
      <alignment horizontal="center" vertical="center" wrapText="1"/>
    </xf>
    <xf numFmtId="65" fontId="6" fillId="2" borderId="5" applyNumberFormat="1" applyFont="1" applyFill="1" applyBorder="1" applyAlignment="1" applyProtection="0">
      <alignment horizontal="left" vertical="center" wrapText="1"/>
    </xf>
    <xf numFmtId="49" fontId="6" fillId="2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daeef3"/>
      <rgbColor rgb="ffeaf1dd"/>
      <rgbColor rgb="00000000"/>
      <rgbColor rgb="ffffff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6</xdr:col>
      <xdr:colOff>38100</xdr:colOff>
      <xdr:row>1</xdr:row>
      <xdr:rowOff>145559</xdr:rowOff>
    </xdr:to>
    <xdr:sp>
      <xdr:nvSpPr>
        <xdr:cNvPr id="2" name="TOTAL PROJECTED COSTS - SUMMARY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SUMMARY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51287</xdr:colOff>
      <xdr:row>0</xdr:row>
      <xdr:rowOff>25643</xdr:rowOff>
    </xdr:from>
    <xdr:to>
      <xdr:col>6</xdr:col>
      <xdr:colOff>898446</xdr:colOff>
      <xdr:row>4</xdr:row>
      <xdr:rowOff>21981</xdr:rowOff>
    </xdr:to>
    <xdr:pic>
      <xdr:nvPicPr>
        <xdr:cNvPr id="4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020287" y="25643"/>
          <a:ext cx="1952060" cy="707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457200</xdr:colOff>
      <xdr:row>1</xdr:row>
      <xdr:rowOff>128414</xdr:rowOff>
    </xdr:to>
    <xdr:sp>
      <xdr:nvSpPr>
        <xdr:cNvPr id="5" name="TOTAL PROJECTED COSTS - FINCA SAN JOSE CUSTOMS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FINCA SAN JOSE CUSTOMS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51287</xdr:colOff>
      <xdr:row>0</xdr:row>
      <xdr:rowOff>25643</xdr:rowOff>
    </xdr:from>
    <xdr:to>
      <xdr:col>6</xdr:col>
      <xdr:colOff>803196</xdr:colOff>
      <xdr:row>4</xdr:row>
      <xdr:rowOff>21981</xdr:rowOff>
    </xdr:to>
    <xdr:pic>
      <xdr:nvPicPr>
        <xdr:cNvPr id="7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020287" y="25643"/>
          <a:ext cx="1971110" cy="701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1</xdr:row>
      <xdr:rowOff>128414</xdr:rowOff>
    </xdr:to>
    <xdr:sp>
      <xdr:nvSpPr>
        <xdr:cNvPr id="8" name="TOTAL PROJECTED COSTS - FINCA SAN JOSE INDUSTRIAL PARK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FINCA SAN JOSE INDUSTRIAL PARK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51287</xdr:colOff>
      <xdr:row>0</xdr:row>
      <xdr:rowOff>25643</xdr:rowOff>
    </xdr:from>
    <xdr:to>
      <xdr:col>6</xdr:col>
      <xdr:colOff>803196</xdr:colOff>
      <xdr:row>4</xdr:row>
      <xdr:rowOff>21981</xdr:rowOff>
    </xdr:to>
    <xdr:pic>
      <xdr:nvPicPr>
        <xdr:cNvPr id="10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020287" y="25643"/>
          <a:ext cx="1971110" cy="701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1</xdr:row>
      <xdr:rowOff>128414</xdr:rowOff>
    </xdr:to>
    <xdr:sp>
      <xdr:nvSpPr>
        <xdr:cNvPr id="11" name="TOTAL PROJECTED COSTS - FINCA SAN JOSE HANGARS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FINCA SAN JOSE HANGARS</a:t>
          </a:r>
        </a:p>
      </xdr:txBody>
    </xdr: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51287</xdr:colOff>
      <xdr:row>0</xdr:row>
      <xdr:rowOff>25643</xdr:rowOff>
    </xdr:from>
    <xdr:to>
      <xdr:col>6</xdr:col>
      <xdr:colOff>803196</xdr:colOff>
      <xdr:row>4</xdr:row>
      <xdr:rowOff>21981</xdr:rowOff>
    </xdr:to>
    <xdr:pic>
      <xdr:nvPicPr>
        <xdr:cNvPr id="13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020287" y="25643"/>
          <a:ext cx="1971110" cy="701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1</xdr:row>
      <xdr:rowOff>128414</xdr:rowOff>
    </xdr:to>
    <xdr:sp>
      <xdr:nvSpPr>
        <xdr:cNvPr id="14" name="TOTAL PROJECTED COSTS - FINCA SANTA ROSA INDUSTRIAL PARK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FINCA SANTA ROSA INDUSTRIAL PARK</a:t>
          </a:r>
        </a:p>
      </xdr:txBody>
    </xdr: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51287</xdr:colOff>
      <xdr:row>0</xdr:row>
      <xdr:rowOff>25643</xdr:rowOff>
    </xdr:from>
    <xdr:to>
      <xdr:col>6</xdr:col>
      <xdr:colOff>788543</xdr:colOff>
      <xdr:row>4</xdr:row>
      <xdr:rowOff>21981</xdr:rowOff>
    </xdr:to>
    <xdr:pic>
      <xdr:nvPicPr>
        <xdr:cNvPr id="16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325087" y="25643"/>
          <a:ext cx="1981857" cy="701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12700</xdr:colOff>
      <xdr:row>1</xdr:row>
      <xdr:rowOff>128414</xdr:rowOff>
    </xdr:to>
    <xdr:sp>
      <xdr:nvSpPr>
        <xdr:cNvPr id="17" name="TOTAL PROJECTED COSTS - FINCA SANTA ROSA HSDF"/>
        <xdr:cNvSpPr txBox="1"/>
      </xdr:nvSpPr>
      <xdr:spPr>
        <a:xfrm>
          <a:off x="-19050" y="-246507"/>
          <a:ext cx="7531101" cy="318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TOTAL PROJECTED COSTS - FINCA SANTA ROSA HSDF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6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" customWidth="1"/>
    <col min="2" max="2" width="19.3516" style="1" customWidth="1"/>
    <col min="3" max="3" width="24" style="1" customWidth="1"/>
    <col min="4" max="4" width="15.1719" style="1" customWidth="1"/>
    <col min="5" max="5" width="18.1719" style="1" customWidth="1"/>
    <col min="6" max="6" width="10.8516" style="1" customWidth="1"/>
    <col min="7" max="16384" width="10.8516" style="1" customWidth="1"/>
  </cols>
  <sheetData>
    <row r="1" ht="13.65" customHeight="1">
      <c r="A1" s="2"/>
      <c r="B1" s="3"/>
      <c r="C1" s="3"/>
      <c r="D1" s="3"/>
      <c r="E1" s="3"/>
      <c r="F1" s="4"/>
    </row>
    <row r="2" ht="13.65" customHeight="1">
      <c r="A2" s="5"/>
      <c r="B2" s="6"/>
      <c r="C2" s="6"/>
      <c r="D2" s="6"/>
      <c r="E2" s="6"/>
      <c r="F2" s="7"/>
    </row>
    <row r="3" ht="13.65" customHeight="1">
      <c r="A3" s="5"/>
      <c r="B3" s="6"/>
      <c r="C3" s="6"/>
      <c r="D3" s="6"/>
      <c r="E3" s="8">
        <v>18</v>
      </c>
      <c r="F3" s="7"/>
    </row>
    <row r="4" ht="13.65" customHeight="1">
      <c r="A4" s="5"/>
      <c r="B4" t="s" s="9">
        <v>0</v>
      </c>
      <c r="C4" t="s" s="9">
        <v>1</v>
      </c>
      <c r="D4" t="s" s="9">
        <v>2</v>
      </c>
      <c r="E4" t="s" s="9">
        <v>3</v>
      </c>
      <c r="F4" s="7"/>
    </row>
    <row r="5" ht="13.65" customHeight="1">
      <c r="A5" s="5"/>
      <c r="B5" t="s" s="10">
        <v>4</v>
      </c>
      <c r="C5" t="s" s="10">
        <v>5</v>
      </c>
      <c r="D5" s="11">
        <v>45000</v>
      </c>
      <c r="E5" s="12">
        <f>'FSJ CUSTOMS'!G88/E3</f>
        <v>40732439.060768</v>
      </c>
      <c r="F5" s="7"/>
    </row>
    <row r="6" ht="13.65" customHeight="1">
      <c r="A6" s="5"/>
      <c r="B6" t="s" s="10">
        <v>4</v>
      </c>
      <c r="C6" t="s" s="10">
        <v>6</v>
      </c>
      <c r="D6" s="11">
        <v>445000</v>
      </c>
      <c r="E6" s="12">
        <f>'FSJ IP'!G62/E3</f>
        <v>173511275.525402</v>
      </c>
      <c r="F6" t="s" s="13">
        <v>7</v>
      </c>
    </row>
    <row r="7" ht="13.65" customHeight="1">
      <c r="A7" s="5"/>
      <c r="B7" t="s" s="10">
        <v>4</v>
      </c>
      <c r="C7" t="s" s="10">
        <v>8</v>
      </c>
      <c r="D7" s="11">
        <v>88000</v>
      </c>
      <c r="E7" s="12">
        <f>'FSJ HANGARS'!G61/E3</f>
        <v>46607191.3227065</v>
      </c>
      <c r="F7" s="7"/>
    </row>
    <row r="8" ht="8" customHeight="1">
      <c r="A8" s="5"/>
      <c r="B8" s="6"/>
      <c r="C8" s="6"/>
      <c r="D8" s="14"/>
      <c r="E8" s="15"/>
      <c r="F8" s="7"/>
    </row>
    <row r="9" ht="14" customHeight="1">
      <c r="A9" s="5"/>
      <c r="B9" s="6"/>
      <c r="C9" s="6"/>
      <c r="D9" s="16">
        <f>SUM(D5:D7)</f>
        <v>578000</v>
      </c>
      <c r="E9" s="17">
        <f>SUM(E5:E7)</f>
        <v>260850905.908877</v>
      </c>
      <c r="F9" t="s" s="18">
        <v>9</v>
      </c>
    </row>
    <row r="10" ht="13.65" customHeight="1">
      <c r="A10" s="5"/>
      <c r="B10" s="6"/>
      <c r="C10" s="6"/>
      <c r="D10" s="11"/>
      <c r="E10" s="12"/>
      <c r="F10" s="7"/>
    </row>
    <row r="11" ht="13.65" customHeight="1">
      <c r="A11" s="5"/>
      <c r="B11" t="s" s="10">
        <v>10</v>
      </c>
      <c r="C11" t="s" s="10">
        <v>6</v>
      </c>
      <c r="D11" s="11">
        <v>78000</v>
      </c>
      <c r="E11" s="12">
        <f>'FSR IP'!G61/E3</f>
        <v>40850320.7290984</v>
      </c>
      <c r="F11" s="7"/>
    </row>
    <row r="12" ht="13.65" customHeight="1">
      <c r="A12" s="5"/>
      <c r="B12" t="s" s="10">
        <v>10</v>
      </c>
      <c r="C12" t="s" s="10">
        <v>11</v>
      </c>
      <c r="D12" s="11">
        <f>113000+76000</f>
        <v>189000</v>
      </c>
      <c r="E12" s="12">
        <f>'FSJ HSDF'!G85/E3</f>
        <v>222402097.75674</v>
      </c>
      <c r="F12" t="s" s="13">
        <v>12</v>
      </c>
    </row>
    <row r="13" ht="8" customHeight="1">
      <c r="A13" s="5"/>
      <c r="B13" s="6"/>
      <c r="C13" s="6"/>
      <c r="D13" s="14"/>
      <c r="E13" s="15"/>
      <c r="F13" s="7"/>
    </row>
    <row r="14" ht="14" customHeight="1">
      <c r="A14" s="5"/>
      <c r="B14" s="6"/>
      <c r="C14" s="6"/>
      <c r="D14" s="16">
        <f>SUM(D10:D12)</f>
        <v>267000</v>
      </c>
      <c r="E14" s="17">
        <f>SUM(E11:E12)</f>
        <v>263252418.485838</v>
      </c>
      <c r="F14" t="s" s="18">
        <v>13</v>
      </c>
    </row>
    <row r="15" ht="13.65" customHeight="1">
      <c r="A15" s="5"/>
      <c r="B15" s="6"/>
      <c r="C15" s="6"/>
      <c r="D15" s="6"/>
      <c r="E15" s="6"/>
      <c r="F15" s="7"/>
    </row>
    <row r="16" ht="13.65" customHeight="1">
      <c r="A16" s="19"/>
      <c r="B16" s="20"/>
      <c r="C16" s="20"/>
      <c r="D16" s="21">
        <f>D14+D9</f>
        <v>845000</v>
      </c>
      <c r="E16" s="22">
        <f>E9+E14</f>
        <v>524103324.394715</v>
      </c>
      <c r="F16" t="s" s="23">
        <v>14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LL176"/>
  <sheetViews>
    <sheetView workbookViewId="0" defaultGridColor="0" colorId="14"/>
  </sheetViews>
  <sheetFormatPr defaultColWidth="11.5" defaultRowHeight="12.75" customHeight="1" outlineLevelRow="0" outlineLevelCol="0"/>
  <cols>
    <col min="1" max="1" width="11.6719" style="25" customWidth="1"/>
    <col min="2" max="2" width="30.6719" style="25" customWidth="1"/>
    <col min="3" max="3" width="6.67188" style="25" customWidth="1"/>
    <col min="4" max="4" width="12.8516" style="25" customWidth="1"/>
    <col min="5" max="5" width="16.5" style="26" customWidth="1"/>
    <col min="6" max="6" width="14.5" style="27" customWidth="1"/>
    <col min="7" max="7" width="22.5" style="25" customWidth="1"/>
    <col min="8" max="9" width="7.85156" style="25" customWidth="1"/>
    <col min="10" max="10" width="10.3516" style="25" customWidth="1"/>
    <col min="11" max="11" width="13.1719" style="25" customWidth="1"/>
    <col min="12" max="12" width="17.5" style="25" customWidth="1"/>
    <col min="13" max="13" width="7.85156" style="25" customWidth="1"/>
    <col min="14" max="14" width="11.3516" style="25" customWidth="1"/>
    <col min="15" max="15" width="14.3516" style="25" customWidth="1"/>
    <col min="16" max="16" width="15.8516" style="25" customWidth="1"/>
    <col min="17" max="30" width="7.85156" style="25" customWidth="1"/>
    <col min="31" max="1000" width="11.5" style="25" customWidth="1"/>
    <col min="1001" max="16384" width="11.5" style="24" customWidth="1"/>
  </cols>
  <sheetData>
    <row r="1" s="25" customFormat="1" ht="15" customHeight="1">
      <c r="A1" t="s" s="28">
        <v>15</v>
      </c>
      <c r="B1" s="29"/>
      <c r="C1" s="29"/>
      <c r="D1" s="29"/>
      <c r="E1" s="29"/>
      <c r="F1" s="29"/>
      <c r="G1" s="29"/>
      <c r="H1" s="30"/>
      <c r="I1" s="31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="25" customFormat="1" ht="15" customHeight="1">
      <c r="A2" s="33"/>
      <c r="B2" s="34"/>
      <c r="C2" s="34"/>
      <c r="D2" s="34"/>
      <c r="E2" s="34"/>
      <c r="F2" s="34"/>
      <c r="G2" s="34"/>
      <c r="H2" s="35"/>
      <c r="I2" s="33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25" customFormat="1" ht="13" customHeight="1">
      <c r="A3" s="36"/>
      <c r="B3" s="37">
        <v>0</v>
      </c>
      <c r="C3" s="38"/>
      <c r="D3" s="38"/>
      <c r="E3" s="38"/>
      <c r="G3" s="39"/>
      <c r="H3" s="40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="25" customFormat="1" ht="13" customHeight="1">
      <c r="A4" s="42"/>
      <c r="B4" s="38"/>
      <c r="C4" s="38"/>
      <c r="D4" s="38"/>
      <c r="E4" s="38"/>
      <c r="G4" s="39"/>
      <c r="H4" s="40"/>
      <c r="I4" s="41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="25" customFormat="1" ht="13" customHeight="1">
      <c r="A5" t="s" s="43">
        <v>16</v>
      </c>
      <c r="B5" s="44"/>
      <c r="C5" s="44"/>
      <c r="D5" s="44"/>
      <c r="E5" s="45"/>
      <c r="G5" s="39"/>
      <c r="H5" s="40"/>
      <c r="I5" s="41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="25" customFormat="1" ht="13" customHeight="1">
      <c r="A6" t="s" s="43">
        <v>17</v>
      </c>
      <c r="B6" s="44"/>
      <c r="C6" s="44"/>
      <c r="D6" s="44"/>
      <c r="E6" s="45"/>
      <c r="F6" t="s" s="46">
        <v>18</v>
      </c>
      <c r="G6" t="s" s="47">
        <v>19</v>
      </c>
      <c r="H6" s="40"/>
      <c r="I6" s="41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="25" customFormat="1" ht="13" customHeight="1">
      <c r="A7" t="s" s="43">
        <v>20</v>
      </c>
      <c r="B7" s="38"/>
      <c r="C7" s="38"/>
      <c r="D7" s="38"/>
      <c r="E7" s="38"/>
      <c r="F7" t="s" s="48">
        <v>21</v>
      </c>
      <c r="G7" s="49">
        <v>44908</v>
      </c>
      <c r="H7" s="50"/>
      <c r="I7" s="51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="25" customFormat="1" ht="13" customHeight="1">
      <c r="A8" t="s" s="43">
        <v>22</v>
      </c>
      <c r="B8" s="38"/>
      <c r="C8" s="38"/>
      <c r="D8" s="38"/>
      <c r="E8" s="38"/>
      <c r="G8" s="53"/>
      <c r="H8" s="54"/>
      <c r="I8" s="55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="25" customFormat="1" ht="13" customHeight="1">
      <c r="A9" s="42"/>
      <c r="B9" s="38"/>
      <c r="C9" s="38"/>
      <c r="D9" s="38"/>
      <c r="E9" s="38"/>
      <c r="F9" t="s" s="48">
        <v>23</v>
      </c>
      <c r="G9" t="s" s="56">
        <v>24</v>
      </c>
      <c r="H9" s="50"/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="25" customFormat="1" ht="13" customHeight="1">
      <c r="A10" s="42"/>
      <c r="B10" s="38"/>
      <c r="C10" s="38"/>
      <c r="D10" s="38"/>
      <c r="E10" s="38"/>
      <c r="F10" t="s" s="48">
        <v>25</v>
      </c>
      <c r="G10" t="s" s="56">
        <v>26</v>
      </c>
      <c r="H10" s="50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="25" customFormat="1" ht="13" customHeight="1">
      <c r="A11" s="42"/>
      <c r="B11" s="38"/>
      <c r="C11" s="38"/>
      <c r="D11" s="38"/>
      <c r="E11" s="38"/>
      <c r="G11" t="s" s="57">
        <v>27</v>
      </c>
      <c r="H11" s="40"/>
      <c r="I11" s="41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="25" customFormat="1" ht="13" customHeight="1">
      <c r="A12" s="42"/>
      <c r="B12" s="38"/>
      <c r="C12" s="38"/>
      <c r="D12" s="38"/>
      <c r="E12" s="38"/>
      <c r="G12" t="s" s="58">
        <v>28</v>
      </c>
      <c r="H12" s="40"/>
      <c r="I12" s="41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="25" customFormat="1" ht="12.75" customHeight="1">
      <c r="A13" t="s" s="59">
        <v>29</v>
      </c>
      <c r="B13" s="60"/>
      <c r="C13" s="60"/>
      <c r="D13" s="60"/>
      <c r="E13" s="61"/>
      <c r="F13" s="62"/>
      <c r="G13" s="63"/>
      <c r="H13" s="64"/>
      <c r="I13" s="41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="25" customFormat="1" ht="12.75" customHeight="1">
      <c r="A14" s="65"/>
      <c r="B14" s="66"/>
      <c r="C14" s="66"/>
      <c r="D14" s="66"/>
      <c r="E14" s="67"/>
      <c r="G14" s="66"/>
    </row>
    <row r="15" s="25" customFormat="1" ht="13" customHeight="1">
      <c r="A15" t="s" s="68">
        <v>30</v>
      </c>
      <c r="B15" s="69"/>
      <c r="C15" s="69"/>
      <c r="D15" s="69"/>
      <c r="E15" s="70"/>
      <c r="F15" s="70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="25" customFormat="1" ht="12.75" customHeight="1">
      <c r="A16" s="71"/>
      <c r="B16" s="63"/>
      <c r="C16" s="63"/>
      <c r="D16" s="63"/>
      <c r="E16" s="61"/>
      <c r="G16" s="63"/>
      <c r="H16" s="63"/>
      <c r="I16" s="39"/>
      <c r="J16" s="39"/>
      <c r="K16" t="s" s="47">
        <v>31</v>
      </c>
      <c r="L16" s="39"/>
      <c r="M16" s="39"/>
      <c r="N16" s="39"/>
      <c r="O16" t="s" s="47">
        <v>31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="25" customFormat="1" ht="12.75" customHeight="1">
      <c r="A17" t="s" s="72">
        <v>32</v>
      </c>
      <c r="B17" t="s" s="72">
        <v>33</v>
      </c>
      <c r="C17" t="s" s="72">
        <v>34</v>
      </c>
      <c r="D17" t="s" s="72">
        <v>35</v>
      </c>
      <c r="E17" t="s" s="72">
        <v>36</v>
      </c>
      <c r="F17" t="s" s="72">
        <v>37</v>
      </c>
      <c r="G17" t="s" s="72">
        <v>38</v>
      </c>
      <c r="H17" t="s" s="72">
        <v>39</v>
      </c>
      <c r="I17" s="73"/>
      <c r="J17" t="s" s="74">
        <v>40</v>
      </c>
      <c r="K17" s="75">
        <v>18.62</v>
      </c>
      <c r="L17" s="76"/>
      <c r="M17" s="76"/>
      <c r="N17" t="s" s="74">
        <v>41</v>
      </c>
      <c r="O17" s="75">
        <v>2.24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="25" customFormat="1" ht="14" customHeight="1">
      <c r="A18" t="s" s="77">
        <v>42</v>
      </c>
      <c r="B18" t="s" s="78">
        <v>43</v>
      </c>
      <c r="C18" s="79"/>
      <c r="D18" t="s" s="80">
        <v>44</v>
      </c>
      <c r="E18" s="81"/>
      <c r="F18" t="s" s="82">
        <v>45</v>
      </c>
      <c r="G18" s="66"/>
      <c r="H18" s="6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="25" customFormat="1" ht="13" customHeight="1">
      <c r="A19" s="83"/>
      <c r="B19" s="84"/>
      <c r="C19" s="39"/>
      <c r="D19" t="s" s="85">
        <v>46</v>
      </c>
      <c r="E19" s="86"/>
      <c r="F19" s="87">
        <v>1</v>
      </c>
      <c r="G19" s="88">
        <f>G88</f>
        <v>733183903.093824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="25" customFormat="1" ht="13" customHeight="1">
      <c r="A20" t="s" s="89">
        <v>47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</row>
    <row r="21" s="25" customFormat="1" ht="13" customHeight="1">
      <c r="A21" t="s" s="91">
        <v>48</v>
      </c>
      <c r="B21" s="84"/>
      <c r="C21" s="84"/>
      <c r="D21" s="39"/>
      <c r="E21" s="92"/>
      <c r="F21" s="93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="25" customFormat="1" ht="13" customHeight="1">
      <c r="A22" s="94">
        <v>1</v>
      </c>
      <c r="B22" t="s" s="95">
        <v>49</v>
      </c>
      <c r="C22" t="s" s="96">
        <v>50</v>
      </c>
      <c r="D22" s="97">
        <v>11787.58</v>
      </c>
      <c r="E22" t="s" s="96">
        <v>51</v>
      </c>
      <c r="F22" s="98">
        <v>7500</v>
      </c>
      <c r="G22" s="98">
        <f>D22*F22</f>
        <v>88406850</v>
      </c>
      <c r="H22" s="99">
        <f>G22/$G$87</f>
        <v>0.120579365732047</v>
      </c>
      <c r="I22" s="99"/>
      <c r="J22" s="99"/>
      <c r="K22" s="100">
        <f>F22/$K$17</f>
        <v>402.792696025779</v>
      </c>
      <c r="L22" s="100">
        <f>K22*D22</f>
        <v>4747951.12781955</v>
      </c>
      <c r="M22" s="99"/>
      <c r="N22" s="99"/>
      <c r="O22" s="100">
        <f>F22/$O$17</f>
        <v>3348.214285714290</v>
      </c>
      <c r="P22" s="100">
        <f>O22*D22</f>
        <v>39467343.7500001</v>
      </c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="25" customFormat="1" ht="24" customHeight="1">
      <c r="A23" s="94">
        <v>2</v>
      </c>
      <c r="B23" t="s" s="95">
        <v>52</v>
      </c>
      <c r="C23" t="s" s="96">
        <v>50</v>
      </c>
      <c r="D23" s="97">
        <v>1750</v>
      </c>
      <c r="E23" t="s" s="96">
        <v>51</v>
      </c>
      <c r="F23" s="98">
        <v>7848</v>
      </c>
      <c r="G23" s="98">
        <f>D23*F23</f>
        <v>13734000</v>
      </c>
      <c r="H23" s="99">
        <f>G23/$G$87</f>
        <v>0.018731998809639</v>
      </c>
      <c r="I23" s="99"/>
      <c r="J23" s="99"/>
      <c r="K23" s="100">
        <f>F23/$K$17</f>
        <v>421.482277121375</v>
      </c>
      <c r="L23" s="100">
        <f>K23*D23</f>
        <v>737593.984962406</v>
      </c>
      <c r="M23" s="99"/>
      <c r="N23" s="99"/>
      <c r="O23" s="100">
        <f>F23/$O$17</f>
        <v>3503.571428571430</v>
      </c>
      <c r="P23" s="100">
        <f>O23*D23</f>
        <v>6131250</v>
      </c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</row>
    <row r="24" s="25" customFormat="1" ht="24" customHeight="1">
      <c r="A24" s="94">
        <v>2</v>
      </c>
      <c r="B24" t="s" s="95">
        <v>53</v>
      </c>
      <c r="C24" t="s" s="96">
        <v>50</v>
      </c>
      <c r="D24" s="97">
        <v>1494</v>
      </c>
      <c r="E24" t="s" s="96">
        <v>51</v>
      </c>
      <c r="F24" s="98">
        <v>7848</v>
      </c>
      <c r="G24" s="98">
        <f>D24*F24</f>
        <v>11724912</v>
      </c>
      <c r="H24" s="99">
        <f>G24/$G$87</f>
        <v>0.0159917749837718</v>
      </c>
      <c r="I24" s="99"/>
      <c r="J24" s="99"/>
      <c r="K24" s="100">
        <f>F24/$K$17</f>
        <v>421.482277121375</v>
      </c>
      <c r="L24" s="100">
        <f>K24*D24</f>
        <v>629694.522019334</v>
      </c>
      <c r="M24" s="99"/>
      <c r="N24" s="99"/>
      <c r="O24" s="100">
        <f>F24/$O$17</f>
        <v>3503.571428571430</v>
      </c>
      <c r="P24" s="100">
        <f>O24*D24</f>
        <v>5234335.71428572</v>
      </c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="25" customFormat="1" ht="24" customHeight="1">
      <c r="A25" s="94">
        <v>3</v>
      </c>
      <c r="B25" t="s" s="95">
        <v>54</v>
      </c>
      <c r="C25" t="s" s="96">
        <v>50</v>
      </c>
      <c r="D25" s="97">
        <v>88.27</v>
      </c>
      <c r="E25" t="s" s="96">
        <v>51</v>
      </c>
      <c r="F25" s="98">
        <v>12483.35712</v>
      </c>
      <c r="G25" s="98">
        <f>D25*F25</f>
        <v>1101905.9329824</v>
      </c>
      <c r="H25" s="99">
        <f>G25/$G$87</f>
        <v>0.00150290524428138</v>
      </c>
      <c r="I25" s="99"/>
      <c r="J25" s="99"/>
      <c r="K25" s="100">
        <f>F25/$K$17</f>
        <v>670.427342642320</v>
      </c>
      <c r="L25" s="100">
        <f>K25*D25</f>
        <v>59178.6215350376</v>
      </c>
      <c r="M25" s="99"/>
      <c r="N25" s="99"/>
      <c r="O25" s="100">
        <f>F25/$O$17</f>
        <v>5572.927285714290</v>
      </c>
      <c r="P25" s="100">
        <f>O25*D25</f>
        <v>491922.29151</v>
      </c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="25" customFormat="1" ht="36" customHeight="1">
      <c r="A26" s="94">
        <v>4</v>
      </c>
      <c r="B26" t="s" s="95">
        <v>55</v>
      </c>
      <c r="C26" t="s" s="96">
        <v>50</v>
      </c>
      <c r="D26" s="97">
        <v>1150.52</v>
      </c>
      <c r="E26" t="s" s="96">
        <v>51</v>
      </c>
      <c r="F26" s="98">
        <v>16644.47616</v>
      </c>
      <c r="G26" s="98">
        <f>D26*F26</f>
        <v>19149802.7116032</v>
      </c>
      <c r="H26" s="99">
        <f>G26/$G$87</f>
        <v>0.0261186895004058</v>
      </c>
      <c r="I26" s="99"/>
      <c r="J26" s="99"/>
      <c r="K26" s="100">
        <f>F26/$K$17</f>
        <v>893.903123523093</v>
      </c>
      <c r="L26" s="100">
        <f>K26*D26</f>
        <v>1028453.42167579</v>
      </c>
      <c r="M26" s="99"/>
      <c r="N26" s="99"/>
      <c r="O26" s="100">
        <f>F26/$O$17</f>
        <v>7430.569714285710</v>
      </c>
      <c r="P26" s="100">
        <f>O26*D26</f>
        <v>8549019.067679999</v>
      </c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</row>
    <row r="27" s="25" customFormat="1" ht="24" customHeight="1">
      <c r="A27" s="94">
        <v>5</v>
      </c>
      <c r="B27" t="s" s="95">
        <v>56</v>
      </c>
      <c r="C27" t="s" s="96">
        <v>50</v>
      </c>
      <c r="D27" s="97">
        <v>10.88</v>
      </c>
      <c r="E27" t="s" s="96">
        <v>51</v>
      </c>
      <c r="F27" s="98">
        <v>12483.35712</v>
      </c>
      <c r="G27" s="98">
        <f>D27*F27</f>
        <v>135818.9254656</v>
      </c>
      <c r="H27" s="99">
        <f>G27/$G$87</f>
        <v>0.000185245372808218</v>
      </c>
      <c r="I27" s="99"/>
      <c r="J27" s="99"/>
      <c r="K27" s="100">
        <f>F27/$K$17</f>
        <v>670.427342642320</v>
      </c>
      <c r="L27" s="100">
        <f>K27*D27</f>
        <v>7294.249487948440</v>
      </c>
      <c r="M27" s="99"/>
      <c r="N27" s="99"/>
      <c r="O27" s="100">
        <f>F27/$O$17</f>
        <v>5572.927285714290</v>
      </c>
      <c r="P27" s="100">
        <f>O27*D27</f>
        <v>60633.4488685715</v>
      </c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</row>
    <row r="28" s="25" customFormat="1" ht="24" customHeight="1">
      <c r="A28" s="94">
        <v>6</v>
      </c>
      <c r="B28" t="s" s="95">
        <v>57</v>
      </c>
      <c r="C28" t="s" s="96">
        <v>50</v>
      </c>
      <c r="D28" s="97">
        <v>94.83</v>
      </c>
      <c r="E28" t="s" s="96">
        <v>51</v>
      </c>
      <c r="F28" s="98">
        <v>12483.35712</v>
      </c>
      <c r="G28" s="98">
        <f>D28*F28</f>
        <v>1183796.7556896</v>
      </c>
      <c r="H28" s="99">
        <f>G28/$G$87</f>
        <v>0.0016145973072981</v>
      </c>
      <c r="I28" s="99"/>
      <c r="J28" s="99"/>
      <c r="K28" s="100">
        <f>F28/$K$17</f>
        <v>670.427342642320</v>
      </c>
      <c r="L28" s="100">
        <f>K28*D28</f>
        <v>63576.6249027712</v>
      </c>
      <c r="M28" s="99"/>
      <c r="N28" s="99"/>
      <c r="O28" s="100">
        <f>F28/$O$17</f>
        <v>5572.927285714290</v>
      </c>
      <c r="P28" s="100">
        <f>O28*D28</f>
        <v>528480.694504286</v>
      </c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</row>
    <row r="29" s="25" customFormat="1" ht="13" customHeight="1">
      <c r="A29" s="94">
        <v>6</v>
      </c>
      <c r="B29" t="s" s="95">
        <v>58</v>
      </c>
      <c r="C29" t="s" s="96">
        <v>50</v>
      </c>
      <c r="D29" s="97">
        <v>2301.64</v>
      </c>
      <c r="E29" t="s" s="96">
        <v>51</v>
      </c>
      <c r="F29" s="98">
        <v>1016.21988</v>
      </c>
      <c r="G29" s="98">
        <f>D29*F29</f>
        <v>2338972.3246032</v>
      </c>
      <c r="H29" s="99">
        <f>G29/$G$87</f>
        <v>0.00319015776905823</v>
      </c>
      <c r="I29" s="99"/>
      <c r="J29" s="99"/>
      <c r="K29" s="100">
        <f>F29/$K$17</f>
        <v>54.5767926960258</v>
      </c>
      <c r="L29" s="100">
        <f>K29*D29</f>
        <v>125616.129140881</v>
      </c>
      <c r="M29" s="99"/>
      <c r="N29" s="99"/>
      <c r="O29" s="100">
        <f>F29/$O$17</f>
        <v>453.669589285714</v>
      </c>
      <c r="P29" s="100">
        <f>O29*D29</f>
        <v>1044184.07348357</v>
      </c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</row>
    <row r="30" s="25" customFormat="1" ht="24" customHeight="1">
      <c r="A30" s="94">
        <v>7</v>
      </c>
      <c r="B30" t="s" s="95">
        <v>59</v>
      </c>
      <c r="C30" t="s" s="96">
        <v>50</v>
      </c>
      <c r="D30" s="97">
        <v>734.04</v>
      </c>
      <c r="E30" t="s" s="96">
        <v>51</v>
      </c>
      <c r="F30" s="98">
        <v>1016.21988</v>
      </c>
      <c r="G30" s="98">
        <f>D30*F30</f>
        <v>745946.0407152</v>
      </c>
      <c r="H30" s="99">
        <f>G30/$G$87</f>
        <v>0.001017406461827</v>
      </c>
      <c r="I30" s="99"/>
      <c r="J30" s="99"/>
      <c r="K30" s="100">
        <f>F30/$K$17</f>
        <v>54.5767926960258</v>
      </c>
      <c r="L30" s="100">
        <f>K30*D30</f>
        <v>40061.5489105908</v>
      </c>
      <c r="M30" s="99"/>
      <c r="N30" s="99"/>
      <c r="O30" s="100">
        <f>F30/$O$17</f>
        <v>453.669589285714</v>
      </c>
      <c r="P30" s="100">
        <f>O30*D30</f>
        <v>333011.625319286</v>
      </c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</row>
    <row r="31" s="25" customFormat="1" ht="13" customHeight="1">
      <c r="A31" s="94">
        <v>8</v>
      </c>
      <c r="B31" t="s" s="95">
        <v>60</v>
      </c>
      <c r="C31" t="s" s="96">
        <v>50</v>
      </c>
      <c r="D31" s="97">
        <v>2116.98</v>
      </c>
      <c r="E31" t="s" s="96">
        <v>51</v>
      </c>
      <c r="F31" s="98">
        <v>1016.21988</v>
      </c>
      <c r="G31" s="98">
        <f>D31*F31</f>
        <v>2151317.1615624</v>
      </c>
      <c r="H31" s="99">
        <f>G31/$G$87</f>
        <v>0.00293421221126714</v>
      </c>
      <c r="I31" s="99"/>
      <c r="J31" s="99"/>
      <c r="K31" s="100">
        <f>F31/$K$17</f>
        <v>54.5767926960258</v>
      </c>
      <c r="L31" s="100">
        <f>K31*D31</f>
        <v>115537.978601633</v>
      </c>
      <c r="M31" s="99"/>
      <c r="N31" s="99"/>
      <c r="O31" s="100">
        <f>F31/$O$17</f>
        <v>453.669589285714</v>
      </c>
      <c r="P31" s="100">
        <f>O31*D31</f>
        <v>960409.447126071</v>
      </c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</row>
    <row r="32" s="25" customFormat="1" ht="13" customHeight="1">
      <c r="A32" s="94">
        <v>9</v>
      </c>
      <c r="B32" t="s" s="95">
        <v>61</v>
      </c>
      <c r="C32" t="s" s="96">
        <v>50</v>
      </c>
      <c r="D32" s="97">
        <v>5864.65</v>
      </c>
      <c r="E32" t="s" s="96">
        <v>51</v>
      </c>
      <c r="F32" s="98">
        <v>1016.21988</v>
      </c>
      <c r="G32" s="98">
        <f>D32*F32</f>
        <v>5959773.919242</v>
      </c>
      <c r="H32" s="99">
        <f>G32/$G$87</f>
        <v>0.00812862079226437</v>
      </c>
      <c r="I32" s="99"/>
      <c r="J32" s="99"/>
      <c r="K32" s="100">
        <f>F32/$K$17</f>
        <v>54.5767926960258</v>
      </c>
      <c r="L32" s="100">
        <f>K32*D32</f>
        <v>320073.787284748</v>
      </c>
      <c r="M32" s="99"/>
      <c r="N32" s="99"/>
      <c r="O32" s="100">
        <f>F32/$O$17</f>
        <v>453.669589285714</v>
      </c>
      <c r="P32" s="100">
        <f>O32*D32</f>
        <v>2660613.35680446</v>
      </c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</row>
    <row r="33" s="25" customFormat="1" ht="13" customHeight="1">
      <c r="A33" s="94">
        <v>11</v>
      </c>
      <c r="B33" t="s" s="95">
        <v>62</v>
      </c>
      <c r="C33" t="s" s="96">
        <v>50</v>
      </c>
      <c r="D33" s="97">
        <v>2113.78</v>
      </c>
      <c r="E33" t="s" s="96">
        <v>51</v>
      </c>
      <c r="F33" s="98">
        <v>1016.21988</v>
      </c>
      <c r="G33" s="98">
        <f>D33*F33</f>
        <v>2148065.2579464</v>
      </c>
      <c r="H33" s="99">
        <f>G33/$G$87</f>
        <v>0.00292977689346723</v>
      </c>
      <c r="I33" s="99"/>
      <c r="J33" s="99"/>
      <c r="K33" s="100">
        <f>F33/$K$17</f>
        <v>54.5767926960258</v>
      </c>
      <c r="L33" s="100">
        <f>K33*D33</f>
        <v>115363.332865005</v>
      </c>
      <c r="M33" s="99"/>
      <c r="N33" s="99"/>
      <c r="O33" s="100">
        <f>F33/$O$17</f>
        <v>453.669589285714</v>
      </c>
      <c r="P33" s="100">
        <f>O33*D33</f>
        <v>958957.704440357</v>
      </c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</row>
    <row r="34" s="25" customFormat="1" ht="15" customHeight="1">
      <c r="A34" s="94">
        <v>12</v>
      </c>
      <c r="B34" t="s" s="95">
        <v>63</v>
      </c>
      <c r="C34" t="s" s="96">
        <v>50</v>
      </c>
      <c r="D34" s="97">
        <f>1300.52+26.82</f>
        <v>1327.34</v>
      </c>
      <c r="E34" t="s" s="96">
        <v>51</v>
      </c>
      <c r="F34" s="98">
        <v>954.954</v>
      </c>
      <c r="G34" s="98">
        <f>D34*F34</f>
        <v>1267548.64236</v>
      </c>
      <c r="H34" s="99">
        <f>G34/$G$87</f>
        <v>0.00172882770204216</v>
      </c>
      <c r="I34" s="99"/>
      <c r="J34" s="99"/>
      <c r="K34" s="100">
        <f>F34/$K$17</f>
        <v>51.2864661654135</v>
      </c>
      <c r="L34" s="100">
        <f>K34*D34</f>
        <v>68074.577999999994</v>
      </c>
      <c r="M34" s="99"/>
      <c r="N34" s="99"/>
      <c r="O34" s="100">
        <f>F34/$O$17</f>
        <v>426.31875</v>
      </c>
      <c r="P34" s="100">
        <f>O34*D34</f>
        <v>565869.929625</v>
      </c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</row>
    <row r="35" s="25" customFormat="1" ht="13" customHeight="1">
      <c r="A35" s="94">
        <v>13</v>
      </c>
      <c r="B35" t="s" s="95">
        <v>64</v>
      </c>
      <c r="C35" t="s" s="96">
        <v>50</v>
      </c>
      <c r="D35" s="97">
        <v>6266.12</v>
      </c>
      <c r="E35" t="s" s="96">
        <v>51</v>
      </c>
      <c r="F35" s="98">
        <v>289.53</v>
      </c>
      <c r="G35" s="98">
        <f>D35*F35</f>
        <v>1814229.7236</v>
      </c>
      <c r="H35" s="99">
        <f>G35/$G$87</f>
        <v>0.00247445383885881</v>
      </c>
      <c r="I35" s="99"/>
      <c r="J35" s="99"/>
      <c r="K35" s="100">
        <f>F35/$K$17</f>
        <v>15.5494092373792</v>
      </c>
      <c r="L35" s="100">
        <f>K35*D35</f>
        <v>97434.4642105266</v>
      </c>
      <c r="M35" s="99"/>
      <c r="N35" s="99"/>
      <c r="O35" s="100">
        <f>F35/$O$17</f>
        <v>129.254464285714</v>
      </c>
      <c r="P35" s="100">
        <f>O35*D35</f>
        <v>809923.983749998</v>
      </c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</row>
    <row r="36" s="25" customFormat="1" ht="13" customHeight="1">
      <c r="A36" s="94">
        <v>14</v>
      </c>
      <c r="B36" t="s" s="95">
        <v>65</v>
      </c>
      <c r="C36" t="s" s="96">
        <v>50</v>
      </c>
      <c r="D36" s="97">
        <v>1286.17</v>
      </c>
      <c r="E36" t="s" s="96">
        <v>51</v>
      </c>
      <c r="F36" s="98">
        <v>878.446062</v>
      </c>
      <c r="G36" s="98">
        <f>D36*F36</f>
        <v>1129830.97156254</v>
      </c>
      <c r="H36" s="99">
        <f>G36/$G$87</f>
        <v>0.00154099260334956</v>
      </c>
      <c r="I36" s="99"/>
      <c r="J36" s="99"/>
      <c r="K36" s="100">
        <f>F36/$K$17</f>
        <v>47.1775543501611</v>
      </c>
      <c r="L36" s="100">
        <f>K36*D36</f>
        <v>60678.3550785467</v>
      </c>
      <c r="M36" s="99"/>
      <c r="N36" s="99"/>
      <c r="O36" s="100">
        <f>F36/$O$17</f>
        <v>392.163420535714</v>
      </c>
      <c r="P36" s="100">
        <f>O36*D36</f>
        <v>504388.826590419</v>
      </c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</row>
    <row r="37" s="25" customFormat="1" ht="13" customHeight="1">
      <c r="A37" s="94">
        <v>15</v>
      </c>
      <c r="B37" t="s" s="95">
        <v>66</v>
      </c>
      <c r="C37" t="s" s="96">
        <v>50</v>
      </c>
      <c r="D37" s="97">
        <v>25740.04</v>
      </c>
      <c r="E37" t="s" s="96">
        <v>51</v>
      </c>
      <c r="F37" s="98">
        <v>42.1668</v>
      </c>
      <c r="G37" s="98">
        <f>D37*F37</f>
        <v>1085375.118672</v>
      </c>
      <c r="H37" s="99">
        <f>G37/$G$87</f>
        <v>0.00148035863047733</v>
      </c>
      <c r="I37" s="99"/>
      <c r="J37" s="99"/>
      <c r="K37" s="100">
        <f>F37/$K$17</f>
        <v>2.26459720730397</v>
      </c>
      <c r="L37" s="100">
        <f>K37*D37</f>
        <v>58290.8226998925</v>
      </c>
      <c r="M37" s="99"/>
      <c r="N37" s="99"/>
      <c r="O37" s="100">
        <f>F37/$O$17</f>
        <v>18.8244642857143</v>
      </c>
      <c r="P37" s="100">
        <f>O37*D37</f>
        <v>484542.463692858</v>
      </c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</row>
    <row r="38" s="25" customFormat="1" ht="13" customHeight="1">
      <c r="A38" s="94">
        <v>16</v>
      </c>
      <c r="B38" t="s" s="95">
        <v>67</v>
      </c>
      <c r="C38" t="s" s="96">
        <v>50</v>
      </c>
      <c r="D38" s="97">
        <v>25740.04</v>
      </c>
      <c r="E38" t="s" s="96">
        <v>51</v>
      </c>
      <c r="F38" s="98">
        <v>187.059366</v>
      </c>
      <c r="G38" s="98">
        <f>D38*F38</f>
        <v>4814915.56321464</v>
      </c>
      <c r="H38" s="99">
        <f>G38/$G$87</f>
        <v>0.00656713212455578</v>
      </c>
      <c r="I38" s="99"/>
      <c r="J38" s="99"/>
      <c r="K38" s="100">
        <f>F38/$K$17</f>
        <v>10.0461528464017</v>
      </c>
      <c r="L38" s="100">
        <f>K38*D38</f>
        <v>258588.376112494</v>
      </c>
      <c r="M38" s="99"/>
      <c r="N38" s="99"/>
      <c r="O38" s="100">
        <f>F38/$O$17</f>
        <v>83.50864553571429</v>
      </c>
      <c r="P38" s="100">
        <f>O38*D38</f>
        <v>2149515.87643511</v>
      </c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</row>
    <row r="39" s="25" customFormat="1" ht="13" customHeight="1">
      <c r="A39" s="94">
        <v>17</v>
      </c>
      <c r="B39" t="s" s="95">
        <v>68</v>
      </c>
      <c r="C39" t="s" s="96">
        <v>69</v>
      </c>
      <c r="D39" s="97">
        <v>1</v>
      </c>
      <c r="E39" t="s" s="96">
        <v>51</v>
      </c>
      <c r="F39" s="98">
        <v>1190000</v>
      </c>
      <c r="G39" s="98">
        <f>D39*F39</f>
        <v>1190000</v>
      </c>
      <c r="H39" s="99">
        <f>G39/$G$87</f>
        <v>0.00162305800083519</v>
      </c>
      <c r="I39" s="99"/>
      <c r="J39" s="99"/>
      <c r="K39" s="100">
        <f>F39/$K$17</f>
        <v>63909.7744360902</v>
      </c>
      <c r="L39" s="100">
        <f>K39*D39</f>
        <v>63909.7744360902</v>
      </c>
      <c r="M39" s="99"/>
      <c r="N39" s="99"/>
      <c r="O39" s="100">
        <f>F39/$O$17</f>
        <v>531250</v>
      </c>
      <c r="P39" s="100">
        <f>O39*D39</f>
        <v>531250</v>
      </c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</row>
    <row r="40" s="25" customFormat="1" ht="13" customHeight="1">
      <c r="A40" s="94">
        <v>18</v>
      </c>
      <c r="B40" t="s" s="95">
        <v>70</v>
      </c>
      <c r="C40" t="s" s="96">
        <v>69</v>
      </c>
      <c r="D40" s="97">
        <v>1</v>
      </c>
      <c r="E40" t="s" s="96">
        <v>51</v>
      </c>
      <c r="F40" s="98">
        <v>348780</v>
      </c>
      <c r="G40" s="98">
        <f>D40*F40</f>
        <v>348780</v>
      </c>
      <c r="H40" s="99">
        <f>G40/$G$87</f>
        <v>0.000475706024816215</v>
      </c>
      <c r="I40" s="99"/>
      <c r="J40" s="99"/>
      <c r="K40" s="100">
        <f>F40/$K$17</f>
        <v>18731.4715359828</v>
      </c>
      <c r="L40" s="100">
        <f>K40*D40</f>
        <v>18731.4715359828</v>
      </c>
      <c r="M40" s="99"/>
      <c r="N40" s="99"/>
      <c r="O40" s="100">
        <f>F40/$O$17</f>
        <v>155705.357142857</v>
      </c>
      <c r="P40" s="100">
        <f>O40*D40</f>
        <v>155705.357142857</v>
      </c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</row>
    <row r="41" s="25" customFormat="1" ht="24" customHeight="1">
      <c r="A41" s="101">
        <v>20</v>
      </c>
      <c r="B41" t="s" s="95">
        <v>71</v>
      </c>
      <c r="C41" t="s" s="96">
        <v>72</v>
      </c>
      <c r="D41" s="97">
        <v>450</v>
      </c>
      <c r="E41" t="s" s="96">
        <v>51</v>
      </c>
      <c r="F41" s="98">
        <v>853.49</v>
      </c>
      <c r="G41" s="98">
        <f>D41*F41</f>
        <v>384070.5</v>
      </c>
      <c r="H41" s="99">
        <f>G41/$G$87</f>
        <v>0.000523839241940983</v>
      </c>
      <c r="I41" s="99"/>
      <c r="J41" s="99"/>
      <c r="K41" s="100">
        <f>F41/$K$17</f>
        <v>45.8372717508056</v>
      </c>
      <c r="L41" s="100">
        <f>K41*D41</f>
        <v>20626.7722878625</v>
      </c>
      <c r="M41" s="99"/>
      <c r="N41" s="99"/>
      <c r="O41" s="100">
        <f>F41/$O$17</f>
        <v>381.022321428571</v>
      </c>
      <c r="P41" s="100">
        <f>O41*D41</f>
        <v>171460.044642857</v>
      </c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</row>
    <row r="42" s="25" customFormat="1" ht="24" customHeight="1">
      <c r="A42" s="94">
        <v>21</v>
      </c>
      <c r="B42" t="s" s="95">
        <v>73</v>
      </c>
      <c r="C42" t="s" s="96">
        <v>50</v>
      </c>
      <c r="D42" s="97">
        <v>100</v>
      </c>
      <c r="E42" t="s" s="96">
        <v>51</v>
      </c>
      <c r="F42" s="98">
        <v>8322.238079999999</v>
      </c>
      <c r="G42" s="98">
        <f>D42*F42</f>
        <v>832223.808</v>
      </c>
      <c r="H42" s="99">
        <f>G42/$G$87</f>
        <v>0.00113508194122683</v>
      </c>
      <c r="I42" s="99"/>
      <c r="J42" s="99"/>
      <c r="K42" s="100">
        <f>F42/$K$17</f>
        <v>446.951561761547</v>
      </c>
      <c r="L42" s="100">
        <f>K42*D42</f>
        <v>44695.1561761547</v>
      </c>
      <c r="M42" s="99"/>
      <c r="N42" s="99"/>
      <c r="O42" s="100">
        <f>F42/$O$17</f>
        <v>3715.284857142860</v>
      </c>
      <c r="P42" s="100">
        <f>O42*D42</f>
        <v>371528.485714286</v>
      </c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</row>
    <row r="43" s="25" customFormat="1" ht="24" customHeight="1">
      <c r="A43" s="94">
        <v>22</v>
      </c>
      <c r="B43" t="s" s="95">
        <v>74</v>
      </c>
      <c r="C43" t="s" s="96">
        <v>72</v>
      </c>
      <c r="D43" s="97">
        <v>338</v>
      </c>
      <c r="E43" t="s" s="96">
        <v>51</v>
      </c>
      <c r="F43" s="98">
        <v>18540.43</v>
      </c>
      <c r="G43" s="98">
        <f>D43*F43</f>
        <v>6266665.34</v>
      </c>
      <c r="H43" s="99">
        <f>G43/$G$87</f>
        <v>0.008547194385414739</v>
      </c>
      <c r="I43" s="99"/>
      <c r="J43" s="99"/>
      <c r="K43" s="100">
        <f>F43/$K$17</f>
        <v>995.726638023631</v>
      </c>
      <c r="L43" s="100">
        <f>K43*D43</f>
        <v>336555.603651987</v>
      </c>
      <c r="M43" s="99"/>
      <c r="N43" s="99"/>
      <c r="O43" s="100">
        <f>F43/$O$17</f>
        <v>8276.977678571429</v>
      </c>
      <c r="P43" s="100">
        <f>O43*D43</f>
        <v>2797618.45535714</v>
      </c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</row>
    <row r="44" s="25" customFormat="1" ht="24" customHeight="1">
      <c r="A44" s="101">
        <v>23</v>
      </c>
      <c r="B44" t="s" s="95">
        <v>75</v>
      </c>
      <c r="C44" t="s" s="96">
        <v>76</v>
      </c>
      <c r="D44" s="97">
        <v>1225</v>
      </c>
      <c r="E44" t="s" s="96">
        <v>51</v>
      </c>
      <c r="F44" s="98">
        <v>18765.32</v>
      </c>
      <c r="G44" s="98">
        <f>D44*F44</f>
        <v>22987517</v>
      </c>
      <c r="H44" s="99">
        <f>G44/$G$87</f>
        <v>0.0313530028455335</v>
      </c>
      <c r="I44" s="99"/>
      <c r="J44" s="99"/>
      <c r="K44" s="100">
        <f>F44/$K$17</f>
        <v>1007.8045112782</v>
      </c>
      <c r="L44" s="100">
        <f>K44*D44</f>
        <v>1234560.5263158</v>
      </c>
      <c r="M44" s="99"/>
      <c r="N44" s="99"/>
      <c r="O44" s="100">
        <f>F44/$O$17</f>
        <v>8377.375</v>
      </c>
      <c r="P44" s="100">
        <f>O44*D44</f>
        <v>10262284.375</v>
      </c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</row>
    <row r="45" s="25" customFormat="1" ht="24" customHeight="1">
      <c r="A45" s="101">
        <v>28</v>
      </c>
      <c r="B45" t="s" s="95">
        <v>77</v>
      </c>
      <c r="C45" t="s" s="96">
        <v>50</v>
      </c>
      <c r="D45" s="97">
        <f>D22</f>
        <v>11787.58</v>
      </c>
      <c r="E45" t="s" s="96">
        <v>51</v>
      </c>
      <c r="F45" s="98">
        <v>2301.55</v>
      </c>
      <c r="G45" s="98">
        <f>F45*D45</f>
        <v>27129704.749</v>
      </c>
      <c r="H45" s="99">
        <f>G45/$G$87</f>
        <v>0.0370025918934124</v>
      </c>
      <c r="I45" s="99"/>
      <c r="J45" s="99"/>
      <c r="K45" s="100">
        <f>F45/$K$17</f>
        <v>123.606337271751</v>
      </c>
      <c r="L45" s="100">
        <f>K45*D45</f>
        <v>1457019.58909775</v>
      </c>
      <c r="M45" s="99"/>
      <c r="N45" s="99"/>
      <c r="O45" s="100">
        <f>F45/$O$17</f>
        <v>1027.477678571430</v>
      </c>
      <c r="P45" s="100">
        <f>O45*D45</f>
        <v>12111475.334375</v>
      </c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</row>
    <row r="46" s="25" customFormat="1" ht="13" customHeight="1">
      <c r="A46" s="101">
        <v>29</v>
      </c>
      <c r="B46" t="s" s="95">
        <v>78</v>
      </c>
      <c r="C46" t="s" s="96">
        <v>50</v>
      </c>
      <c r="D46" s="97">
        <v>11787.58</v>
      </c>
      <c r="E46" t="s" s="96">
        <v>51</v>
      </c>
      <c r="F46" s="98">
        <v>1927.24</v>
      </c>
      <c r="G46" s="98">
        <f>F46*D46</f>
        <v>22717495.6792</v>
      </c>
      <c r="H46" s="99">
        <f>G46/$G$87</f>
        <v>0.0309847169084574</v>
      </c>
      <c r="I46" s="99"/>
      <c r="J46" s="99"/>
      <c r="K46" s="100">
        <f>F46/$K$17</f>
        <v>103.503759398496</v>
      </c>
      <c r="L46" s="100">
        <f>K46*D46</f>
        <v>1220058.84421052</v>
      </c>
      <c r="M46" s="99"/>
      <c r="N46" s="99"/>
      <c r="O46" s="100">
        <f>F46/$O$17</f>
        <v>860.375</v>
      </c>
      <c r="P46" s="100">
        <f>O46*D46</f>
        <v>10141739.1425</v>
      </c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</row>
    <row r="47" s="25" customFormat="1" ht="24" customHeight="1">
      <c r="A47" s="101">
        <v>30</v>
      </c>
      <c r="B47" t="s" s="95">
        <v>79</v>
      </c>
      <c r="C47" t="s" s="96">
        <v>50</v>
      </c>
      <c r="D47" s="97">
        <f>D25+D26+D27+D28+D42+100</f>
        <v>1544.5</v>
      </c>
      <c r="E47" t="s" s="96">
        <v>51</v>
      </c>
      <c r="F47" s="98">
        <v>1081.163256546</v>
      </c>
      <c r="G47" s="98">
        <f>D47*F47</f>
        <v>1669856.6497353</v>
      </c>
      <c r="H47" s="99">
        <f>G47/$G$87</f>
        <v>0.00227754134084094</v>
      </c>
      <c r="I47" s="99"/>
      <c r="J47" s="99"/>
      <c r="K47" s="100">
        <f>F47/$K$17</f>
        <v>58.0646217264232</v>
      </c>
      <c r="L47" s="100">
        <f>K47*D47</f>
        <v>89680.8082564606</v>
      </c>
      <c r="M47" s="99"/>
      <c r="N47" s="99"/>
      <c r="O47" s="100">
        <f>F47/$O$17</f>
        <v>482.662168100893</v>
      </c>
      <c r="P47" s="100">
        <f>O47*D47</f>
        <v>745471.718631829</v>
      </c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</row>
    <row r="48" s="25" customFormat="1" ht="13" customHeight="1">
      <c r="A48" s="101">
        <v>31</v>
      </c>
      <c r="B48" t="s" s="102">
        <v>80</v>
      </c>
      <c r="C48" t="s" s="96">
        <v>50</v>
      </c>
      <c r="D48" s="97">
        <f>D47</f>
        <v>1544.5</v>
      </c>
      <c r="E48" t="s" s="96">
        <v>51</v>
      </c>
      <c r="F48" s="103">
        <v>1729.8612104736</v>
      </c>
      <c r="G48" s="103">
        <f>D48*F48</f>
        <v>2671770.63957648</v>
      </c>
      <c r="H48" s="99">
        <f>G48/$G$87</f>
        <v>0.0036440661453455</v>
      </c>
      <c r="I48" s="99"/>
      <c r="J48" s="99"/>
      <c r="K48" s="100">
        <f>F48/$K$17</f>
        <v>92.9033947622771</v>
      </c>
      <c r="L48" s="100">
        <f>K48*D48</f>
        <v>143489.293210337</v>
      </c>
      <c r="M48" s="99"/>
      <c r="N48" s="99"/>
      <c r="O48" s="100">
        <f>F48/$O$17</f>
        <v>772.259468961429</v>
      </c>
      <c r="P48" s="100">
        <f>O48*D48</f>
        <v>1192754.74981093</v>
      </c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</row>
    <row r="49" s="25" customFormat="1" ht="13" customHeight="1">
      <c r="A49" s="101">
        <v>32</v>
      </c>
      <c r="B49" t="s" s="95">
        <v>81</v>
      </c>
      <c r="C49" t="s" s="96">
        <v>50</v>
      </c>
      <c r="D49" s="97">
        <f>D48</f>
        <v>1544.5</v>
      </c>
      <c r="E49" t="s" s="96">
        <v>51</v>
      </c>
      <c r="F49" s="98">
        <v>1265.3</v>
      </c>
      <c r="G49" s="103">
        <f>D49*F49</f>
        <v>1954255.85</v>
      </c>
      <c r="H49" s="99">
        <f>G49/$G$87</f>
        <v>0.00266543747312728</v>
      </c>
      <c r="I49" s="99"/>
      <c r="J49" s="99"/>
      <c r="K49" s="100">
        <f>F49/$K$17</f>
        <v>67.953813104189</v>
      </c>
      <c r="L49" s="100">
        <f>K49*D49</f>
        <v>104954.66433942</v>
      </c>
      <c r="M49" s="99"/>
      <c r="N49" s="99"/>
      <c r="O49" s="100">
        <f>F49/$O$17</f>
        <v>564.866071428571</v>
      </c>
      <c r="P49" s="100">
        <f>O49*D49</f>
        <v>872435.6473214281</v>
      </c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</row>
    <row r="50" s="25" customFormat="1" ht="14" customHeight="1">
      <c r="A50" s="101">
        <v>33</v>
      </c>
      <c r="B50" t="s" s="95">
        <v>82</v>
      </c>
      <c r="C50" t="s" s="96">
        <v>50</v>
      </c>
      <c r="D50" s="97">
        <f>D49</f>
        <v>1544.5</v>
      </c>
      <c r="E50" t="s" s="96">
        <v>51</v>
      </c>
      <c r="F50" s="98">
        <v>1470.95</v>
      </c>
      <c r="G50" s="104">
        <f>D50*F50</f>
        <v>2271882.275</v>
      </c>
      <c r="H50" s="99">
        <f>G50/$G$87</f>
        <v>0.00309865269192806</v>
      </c>
      <c r="I50" s="99"/>
      <c r="J50" s="99"/>
      <c r="K50" s="100">
        <f>F50/$K$17</f>
        <v>78.9983888292159</v>
      </c>
      <c r="L50" s="105">
        <f>K50*D50</f>
        <v>122013.011546724</v>
      </c>
      <c r="M50" s="99"/>
      <c r="N50" s="99"/>
      <c r="O50" s="100">
        <f>F50/$O$17</f>
        <v>656.674107142857</v>
      </c>
      <c r="P50" s="105">
        <f>O50*D50</f>
        <v>1014233.15848214</v>
      </c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</row>
    <row r="51" s="25" customFormat="1" ht="14" customHeight="1">
      <c r="B51" s="90"/>
      <c r="C51" s="106"/>
      <c r="D51" s="107"/>
      <c r="E51" s="108"/>
      <c r="F51" s="109"/>
      <c r="G51" s="110">
        <f>SUM(G22:G50)</f>
        <v>249317283.539731</v>
      </c>
      <c r="H51" s="99">
        <f>G51/$G$87</f>
        <v>0.340047404870298</v>
      </c>
      <c r="I51" s="99"/>
      <c r="J51" s="99"/>
      <c r="K51" s="100"/>
      <c r="L51" s="111">
        <f>SUM(L22:L50)</f>
        <v>13389757.4403722</v>
      </c>
      <c r="M51" s="99"/>
      <c r="N51" s="99"/>
      <c r="O51" s="100"/>
      <c r="P51" s="111">
        <f>SUM(P22:P50)</f>
        <v>111302358.723094</v>
      </c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</row>
    <row r="52" s="25" customFormat="1" ht="13" customHeight="1">
      <c r="B52" s="90"/>
      <c r="C52" s="106"/>
      <c r="D52" s="107"/>
      <c r="E52" s="108"/>
      <c r="F52" s="109"/>
      <c r="G52" s="88"/>
      <c r="H52" s="112"/>
      <c r="I52" s="112"/>
      <c r="J52" s="112"/>
      <c r="K52" s="100"/>
      <c r="L52" s="112"/>
      <c r="M52" s="112"/>
      <c r="N52" s="112"/>
      <c r="O52" s="100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</row>
    <row r="53" s="25" customFormat="1" ht="24" customHeight="1">
      <c r="A53" s="101">
        <v>33</v>
      </c>
      <c r="B53" t="s" s="102">
        <v>83</v>
      </c>
      <c r="C53" t="s" s="113">
        <v>69</v>
      </c>
      <c r="D53" s="114">
        <v>0.68</v>
      </c>
      <c r="E53" t="s" s="113">
        <v>51</v>
      </c>
      <c r="F53" s="103">
        <v>42532568.5448266</v>
      </c>
      <c r="G53" s="103">
        <f>D53*F53</f>
        <v>28922146.6104821</v>
      </c>
      <c r="H53" s="99">
        <f>G53/$G$87</f>
        <v>0.0394473289558582</v>
      </c>
      <c r="I53" s="99"/>
      <c r="J53" s="99"/>
      <c r="K53" s="115">
        <f>F53/$K$17</f>
        <v>2284241.06040959</v>
      </c>
      <c r="L53" s="115">
        <f>D53*K53</f>
        <v>1553283.92107852</v>
      </c>
      <c r="M53" s="99"/>
      <c r="N53" s="99"/>
      <c r="O53" s="100">
        <f>F53/$O$17</f>
        <v>18987753.8146547</v>
      </c>
      <c r="P53" s="100">
        <f>O53*D53</f>
        <v>12911672.5939652</v>
      </c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</row>
    <row r="54" s="25" customFormat="1" ht="24" customHeight="1">
      <c r="A54" s="116">
        <v>34</v>
      </c>
      <c r="B54" t="s" s="117">
        <v>84</v>
      </c>
      <c r="C54" t="s" s="118">
        <v>69</v>
      </c>
      <c r="D54" s="119">
        <v>0.05</v>
      </c>
      <c r="E54" t="s" s="118">
        <v>51</v>
      </c>
      <c r="F54" s="120">
        <f>G51</f>
        <v>249317283.539731</v>
      </c>
      <c r="G54" s="120">
        <f>D54*F54</f>
        <v>12465864.1769866</v>
      </c>
      <c r="H54" s="121">
        <f>G54/$G$87</f>
        <v>0.017002370243515</v>
      </c>
      <c r="I54" s="99"/>
      <c r="J54" s="99"/>
      <c r="K54" s="115">
        <f>F54/$K$17</f>
        <v>13389757.4403722</v>
      </c>
      <c r="L54" s="115">
        <f>D54*K54</f>
        <v>669487.87201861</v>
      </c>
      <c r="M54" s="99"/>
      <c r="N54" s="99"/>
      <c r="O54" s="100">
        <f>F54/$O$17</f>
        <v>111302358.723094</v>
      </c>
      <c r="P54" s="100">
        <f>O54*D54</f>
        <v>5565117.9361547</v>
      </c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</row>
    <row r="55" s="25" customFormat="1" ht="24" customHeight="1">
      <c r="A55" s="116">
        <v>35</v>
      </c>
      <c r="B55" t="s" s="117">
        <v>85</v>
      </c>
      <c r="C55" t="s" s="118">
        <v>69</v>
      </c>
      <c r="D55" s="119">
        <v>0.04</v>
      </c>
      <c r="E55" t="s" s="118">
        <v>51</v>
      </c>
      <c r="F55" s="120">
        <f>G51</f>
        <v>249317283.539731</v>
      </c>
      <c r="G55" s="120">
        <f>D55*F55</f>
        <v>9972691.34158924</v>
      </c>
      <c r="H55" s="121">
        <f>G55/$G$87</f>
        <v>0.0136018961948119</v>
      </c>
      <c r="I55" s="99"/>
      <c r="J55" s="99"/>
      <c r="K55" s="115">
        <f>F55/$K$17</f>
        <v>13389757.4403722</v>
      </c>
      <c r="L55" s="115">
        <f>D55*K55</f>
        <v>535590.2976148881</v>
      </c>
      <c r="M55" s="99"/>
      <c r="N55" s="99"/>
      <c r="O55" s="100">
        <f>F55/$O$17</f>
        <v>111302358.723094</v>
      </c>
      <c r="P55" s="100">
        <f>O55*D55</f>
        <v>4452094.34892376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</row>
    <row r="56" s="25" customFormat="1" ht="24" customHeight="1">
      <c r="A56" s="101">
        <v>36</v>
      </c>
      <c r="B56" t="s" s="102">
        <v>86</v>
      </c>
      <c r="C56" t="s" s="113">
        <v>69</v>
      </c>
      <c r="D56" s="114">
        <v>0.05</v>
      </c>
      <c r="E56" t="s" s="113">
        <v>51</v>
      </c>
      <c r="F56" s="103">
        <f>G51</f>
        <v>249317283.539731</v>
      </c>
      <c r="G56" s="103">
        <f>D56*F56</f>
        <v>12465864.1769866</v>
      </c>
      <c r="H56" s="99">
        <f>G56/$G$87</f>
        <v>0.017002370243515</v>
      </c>
      <c r="I56" s="99"/>
      <c r="J56" s="99"/>
      <c r="K56" s="115">
        <f>F56/$K$17</f>
        <v>13389757.4403722</v>
      </c>
      <c r="L56" s="115">
        <f>D56*K56</f>
        <v>669487.87201861</v>
      </c>
      <c r="M56" s="99"/>
      <c r="N56" s="99"/>
      <c r="O56" s="100">
        <f>F56/$O$17</f>
        <v>111302358.723094</v>
      </c>
      <c r="P56" s="100">
        <f>O56*D56</f>
        <v>5565117.9361547</v>
      </c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</row>
    <row r="57" s="25" customFormat="1" ht="48" customHeight="1">
      <c r="A57" s="101">
        <v>37</v>
      </c>
      <c r="B57" t="s" s="102">
        <v>87</v>
      </c>
      <c r="C57" t="s" s="113">
        <v>69</v>
      </c>
      <c r="D57" s="114">
        <v>0.76824</v>
      </c>
      <c r="E57" t="s" s="113">
        <v>51</v>
      </c>
      <c r="F57" s="103">
        <f>G51</f>
        <v>249317283.539731</v>
      </c>
      <c r="G57" s="103">
        <f>D57*F57</f>
        <v>191535509.906563</v>
      </c>
      <c r="H57" s="99">
        <f>G57/$G$87</f>
        <v>0.261238018317558</v>
      </c>
      <c r="I57" s="99"/>
      <c r="J57" s="99"/>
      <c r="K57" s="115">
        <f>F57/$K$17</f>
        <v>13389757.4403722</v>
      </c>
      <c r="L57" s="115">
        <f>D57*K57</f>
        <v>10286547.2559915</v>
      </c>
      <c r="M57" s="99"/>
      <c r="N57" s="99"/>
      <c r="O57" s="115">
        <f>F57/$O$17</f>
        <v>111302358.723094</v>
      </c>
      <c r="P57" s="115">
        <f>O57*D57</f>
        <v>85506924.0654297</v>
      </c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</row>
    <row r="58" s="25" customFormat="1" ht="14" customHeight="1">
      <c r="A58" s="101"/>
      <c r="B58" s="90"/>
      <c r="C58" s="106"/>
      <c r="D58" s="114"/>
      <c r="E58" s="108"/>
      <c r="F58" s="103"/>
      <c r="G58" s="122"/>
      <c r="H58" s="112"/>
      <c r="I58" s="112"/>
      <c r="J58" s="112"/>
      <c r="K58" s="100"/>
      <c r="L58" s="123"/>
      <c r="M58" s="112"/>
      <c r="N58" s="112"/>
      <c r="O58" s="100"/>
      <c r="P58" s="123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</row>
    <row r="59" s="25" customFormat="1" ht="23.25" customHeight="1">
      <c r="A59" s="124"/>
      <c r="B59" t="s" s="125">
        <v>88</v>
      </c>
      <c r="C59" s="126"/>
      <c r="D59" s="126"/>
      <c r="E59" s="126"/>
      <c r="F59" s="126"/>
      <c r="G59" s="110">
        <f>SUM(G51:G57)</f>
        <v>504679359.752339</v>
      </c>
      <c r="H59" s="99">
        <f>G59/$G$87</f>
        <v>0.688339388825557</v>
      </c>
      <c r="I59" s="99"/>
      <c r="J59" s="99"/>
      <c r="K59" s="100"/>
      <c r="L59" s="111">
        <f>SUM(L51:L58)</f>
        <v>27104154.6590943</v>
      </c>
      <c r="M59" s="99"/>
      <c r="N59" s="99"/>
      <c r="O59" s="100"/>
      <c r="P59" s="111">
        <f>SUM(P51:P58)</f>
        <v>225303285.603722</v>
      </c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="25" customFormat="1" ht="13" customHeight="1">
      <c r="A60" t="s" s="91">
        <v>89</v>
      </c>
      <c r="B60" s="90"/>
      <c r="C60" s="106"/>
      <c r="D60" s="107"/>
      <c r="E60" s="108"/>
      <c r="F60" s="109"/>
      <c r="G60" s="107"/>
      <c r="H60" s="112"/>
      <c r="I60" s="112"/>
      <c r="J60" s="112"/>
      <c r="K60" s="100"/>
      <c r="L60" s="112"/>
      <c r="M60" s="112"/>
      <c r="N60" s="112"/>
      <c r="O60" s="100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</row>
    <row r="61" s="25" customFormat="1" ht="24" customHeight="1">
      <c r="A61" s="101">
        <v>1</v>
      </c>
      <c r="B61" t="s" s="102">
        <v>90</v>
      </c>
      <c r="C61" t="s" s="96">
        <v>50</v>
      </c>
      <c r="D61" s="97">
        <v>4472.96</v>
      </c>
      <c r="E61" t="s" s="96">
        <v>51</v>
      </c>
      <c r="F61" s="103">
        <v>16644.47616</v>
      </c>
      <c r="G61" s="103">
        <f>D61*F61</f>
        <v>74450076.0846336</v>
      </c>
      <c r="H61" s="99">
        <f>G61/$G$87</f>
        <v>0.101543522396599</v>
      </c>
      <c r="I61" s="99"/>
      <c r="J61" s="99"/>
      <c r="K61" s="100">
        <f>F61/$K$17</f>
        <v>893.903123523093</v>
      </c>
      <c r="L61" s="115">
        <f>D61*K61</f>
        <v>3998392.91539385</v>
      </c>
      <c r="M61" s="99"/>
      <c r="N61" s="99"/>
      <c r="O61" s="115">
        <f>F61/$O$17</f>
        <v>7430.569714285710</v>
      </c>
      <c r="P61" s="115">
        <f>O61*D61</f>
        <v>33236641.1092114</v>
      </c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</row>
    <row r="62" s="25" customFormat="1" ht="24" customHeight="1">
      <c r="A62" s="101">
        <v>2</v>
      </c>
      <c r="B62" t="s" s="102">
        <v>91</v>
      </c>
      <c r="C62" t="s" s="96">
        <v>50</v>
      </c>
      <c r="D62" s="97">
        <f t="shared" si="229" ref="D62:D63">780.86/2</f>
        <v>390.43</v>
      </c>
      <c r="E62" t="s" s="96">
        <v>51</v>
      </c>
      <c r="F62" s="103">
        <v>16644.47616</v>
      </c>
      <c r="G62" s="103">
        <f>D62*F62</f>
        <v>6498502.8271488</v>
      </c>
      <c r="H62" s="99">
        <f>G62/$G$87</f>
        <v>0.008863400846263809</v>
      </c>
      <c r="I62" s="99"/>
      <c r="J62" s="99"/>
      <c r="K62" s="100">
        <f>F62/$K$17</f>
        <v>893.903123523093</v>
      </c>
      <c r="L62" s="115">
        <f>D62*K62</f>
        <v>349006.596517121</v>
      </c>
      <c r="M62" s="99"/>
      <c r="N62" s="99"/>
      <c r="O62" s="115">
        <f>F62/$O$17</f>
        <v>7430.569714285710</v>
      </c>
      <c r="P62" s="115">
        <f>O62*D62</f>
        <v>2901117.33354857</v>
      </c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</row>
    <row r="63" s="25" customFormat="1" ht="24" customHeight="1">
      <c r="A63" s="101">
        <v>3</v>
      </c>
      <c r="B63" t="s" s="102">
        <v>92</v>
      </c>
      <c r="C63" t="s" s="96">
        <v>50</v>
      </c>
      <c r="D63" s="97">
        <f t="shared" si="229"/>
        <v>390.43</v>
      </c>
      <c r="E63" t="s" s="96">
        <v>51</v>
      </c>
      <c r="F63" s="103">
        <v>16644.47616</v>
      </c>
      <c r="G63" s="103">
        <f>D63*F63</f>
        <v>6498502.8271488</v>
      </c>
      <c r="H63" s="99">
        <f>G63/$G$87</f>
        <v>0.008863400846263809</v>
      </c>
      <c r="I63" s="99"/>
      <c r="J63" s="99"/>
      <c r="K63" s="100">
        <f>F63/$K$17</f>
        <v>893.903123523093</v>
      </c>
      <c r="L63" s="115">
        <f>D63*K63</f>
        <v>349006.596517121</v>
      </c>
      <c r="M63" s="99"/>
      <c r="N63" s="99"/>
      <c r="O63" s="115">
        <f>F63/$O$17</f>
        <v>7430.569714285710</v>
      </c>
      <c r="P63" s="115">
        <f>O63*D63</f>
        <v>2901117.33354857</v>
      </c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</row>
    <row r="64" s="25" customFormat="1" ht="13" customHeight="1">
      <c r="A64" s="101">
        <v>4</v>
      </c>
      <c r="B64" t="s" s="102">
        <v>93</v>
      </c>
      <c r="C64" t="s" s="96">
        <v>50</v>
      </c>
      <c r="D64" s="97">
        <v>877.6</v>
      </c>
      <c r="E64" t="s" s="96">
        <v>51</v>
      </c>
      <c r="F64" s="103">
        <v>16644.47616</v>
      </c>
      <c r="G64" s="103">
        <f>D64*F64</f>
        <v>14607192.278016</v>
      </c>
      <c r="H64" s="99">
        <f>G64/$G$87</f>
        <v>0.0199229582324133</v>
      </c>
      <c r="I64" s="99"/>
      <c r="J64" s="99"/>
      <c r="K64" s="100">
        <f>F64/$K$17</f>
        <v>893.903123523093</v>
      </c>
      <c r="L64" s="115">
        <f>D64*K64</f>
        <v>784489.381203866</v>
      </c>
      <c r="M64" s="99"/>
      <c r="N64" s="99"/>
      <c r="O64" s="115">
        <f>F64/$O$17</f>
        <v>7430.569714285710</v>
      </c>
      <c r="P64" s="115">
        <f>O64*D64</f>
        <v>6521067.98125714</v>
      </c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</row>
    <row r="65" s="25" customFormat="1" ht="13" customHeight="1">
      <c r="A65" s="101">
        <v>5</v>
      </c>
      <c r="B65" t="s" s="102">
        <v>94</v>
      </c>
      <c r="C65" t="s" s="96">
        <v>50</v>
      </c>
      <c r="D65" s="97">
        <v>1381.39</v>
      </c>
      <c r="E65" t="s" s="96">
        <v>51</v>
      </c>
      <c r="F65" s="103">
        <v>954.954</v>
      </c>
      <c r="G65" s="103">
        <f>D65*F65</f>
        <v>1319163.90606</v>
      </c>
      <c r="H65" s="99">
        <f>G65/$G$87</f>
        <v>0.00179922649759973</v>
      </c>
      <c r="I65" s="99"/>
      <c r="J65" s="99"/>
      <c r="K65" s="100">
        <f>F65/$K$17</f>
        <v>51.2864661654135</v>
      </c>
      <c r="L65" s="115">
        <f>D65*K65</f>
        <v>70846.6114962406</v>
      </c>
      <c r="M65" s="99"/>
      <c r="N65" s="99"/>
      <c r="O65" s="115">
        <f>F65/$O$17</f>
        <v>426.31875</v>
      </c>
      <c r="P65" s="115">
        <f>O65*D65</f>
        <v>588912.4580625</v>
      </c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</row>
    <row r="66" s="25" customFormat="1" ht="24" customHeight="1">
      <c r="A66" s="101">
        <v>6</v>
      </c>
      <c r="B66" t="s" s="95">
        <v>79</v>
      </c>
      <c r="C66" t="s" s="96">
        <v>50</v>
      </c>
      <c r="D66" s="97">
        <f>SUM(D59:D63)</f>
        <v>5253.82</v>
      </c>
      <c r="E66" t="s" s="96">
        <v>51</v>
      </c>
      <c r="F66" s="98">
        <v>1081.163256546</v>
      </c>
      <c r="G66" s="98">
        <f>D66*F66</f>
        <v>5680237.14050651</v>
      </c>
      <c r="H66" s="99">
        <f>G66/$G$87</f>
        <v>0.00774735658616829</v>
      </c>
      <c r="I66" s="99"/>
      <c r="J66" s="99"/>
      <c r="K66" s="100">
        <f>F66/$K$17</f>
        <v>58.0646217264232</v>
      </c>
      <c r="L66" s="115">
        <f>D66*K66</f>
        <v>305061.070918717</v>
      </c>
      <c r="M66" s="99"/>
      <c r="N66" s="99"/>
      <c r="O66" s="115">
        <f>F66/$O$17</f>
        <v>482.662168100893</v>
      </c>
      <c r="P66" s="115">
        <f>O66*D66</f>
        <v>2535820.15201183</v>
      </c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</row>
    <row r="67" s="25" customFormat="1" ht="13" customHeight="1">
      <c r="A67" s="101">
        <v>7</v>
      </c>
      <c r="B67" t="s" s="102">
        <v>80</v>
      </c>
      <c r="C67" t="s" s="113">
        <v>50</v>
      </c>
      <c r="D67" s="109">
        <f>D66</f>
        <v>5253.82</v>
      </c>
      <c r="E67" t="s" s="96">
        <v>51</v>
      </c>
      <c r="F67" s="103">
        <v>1729.8612104736</v>
      </c>
      <c r="G67" s="103">
        <f>D67*F67</f>
        <v>9088379.42481041</v>
      </c>
      <c r="H67" s="99">
        <f>G67/$G$87</f>
        <v>0.0123957705378693</v>
      </c>
      <c r="I67" s="99"/>
      <c r="J67" s="99"/>
      <c r="K67" s="100">
        <f>F67/$K$17</f>
        <v>92.9033947622771</v>
      </c>
      <c r="L67" s="115">
        <f>D67*K67</f>
        <v>488097.713469947</v>
      </c>
      <c r="M67" s="99"/>
      <c r="N67" s="99"/>
      <c r="O67" s="115">
        <f>F67/$O$17</f>
        <v>772.259468961429</v>
      </c>
      <c r="P67" s="115">
        <f>O67*D67</f>
        <v>4057312.24321893</v>
      </c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</row>
    <row r="68" s="25" customFormat="1" ht="13" customHeight="1">
      <c r="A68" s="101">
        <v>8</v>
      </c>
      <c r="B68" t="s" s="102">
        <v>95</v>
      </c>
      <c r="C68" t="s" s="113">
        <v>50</v>
      </c>
      <c r="D68" s="109">
        <f>D67</f>
        <v>5253.82</v>
      </c>
      <c r="E68" t="s" s="96">
        <v>51</v>
      </c>
      <c r="F68" s="98">
        <v>1265.3</v>
      </c>
      <c r="G68" s="103">
        <f>D68*F68</f>
        <v>6647658.446</v>
      </c>
      <c r="H68" s="99">
        <f>G68/$G$87</f>
        <v>0.0090668363257142</v>
      </c>
      <c r="I68" s="99"/>
      <c r="K68" s="100">
        <f>F68/$K$17</f>
        <v>67.953813104189</v>
      </c>
      <c r="L68" s="115">
        <f>D68*K68</f>
        <v>357017.10236305</v>
      </c>
      <c r="O68" s="115">
        <f>F68/$O$17</f>
        <v>564.866071428571</v>
      </c>
      <c r="P68" s="115">
        <f>O68*D68</f>
        <v>2967704.66339285</v>
      </c>
      <c r="U68" s="99"/>
      <c r="V68" s="99"/>
      <c r="W68" s="99"/>
      <c r="X68" s="99"/>
      <c r="Y68" s="99"/>
      <c r="AA68" t="s" s="127">
        <v>96</v>
      </c>
      <c r="AB68" t="s" s="128">
        <v>97</v>
      </c>
      <c r="AC68" s="99"/>
      <c r="AD68" s="99"/>
      <c r="AE68" s="99"/>
      <c r="AF68" s="99"/>
      <c r="AG68" s="99"/>
      <c r="AH68" s="99"/>
      <c r="AI68" s="99"/>
    </row>
    <row r="69" s="25" customFormat="1" ht="14" customHeight="1">
      <c r="A69" s="101">
        <v>9</v>
      </c>
      <c r="B69" t="s" s="95">
        <v>82</v>
      </c>
      <c r="C69" t="s" s="96">
        <v>50</v>
      </c>
      <c r="D69" s="97">
        <f>D68</f>
        <v>5253.82</v>
      </c>
      <c r="E69" t="s" s="96">
        <v>51</v>
      </c>
      <c r="F69" s="98">
        <v>1470.95</v>
      </c>
      <c r="G69" s="122">
        <f>D69*F69</f>
        <v>7728106.529</v>
      </c>
      <c r="H69" s="99">
        <f>G69/$G$87</f>
        <v>0.0105404749018488</v>
      </c>
      <c r="I69" s="99"/>
      <c r="K69" s="100">
        <f>F69/$K$17</f>
        <v>78.9983888292159</v>
      </c>
      <c r="L69" s="129">
        <f>D69*K69</f>
        <v>415043.315198711</v>
      </c>
      <c r="O69" s="115">
        <f>F69/$O$17</f>
        <v>656.674107142857</v>
      </c>
      <c r="P69" s="129">
        <f>O69*D69</f>
        <v>3450047.55758928</v>
      </c>
      <c r="U69" s="99"/>
      <c r="V69" s="99"/>
      <c r="W69" s="99"/>
      <c r="X69" s="99"/>
      <c r="Y69" s="99"/>
      <c r="Z69" t="s" s="127">
        <v>98</v>
      </c>
      <c r="AA69" s="130">
        <v>24146</v>
      </c>
      <c r="AB69" s="130">
        <v>289754</v>
      </c>
      <c r="AC69" s="99"/>
      <c r="AD69" s="97">
        <v>11787.58</v>
      </c>
      <c r="AE69" s="97">
        <f>AA69/AD69</f>
        <v>2.04842724291161</v>
      </c>
      <c r="AF69" s="97">
        <f>AB69/AD69</f>
        <v>24.5812965850497</v>
      </c>
      <c r="AG69" s="99"/>
      <c r="AH69" s="99"/>
      <c r="AI69" s="99"/>
    </row>
    <row r="70" s="25" customFormat="1" ht="14" customHeight="1">
      <c r="A70" s="101"/>
      <c r="B70" s="131"/>
      <c r="C70" s="106"/>
      <c r="D70" s="109"/>
      <c r="E70" s="108"/>
      <c r="F70" s="98"/>
      <c r="G70" s="110">
        <f>SUM(G61:G69)</f>
        <v>132517819.463324</v>
      </c>
      <c r="H70" s="99">
        <f>G70/$G$87</f>
        <v>0.18074294717074</v>
      </c>
      <c r="I70" s="99"/>
      <c r="K70" s="100"/>
      <c r="L70" s="111">
        <f>SUM(L61:L69)</f>
        <v>7116961.30307862</v>
      </c>
      <c r="O70" s="115">
        <f>F70/$O$17</f>
        <v>0</v>
      </c>
      <c r="P70" s="132">
        <f>SUM(P61:P69)</f>
        <v>59159740.8318411</v>
      </c>
      <c r="U70" s="99"/>
      <c r="V70" s="99"/>
      <c r="W70" s="99"/>
      <c r="X70" s="99"/>
      <c r="Y70" t="s" s="127">
        <v>99</v>
      </c>
      <c r="Z70" s="133"/>
      <c r="AA70" s="130">
        <v>5723</v>
      </c>
      <c r="AB70" s="130">
        <v>68678</v>
      </c>
      <c r="AC70" s="99"/>
      <c r="AD70" s="97">
        <v>1896</v>
      </c>
      <c r="AE70" s="97">
        <f>AA70/AD70</f>
        <v>3.01845991561181</v>
      </c>
      <c r="AF70" s="97">
        <f>AB70/AD70</f>
        <v>36.2225738396624</v>
      </c>
      <c r="AG70" s="99"/>
      <c r="AH70" s="99"/>
      <c r="AI70" s="99"/>
    </row>
    <row r="71" s="25" customFormat="1" ht="13" customHeight="1">
      <c r="A71" s="101"/>
      <c r="B71" s="90"/>
      <c r="C71" s="106"/>
      <c r="D71" s="109"/>
      <c r="E71" s="108"/>
      <c r="F71" s="103"/>
      <c r="G71" s="88"/>
      <c r="H71" s="112"/>
      <c r="I71" s="112"/>
      <c r="J71" s="112"/>
      <c r="K71" s="100"/>
      <c r="L71" s="112"/>
      <c r="M71" s="112"/>
      <c r="N71" s="112"/>
      <c r="O71" s="115">
        <f>F71/$O$17</f>
        <v>0</v>
      </c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</row>
    <row r="72" s="25" customFormat="1" ht="24" customHeight="1">
      <c r="A72" s="101">
        <v>6</v>
      </c>
      <c r="B72" t="s" s="102">
        <v>83</v>
      </c>
      <c r="C72" t="s" s="113">
        <v>69</v>
      </c>
      <c r="D72" s="114">
        <v>0.32</v>
      </c>
      <c r="E72" t="s" s="113">
        <v>51</v>
      </c>
      <c r="F72" s="103">
        <v>42532568.5448266</v>
      </c>
      <c r="G72" s="103">
        <f>D72*F72</f>
        <v>13610421.9343445</v>
      </c>
      <c r="H72" s="99">
        <f>G72/$G$87</f>
        <v>0.0185634489204038</v>
      </c>
      <c r="I72" s="99"/>
      <c r="J72" s="99"/>
      <c r="K72" s="115">
        <f>F72/$K$17</f>
        <v>2284241.06040959</v>
      </c>
      <c r="L72" s="115">
        <f>D72*K72</f>
        <v>730957.139331069</v>
      </c>
      <c r="M72" s="99"/>
      <c r="N72" s="99"/>
      <c r="O72" s="115">
        <f>F72/$O$17</f>
        <v>18987753.8146547</v>
      </c>
      <c r="P72" s="115">
        <f>O72*D72</f>
        <v>6076081.2206895</v>
      </c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</row>
    <row r="73" s="25" customFormat="1" ht="24" customHeight="1">
      <c r="A73" s="116">
        <v>7</v>
      </c>
      <c r="B73" t="s" s="117">
        <v>84</v>
      </c>
      <c r="C73" t="s" s="118">
        <v>69</v>
      </c>
      <c r="D73" s="134">
        <v>0.05</v>
      </c>
      <c r="E73" t="s" s="118">
        <v>51</v>
      </c>
      <c r="F73" s="120">
        <f>G70</f>
        <v>132517819.463324</v>
      </c>
      <c r="G73" s="120">
        <f>D73*F73</f>
        <v>6625890.9731662</v>
      </c>
      <c r="H73" s="121">
        <f>G73/$G$87</f>
        <v>0.009037147358536999</v>
      </c>
      <c r="I73" s="99"/>
      <c r="J73" s="99"/>
      <c r="K73" s="115">
        <f>F73/$K$17</f>
        <v>7116961.30307863</v>
      </c>
      <c r="L73" s="115">
        <f>D73*K73</f>
        <v>355848.065153932</v>
      </c>
      <c r="M73" s="99"/>
      <c r="N73" s="99"/>
      <c r="O73" s="115">
        <f>F73/$O$17</f>
        <v>59159740.8318411</v>
      </c>
      <c r="P73" s="115">
        <f>O73*D73</f>
        <v>2957987.04159206</v>
      </c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</row>
    <row r="74" s="25" customFormat="1" ht="24" customHeight="1">
      <c r="A74" s="116">
        <v>8</v>
      </c>
      <c r="B74" t="s" s="117">
        <v>85</v>
      </c>
      <c r="C74" t="s" s="118">
        <v>69</v>
      </c>
      <c r="D74" s="134">
        <v>0.04</v>
      </c>
      <c r="E74" t="s" s="118">
        <v>51</v>
      </c>
      <c r="F74" s="120">
        <f>G70</f>
        <v>132517819.463324</v>
      </c>
      <c r="G74" s="120">
        <f>D74*F74</f>
        <v>5300712.77853296</v>
      </c>
      <c r="H74" s="121">
        <f>G74/$G$87</f>
        <v>0.0072297178868296</v>
      </c>
      <c r="I74" s="99"/>
      <c r="J74" s="99"/>
      <c r="K74" s="115">
        <f>F74/$K$17</f>
        <v>7116961.30307863</v>
      </c>
      <c r="L74" s="115">
        <f>D74*K74</f>
        <v>284678.452123145</v>
      </c>
      <c r="M74" s="99"/>
      <c r="N74" s="99"/>
      <c r="O74" s="115">
        <f>F74/$O$17</f>
        <v>59159740.8318411</v>
      </c>
      <c r="P74" s="115">
        <f>O74*D74</f>
        <v>2366389.63327364</v>
      </c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</row>
    <row r="75" s="25" customFormat="1" ht="24" customHeight="1">
      <c r="A75" s="101">
        <v>9</v>
      </c>
      <c r="B75" t="s" s="102">
        <v>86</v>
      </c>
      <c r="C75" t="s" s="113">
        <v>69</v>
      </c>
      <c r="D75" s="135">
        <v>0.05</v>
      </c>
      <c r="E75" t="s" s="113">
        <v>51</v>
      </c>
      <c r="F75" s="103">
        <f>G70</f>
        <v>132517819.463324</v>
      </c>
      <c r="G75" s="103">
        <f>D75*F75</f>
        <v>6625890.9731662</v>
      </c>
      <c r="H75" s="99">
        <f>G75/$G$87</f>
        <v>0.009037147358536999</v>
      </c>
      <c r="I75" s="99"/>
      <c r="J75" s="99"/>
      <c r="K75" s="115">
        <f>F75/$K$17</f>
        <v>7116961.30307863</v>
      </c>
      <c r="L75" s="115">
        <f>D75*K75</f>
        <v>355848.065153932</v>
      </c>
      <c r="M75" s="99"/>
      <c r="N75" s="99"/>
      <c r="O75" s="115">
        <f>F75/$O$17</f>
        <v>59159740.8318411</v>
      </c>
      <c r="P75" s="115">
        <f>O75*D75</f>
        <v>2957987.04159206</v>
      </c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</row>
    <row r="76" s="25" customFormat="1" ht="24" customHeight="1">
      <c r="A76" s="101">
        <v>10</v>
      </c>
      <c r="B76" t="s" s="102">
        <v>100</v>
      </c>
      <c r="C76" t="s" s="113">
        <v>69</v>
      </c>
      <c r="D76" s="135">
        <v>0.4</v>
      </c>
      <c r="E76" t="s" s="113">
        <v>51</v>
      </c>
      <c r="F76" s="103">
        <f>G70</f>
        <v>132517819.463324</v>
      </c>
      <c r="G76" s="103">
        <f>D76*F76</f>
        <v>53007127.7853296</v>
      </c>
      <c r="H76" s="99">
        <f>G76/$G$87</f>
        <v>0.07229717886829599</v>
      </c>
      <c r="I76" s="99"/>
      <c r="J76" s="99"/>
      <c r="K76" s="115">
        <f>F76/$K$17</f>
        <v>7116961.30307863</v>
      </c>
      <c r="L76" s="115">
        <f>D76*K76</f>
        <v>2846784.52123145</v>
      </c>
      <c r="M76" s="99"/>
      <c r="N76" s="99"/>
      <c r="O76" s="115">
        <f>F76/$O$17</f>
        <v>59159740.8318411</v>
      </c>
      <c r="P76" s="115">
        <f>O76*D76</f>
        <v>23663896.3327364</v>
      </c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</row>
    <row r="77" s="25" customFormat="1" ht="21.75" customHeight="1">
      <c r="A77" s="101">
        <v>29</v>
      </c>
      <c r="B77" t="s" s="95">
        <v>78</v>
      </c>
      <c r="C77" t="s" s="96">
        <v>50</v>
      </c>
      <c r="D77" s="97">
        <v>1896.61</v>
      </c>
      <c r="E77" t="s" s="96">
        <v>51</v>
      </c>
      <c r="F77" s="98">
        <v>3065.71</v>
      </c>
      <c r="G77" s="104">
        <f>D77*F77</f>
        <v>5814456.2431</v>
      </c>
      <c r="H77" s="99">
        <f>G77/$G$87</f>
        <v>0.007930419937705499</v>
      </c>
      <c r="I77" s="99"/>
      <c r="J77" s="99"/>
      <c r="K77" s="115">
        <f>F77/$K$17</f>
        <v>164.646079484425</v>
      </c>
      <c r="L77" s="129">
        <f>D77*K77</f>
        <v>312269.400810955</v>
      </c>
      <c r="M77" s="99"/>
      <c r="N77" s="99"/>
      <c r="O77" s="115">
        <f>F77/$O$17</f>
        <v>1368.620535714290</v>
      </c>
      <c r="P77" s="129">
        <f>O77*D77</f>
        <v>2595739.39424108</v>
      </c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136">
        <v>29</v>
      </c>
      <c r="AF77" t="s" s="95">
        <v>78</v>
      </c>
      <c r="AG77" t="s" s="96">
        <v>50</v>
      </c>
      <c r="AH77" s="97">
        <f t="shared" si="333" ref="AH77:KD77">105.66*20</f>
        <v>2113.2</v>
      </c>
      <c r="AI77" t="s" s="96">
        <v>51</v>
      </c>
      <c r="AJ77" s="98">
        <v>10750</v>
      </c>
      <c r="AK77" s="98">
        <f>AH77*AJ77</f>
        <v>22716900</v>
      </c>
      <c r="AL77" s="99">
        <f>AK77/$G$87</f>
        <v>0.0309839044530864</v>
      </c>
      <c r="AM77" s="136">
        <v>29</v>
      </c>
      <c r="AN77" t="s" s="95">
        <v>78</v>
      </c>
      <c r="AO77" t="s" s="96">
        <v>50</v>
      </c>
      <c r="AP77" s="97">
        <f t="shared" si="333"/>
        <v>2113.2</v>
      </c>
      <c r="AQ77" t="s" s="96">
        <v>51</v>
      </c>
      <c r="AR77" s="98">
        <v>10750</v>
      </c>
      <c r="AS77" s="98">
        <f>AP77*AR77</f>
        <v>22716900</v>
      </c>
      <c r="AT77" s="99">
        <f>AS77/$G$87</f>
        <v>0.0309839044530864</v>
      </c>
      <c r="AU77" s="136">
        <v>29</v>
      </c>
      <c r="AV77" t="s" s="95">
        <v>78</v>
      </c>
      <c r="AW77" t="s" s="96">
        <v>50</v>
      </c>
      <c r="AX77" s="97">
        <f t="shared" si="333"/>
        <v>2113.2</v>
      </c>
      <c r="AY77" t="s" s="96">
        <v>51</v>
      </c>
      <c r="AZ77" s="98">
        <v>10750</v>
      </c>
      <c r="BA77" s="98">
        <f>AX77*AZ77</f>
        <v>22716900</v>
      </c>
      <c r="BB77" s="99">
        <f>BA77/$G$87</f>
        <v>0.0309839044530864</v>
      </c>
      <c r="BC77" s="136">
        <v>29</v>
      </c>
      <c r="BD77" t="s" s="95">
        <v>78</v>
      </c>
      <c r="BE77" t="s" s="96">
        <v>50</v>
      </c>
      <c r="BF77" s="97">
        <f t="shared" si="333"/>
        <v>2113.2</v>
      </c>
      <c r="BG77" t="s" s="96">
        <v>51</v>
      </c>
      <c r="BH77" s="98">
        <v>10750</v>
      </c>
      <c r="BI77" s="98">
        <f>BF77*BH77</f>
        <v>22716900</v>
      </c>
      <c r="BJ77" s="99">
        <f>BI77/$G$87</f>
        <v>0.0309839044530864</v>
      </c>
      <c r="BK77" s="136">
        <v>29</v>
      </c>
      <c r="BL77" t="s" s="95">
        <v>78</v>
      </c>
      <c r="BM77" t="s" s="96">
        <v>50</v>
      </c>
      <c r="BN77" s="97">
        <f t="shared" si="333"/>
        <v>2113.2</v>
      </c>
      <c r="BO77" t="s" s="96">
        <v>51</v>
      </c>
      <c r="BP77" s="98">
        <v>10750</v>
      </c>
      <c r="BQ77" s="98">
        <f>BN77*BP77</f>
        <v>22716900</v>
      </c>
      <c r="BR77" s="99">
        <f>BQ77/$G$87</f>
        <v>0.0309839044530864</v>
      </c>
      <c r="BS77" s="136">
        <v>29</v>
      </c>
      <c r="BT77" t="s" s="95">
        <v>78</v>
      </c>
      <c r="BU77" t="s" s="96">
        <v>50</v>
      </c>
      <c r="BV77" s="97">
        <f t="shared" si="333"/>
        <v>2113.2</v>
      </c>
      <c r="BW77" t="s" s="96">
        <v>51</v>
      </c>
      <c r="BX77" s="98">
        <v>10750</v>
      </c>
      <c r="BY77" s="98">
        <f>BV77*BX77</f>
        <v>22716900</v>
      </c>
      <c r="BZ77" s="99">
        <f>BY77/$G$87</f>
        <v>0.0309839044530864</v>
      </c>
      <c r="CA77" s="136">
        <v>29</v>
      </c>
      <c r="CB77" t="s" s="95">
        <v>78</v>
      </c>
      <c r="CC77" t="s" s="96">
        <v>50</v>
      </c>
      <c r="CD77" s="97">
        <f t="shared" si="333"/>
        <v>2113.2</v>
      </c>
      <c r="CE77" t="s" s="96">
        <v>51</v>
      </c>
      <c r="CF77" s="98">
        <v>10750</v>
      </c>
      <c r="CG77" s="98">
        <f>CD77*CF77</f>
        <v>22716900</v>
      </c>
      <c r="CH77" s="99">
        <f>CG77/$G$87</f>
        <v>0.0309839044530864</v>
      </c>
      <c r="CI77" s="136">
        <v>29</v>
      </c>
      <c r="CJ77" t="s" s="95">
        <v>78</v>
      </c>
      <c r="CK77" t="s" s="96">
        <v>50</v>
      </c>
      <c r="CL77" s="97">
        <f t="shared" si="333"/>
        <v>2113.2</v>
      </c>
      <c r="CM77" t="s" s="96">
        <v>51</v>
      </c>
      <c r="CN77" s="98">
        <v>10750</v>
      </c>
      <c r="CO77" s="98">
        <f>CL77*CN77</f>
        <v>22716900</v>
      </c>
      <c r="CP77" s="99">
        <f>CO77/$G$87</f>
        <v>0.0309839044530864</v>
      </c>
      <c r="CQ77" s="136">
        <v>29</v>
      </c>
      <c r="CR77" t="s" s="95">
        <v>78</v>
      </c>
      <c r="CS77" t="s" s="96">
        <v>50</v>
      </c>
      <c r="CT77" s="97">
        <f t="shared" si="333"/>
        <v>2113.2</v>
      </c>
      <c r="CU77" t="s" s="96">
        <v>51</v>
      </c>
      <c r="CV77" s="98">
        <v>10750</v>
      </c>
      <c r="CW77" s="98">
        <f>CT77*CV77</f>
        <v>22716900</v>
      </c>
      <c r="CX77" s="99">
        <f>CW77/$G$87</f>
        <v>0.0309839044530864</v>
      </c>
      <c r="CY77" s="136">
        <v>29</v>
      </c>
      <c r="CZ77" t="s" s="95">
        <v>78</v>
      </c>
      <c r="DA77" t="s" s="96">
        <v>50</v>
      </c>
      <c r="DB77" s="97">
        <f t="shared" si="333"/>
        <v>2113.2</v>
      </c>
      <c r="DC77" t="s" s="96">
        <v>51</v>
      </c>
      <c r="DD77" s="98">
        <v>10750</v>
      </c>
      <c r="DE77" s="98">
        <f>DB77*DD77</f>
        <v>22716900</v>
      </c>
      <c r="DF77" s="99">
        <f>DE77/$G$87</f>
        <v>0.0309839044530864</v>
      </c>
      <c r="DG77" s="136">
        <v>29</v>
      </c>
      <c r="DH77" t="s" s="95">
        <v>78</v>
      </c>
      <c r="DI77" t="s" s="96">
        <v>50</v>
      </c>
      <c r="DJ77" s="97">
        <f t="shared" si="333"/>
        <v>2113.2</v>
      </c>
      <c r="DK77" t="s" s="96">
        <v>51</v>
      </c>
      <c r="DL77" s="98">
        <v>10750</v>
      </c>
      <c r="DM77" s="98">
        <f>DJ77*DL77</f>
        <v>22716900</v>
      </c>
      <c r="DN77" s="99">
        <f>DM77/$G$87</f>
        <v>0.0309839044530864</v>
      </c>
      <c r="DO77" s="136">
        <v>29</v>
      </c>
      <c r="DP77" t="s" s="95">
        <v>78</v>
      </c>
      <c r="DQ77" t="s" s="96">
        <v>50</v>
      </c>
      <c r="DR77" s="97">
        <f t="shared" si="333"/>
        <v>2113.2</v>
      </c>
      <c r="DS77" t="s" s="96">
        <v>51</v>
      </c>
      <c r="DT77" s="98">
        <v>10750</v>
      </c>
      <c r="DU77" s="98">
        <f>DR77*DT77</f>
        <v>22716900</v>
      </c>
      <c r="DV77" s="99">
        <f>DU77/$G$87</f>
        <v>0.0309839044530864</v>
      </c>
      <c r="DW77" s="136">
        <v>29</v>
      </c>
      <c r="DX77" t="s" s="95">
        <v>78</v>
      </c>
      <c r="DY77" t="s" s="96">
        <v>50</v>
      </c>
      <c r="DZ77" s="97">
        <f t="shared" si="333"/>
        <v>2113.2</v>
      </c>
      <c r="EA77" t="s" s="96">
        <v>51</v>
      </c>
      <c r="EB77" s="98">
        <v>10750</v>
      </c>
      <c r="EC77" s="98">
        <f>DZ77*EB77</f>
        <v>22716900</v>
      </c>
      <c r="ED77" s="99">
        <f>EC77/$G$87</f>
        <v>0.0309839044530864</v>
      </c>
      <c r="EE77" s="136">
        <v>29</v>
      </c>
      <c r="EF77" t="s" s="95">
        <v>78</v>
      </c>
      <c r="EG77" t="s" s="96">
        <v>50</v>
      </c>
      <c r="EH77" s="97">
        <f t="shared" si="333"/>
        <v>2113.2</v>
      </c>
      <c r="EI77" t="s" s="96">
        <v>51</v>
      </c>
      <c r="EJ77" s="98">
        <v>10750</v>
      </c>
      <c r="EK77" s="98">
        <f>EH77*EJ77</f>
        <v>22716900</v>
      </c>
      <c r="EL77" s="99">
        <f>EK77/$G$87</f>
        <v>0.0309839044530864</v>
      </c>
      <c r="EM77" s="136">
        <v>29</v>
      </c>
      <c r="EN77" t="s" s="95">
        <v>78</v>
      </c>
      <c r="EO77" t="s" s="96">
        <v>50</v>
      </c>
      <c r="EP77" s="97">
        <f t="shared" si="333"/>
        <v>2113.2</v>
      </c>
      <c r="EQ77" t="s" s="96">
        <v>51</v>
      </c>
      <c r="ER77" s="98">
        <v>10750</v>
      </c>
      <c r="ES77" s="98">
        <f>EP77*ER77</f>
        <v>22716900</v>
      </c>
      <c r="ET77" s="99">
        <f>ES77/$G$87</f>
        <v>0.0309839044530864</v>
      </c>
      <c r="EU77" s="136">
        <v>29</v>
      </c>
      <c r="EV77" t="s" s="95">
        <v>78</v>
      </c>
      <c r="EW77" t="s" s="96">
        <v>50</v>
      </c>
      <c r="EX77" s="97">
        <f t="shared" si="333"/>
        <v>2113.2</v>
      </c>
      <c r="EY77" t="s" s="96">
        <v>51</v>
      </c>
      <c r="EZ77" s="98">
        <v>10750</v>
      </c>
      <c r="FA77" s="98">
        <f>EX77*EZ77</f>
        <v>22716900</v>
      </c>
      <c r="FB77" s="99">
        <f>FA77/$G$87</f>
        <v>0.0309839044530864</v>
      </c>
      <c r="FC77" s="136">
        <v>29</v>
      </c>
      <c r="FD77" t="s" s="95">
        <v>78</v>
      </c>
      <c r="FE77" t="s" s="96">
        <v>50</v>
      </c>
      <c r="FF77" s="97">
        <f t="shared" si="333"/>
        <v>2113.2</v>
      </c>
      <c r="FG77" t="s" s="96">
        <v>51</v>
      </c>
      <c r="FH77" s="98">
        <v>10750</v>
      </c>
      <c r="FI77" s="98">
        <f>FF77*FH77</f>
        <v>22716900</v>
      </c>
      <c r="FJ77" s="99">
        <f>FI77/$G$87</f>
        <v>0.0309839044530864</v>
      </c>
      <c r="FK77" s="136">
        <v>29</v>
      </c>
      <c r="FL77" t="s" s="95">
        <v>78</v>
      </c>
      <c r="FM77" t="s" s="96">
        <v>50</v>
      </c>
      <c r="FN77" s="97">
        <f t="shared" si="333"/>
        <v>2113.2</v>
      </c>
      <c r="FO77" t="s" s="96">
        <v>51</v>
      </c>
      <c r="FP77" s="98">
        <v>10750</v>
      </c>
      <c r="FQ77" s="98">
        <f>FN77*FP77</f>
        <v>22716900</v>
      </c>
      <c r="FR77" s="99">
        <f>FQ77/$G$87</f>
        <v>0.0309839044530864</v>
      </c>
      <c r="FS77" s="136">
        <v>29</v>
      </c>
      <c r="FT77" t="s" s="95">
        <v>78</v>
      </c>
      <c r="FU77" t="s" s="96">
        <v>50</v>
      </c>
      <c r="FV77" s="97">
        <f t="shared" si="333"/>
        <v>2113.2</v>
      </c>
      <c r="FW77" t="s" s="96">
        <v>51</v>
      </c>
      <c r="FX77" s="98">
        <v>10750</v>
      </c>
      <c r="FY77" s="98">
        <f>FV77*FX77</f>
        <v>22716900</v>
      </c>
      <c r="FZ77" s="99">
        <f>FY77/$G$87</f>
        <v>0.0309839044530864</v>
      </c>
      <c r="GA77" s="136">
        <v>29</v>
      </c>
      <c r="GB77" t="s" s="95">
        <v>78</v>
      </c>
      <c r="GC77" t="s" s="96">
        <v>50</v>
      </c>
      <c r="GD77" s="97">
        <f t="shared" si="333"/>
        <v>2113.2</v>
      </c>
      <c r="GE77" t="s" s="96">
        <v>51</v>
      </c>
      <c r="GF77" s="98">
        <v>10750</v>
      </c>
      <c r="GG77" s="98">
        <f>GD77*GF77</f>
        <v>22716900</v>
      </c>
      <c r="GH77" s="99">
        <f>GG77/$G$87</f>
        <v>0.0309839044530864</v>
      </c>
      <c r="GI77" s="136">
        <v>29</v>
      </c>
      <c r="GJ77" t="s" s="95">
        <v>78</v>
      </c>
      <c r="GK77" t="s" s="96">
        <v>50</v>
      </c>
      <c r="GL77" s="97">
        <f t="shared" si="333"/>
        <v>2113.2</v>
      </c>
      <c r="GM77" t="s" s="96">
        <v>51</v>
      </c>
      <c r="GN77" s="98">
        <v>10750</v>
      </c>
      <c r="GO77" s="98">
        <f>GL77*GN77</f>
        <v>22716900</v>
      </c>
      <c r="GP77" s="99">
        <f>GO77/$G$87</f>
        <v>0.0309839044530864</v>
      </c>
      <c r="GQ77" s="136">
        <v>29</v>
      </c>
      <c r="GR77" t="s" s="95">
        <v>78</v>
      </c>
      <c r="GS77" t="s" s="96">
        <v>50</v>
      </c>
      <c r="GT77" s="97">
        <f t="shared" si="333"/>
        <v>2113.2</v>
      </c>
      <c r="GU77" t="s" s="96">
        <v>51</v>
      </c>
      <c r="GV77" s="98">
        <v>10750</v>
      </c>
      <c r="GW77" s="98">
        <f>GT77*GV77</f>
        <v>22716900</v>
      </c>
      <c r="GX77" s="99">
        <f>GW77/$G$87</f>
        <v>0.0309839044530864</v>
      </c>
      <c r="GY77" s="136">
        <v>29</v>
      </c>
      <c r="GZ77" t="s" s="95">
        <v>78</v>
      </c>
      <c r="HA77" t="s" s="96">
        <v>50</v>
      </c>
      <c r="HB77" s="97">
        <f t="shared" si="333"/>
        <v>2113.2</v>
      </c>
      <c r="HC77" t="s" s="96">
        <v>51</v>
      </c>
      <c r="HD77" s="98">
        <v>10750</v>
      </c>
      <c r="HE77" s="98">
        <f>HB77*HD77</f>
        <v>22716900</v>
      </c>
      <c r="HF77" s="99">
        <f>HE77/$G$87</f>
        <v>0.0309839044530864</v>
      </c>
      <c r="HG77" s="136">
        <v>29</v>
      </c>
      <c r="HH77" t="s" s="95">
        <v>78</v>
      </c>
      <c r="HI77" t="s" s="96">
        <v>50</v>
      </c>
      <c r="HJ77" s="97">
        <f t="shared" si="333"/>
        <v>2113.2</v>
      </c>
      <c r="HK77" t="s" s="96">
        <v>51</v>
      </c>
      <c r="HL77" s="98">
        <v>10750</v>
      </c>
      <c r="HM77" s="98">
        <f>HJ77*HL77</f>
        <v>22716900</v>
      </c>
      <c r="HN77" s="99">
        <f>HM77/$G$87</f>
        <v>0.0309839044530864</v>
      </c>
      <c r="HO77" s="136">
        <v>29</v>
      </c>
      <c r="HP77" t="s" s="95">
        <v>78</v>
      </c>
      <c r="HQ77" t="s" s="96">
        <v>50</v>
      </c>
      <c r="HR77" s="97">
        <f t="shared" si="333"/>
        <v>2113.2</v>
      </c>
      <c r="HS77" t="s" s="96">
        <v>51</v>
      </c>
      <c r="HT77" s="98">
        <v>10750</v>
      </c>
      <c r="HU77" s="98">
        <f>HR77*HT77</f>
        <v>22716900</v>
      </c>
      <c r="HV77" s="99">
        <f>HU77/$G$87</f>
        <v>0.0309839044530864</v>
      </c>
      <c r="HW77" s="136">
        <v>29</v>
      </c>
      <c r="HX77" t="s" s="95">
        <v>78</v>
      </c>
      <c r="HY77" t="s" s="96">
        <v>50</v>
      </c>
      <c r="HZ77" s="97">
        <f t="shared" si="333"/>
        <v>2113.2</v>
      </c>
      <c r="IA77" t="s" s="96">
        <v>51</v>
      </c>
      <c r="IB77" s="98">
        <v>10750</v>
      </c>
      <c r="IC77" s="98">
        <f>HZ77*IB77</f>
        <v>22716900</v>
      </c>
      <c r="ID77" s="99">
        <f>IC77/$G$87</f>
        <v>0.0309839044530864</v>
      </c>
      <c r="IE77" s="136">
        <v>29</v>
      </c>
      <c r="IF77" t="s" s="95">
        <v>78</v>
      </c>
      <c r="IG77" t="s" s="96">
        <v>50</v>
      </c>
      <c r="IH77" s="97">
        <f t="shared" si="333"/>
        <v>2113.2</v>
      </c>
      <c r="II77" t="s" s="96">
        <v>51</v>
      </c>
      <c r="IJ77" s="98">
        <v>10750</v>
      </c>
      <c r="IK77" s="98">
        <f>IH77*IJ77</f>
        <v>22716900</v>
      </c>
      <c r="IL77" s="99">
        <f>IK77/$G$87</f>
        <v>0.0309839044530864</v>
      </c>
      <c r="IM77" s="136">
        <v>29</v>
      </c>
      <c r="IN77" t="s" s="95">
        <v>78</v>
      </c>
      <c r="IO77" t="s" s="96">
        <v>50</v>
      </c>
      <c r="IP77" s="97">
        <f t="shared" si="333"/>
        <v>2113.2</v>
      </c>
      <c r="IQ77" t="s" s="96">
        <v>51</v>
      </c>
      <c r="IR77" s="98">
        <v>10750</v>
      </c>
      <c r="IS77" s="98">
        <f>IP77*IR77</f>
        <v>22716900</v>
      </c>
      <c r="IT77" s="99">
        <f>IS77/$G$87</f>
        <v>0.0309839044530864</v>
      </c>
      <c r="IU77" s="136">
        <v>29</v>
      </c>
      <c r="IV77" t="s" s="95">
        <v>78</v>
      </c>
      <c r="IW77" t="s" s="96">
        <v>50</v>
      </c>
      <c r="IX77" s="97">
        <f t="shared" si="333"/>
        <v>2113.2</v>
      </c>
      <c r="IY77" t="s" s="96">
        <v>51</v>
      </c>
      <c r="IZ77" s="98">
        <v>10750</v>
      </c>
      <c r="JA77" s="98">
        <f>IX77*IZ77</f>
        <v>22716900</v>
      </c>
      <c r="JB77" s="99">
        <f>JA77/$G$87</f>
        <v>0.0309839044530864</v>
      </c>
      <c r="JC77" s="136">
        <v>29</v>
      </c>
      <c r="JD77" t="s" s="95">
        <v>78</v>
      </c>
      <c r="JE77" t="s" s="96">
        <v>50</v>
      </c>
      <c r="JF77" s="97">
        <f t="shared" si="333"/>
        <v>2113.2</v>
      </c>
      <c r="JG77" t="s" s="96">
        <v>51</v>
      </c>
      <c r="JH77" s="98">
        <v>10750</v>
      </c>
      <c r="JI77" s="98">
        <f>JF77*JH77</f>
        <v>22716900</v>
      </c>
      <c r="JJ77" s="99">
        <f>JI77/$G$87</f>
        <v>0.0309839044530864</v>
      </c>
      <c r="JK77" s="136">
        <v>29</v>
      </c>
      <c r="JL77" t="s" s="95">
        <v>78</v>
      </c>
      <c r="JM77" t="s" s="96">
        <v>50</v>
      </c>
      <c r="JN77" s="97">
        <f t="shared" si="333"/>
        <v>2113.2</v>
      </c>
      <c r="JO77" t="s" s="96">
        <v>51</v>
      </c>
      <c r="JP77" s="98">
        <v>10750</v>
      </c>
      <c r="JQ77" s="98">
        <f>JN77*JP77</f>
        <v>22716900</v>
      </c>
      <c r="JR77" s="99">
        <f>JQ77/$G$87</f>
        <v>0.0309839044530864</v>
      </c>
      <c r="JS77" s="136">
        <v>29</v>
      </c>
      <c r="JT77" t="s" s="95">
        <v>78</v>
      </c>
      <c r="JU77" t="s" s="96">
        <v>50</v>
      </c>
      <c r="JV77" s="97">
        <f t="shared" si="333"/>
        <v>2113.2</v>
      </c>
      <c r="JW77" t="s" s="96">
        <v>51</v>
      </c>
      <c r="JX77" s="98">
        <v>10750</v>
      </c>
      <c r="JY77" s="98">
        <f>JV77*JX77</f>
        <v>22716900</v>
      </c>
      <c r="JZ77" s="99">
        <f>JY77/$G$87</f>
        <v>0.0309839044530864</v>
      </c>
      <c r="KA77" s="136">
        <v>29</v>
      </c>
      <c r="KB77" t="s" s="95">
        <v>78</v>
      </c>
      <c r="KC77" t="s" s="96">
        <v>50</v>
      </c>
      <c r="KD77" s="97">
        <f t="shared" si="333"/>
        <v>2113.2</v>
      </c>
      <c r="KE77" t="s" s="96">
        <v>51</v>
      </c>
      <c r="KF77" s="98">
        <v>10750</v>
      </c>
      <c r="KG77" s="98">
        <f>KD77*KF77</f>
        <v>22716900</v>
      </c>
      <c r="KH77" s="99">
        <f>KG77/$G$87</f>
        <v>0.0309839044530864</v>
      </c>
      <c r="KI77" s="136">
        <v>29</v>
      </c>
      <c r="KJ77" t="s" s="95">
        <v>78</v>
      </c>
      <c r="KK77" t="s" s="96">
        <v>50</v>
      </c>
      <c r="KL77" s="97">
        <f t="shared" si="432" ref="KL77:UH77">105.66*20</f>
        <v>2113.2</v>
      </c>
      <c r="KM77" t="s" s="96">
        <v>51</v>
      </c>
      <c r="KN77" s="98">
        <v>10750</v>
      </c>
      <c r="KO77" s="98">
        <f>KL77*KN77</f>
        <v>22716900</v>
      </c>
      <c r="KP77" s="99">
        <f>KO77/$G$87</f>
        <v>0.0309839044530864</v>
      </c>
      <c r="KQ77" s="136">
        <v>29</v>
      </c>
      <c r="KR77" t="s" s="95">
        <v>78</v>
      </c>
      <c r="KS77" t="s" s="96">
        <v>50</v>
      </c>
      <c r="KT77" s="97">
        <f t="shared" si="432"/>
        <v>2113.2</v>
      </c>
      <c r="KU77" t="s" s="96">
        <v>51</v>
      </c>
      <c r="KV77" s="98">
        <v>10750</v>
      </c>
      <c r="KW77" s="98">
        <f>KT77*KV77</f>
        <v>22716900</v>
      </c>
      <c r="KX77" s="99">
        <f>KW77/$G$87</f>
        <v>0.0309839044530864</v>
      </c>
      <c r="KY77" s="136">
        <v>29</v>
      </c>
      <c r="KZ77" t="s" s="95">
        <v>78</v>
      </c>
      <c r="LA77" t="s" s="96">
        <v>50</v>
      </c>
      <c r="LB77" s="97">
        <f t="shared" si="432"/>
        <v>2113.2</v>
      </c>
      <c r="LC77" t="s" s="96">
        <v>51</v>
      </c>
      <c r="LD77" s="98">
        <v>10750</v>
      </c>
      <c r="LE77" s="98">
        <f>LB77*LD77</f>
        <v>22716900</v>
      </c>
      <c r="LF77" s="99">
        <f>LE77/$G$87</f>
        <v>0.0309839044530864</v>
      </c>
      <c r="LG77" s="136">
        <v>29</v>
      </c>
      <c r="LH77" t="s" s="95">
        <v>78</v>
      </c>
      <c r="LI77" t="s" s="96">
        <v>50</v>
      </c>
      <c r="LJ77" s="97">
        <f t="shared" si="432"/>
        <v>2113.2</v>
      </c>
      <c r="LK77" t="s" s="96">
        <v>51</v>
      </c>
      <c r="LL77" s="98">
        <v>10750</v>
      </c>
      <c r="LM77" s="98">
        <f>LJ77*LL77</f>
        <v>22716900</v>
      </c>
      <c r="LN77" s="99">
        <f>LM77/$G$87</f>
        <v>0.0309839044530864</v>
      </c>
      <c r="LO77" s="136">
        <v>29</v>
      </c>
      <c r="LP77" t="s" s="95">
        <v>78</v>
      </c>
      <c r="LQ77" t="s" s="96">
        <v>50</v>
      </c>
      <c r="LR77" s="97">
        <f t="shared" si="432"/>
        <v>2113.2</v>
      </c>
      <c r="LS77" t="s" s="96">
        <v>51</v>
      </c>
      <c r="LT77" s="98">
        <v>10750</v>
      </c>
      <c r="LU77" s="98">
        <f>LR77*LT77</f>
        <v>22716900</v>
      </c>
      <c r="LV77" s="99">
        <f>LU77/$G$87</f>
        <v>0.0309839044530864</v>
      </c>
      <c r="LW77" s="136">
        <v>29</v>
      </c>
      <c r="LX77" t="s" s="95">
        <v>78</v>
      </c>
      <c r="LY77" t="s" s="96">
        <v>50</v>
      </c>
      <c r="LZ77" s="97">
        <f t="shared" si="432"/>
        <v>2113.2</v>
      </c>
      <c r="MA77" t="s" s="96">
        <v>51</v>
      </c>
      <c r="MB77" s="98">
        <v>10750</v>
      </c>
      <c r="MC77" s="98">
        <f>LZ77*MB77</f>
        <v>22716900</v>
      </c>
      <c r="MD77" s="99">
        <f>MC77/$G$87</f>
        <v>0.0309839044530864</v>
      </c>
      <c r="ME77" s="136">
        <v>29</v>
      </c>
      <c r="MF77" t="s" s="95">
        <v>78</v>
      </c>
      <c r="MG77" t="s" s="96">
        <v>50</v>
      </c>
      <c r="MH77" s="97">
        <f t="shared" si="432"/>
        <v>2113.2</v>
      </c>
      <c r="MI77" t="s" s="96">
        <v>51</v>
      </c>
      <c r="MJ77" s="98">
        <v>10750</v>
      </c>
      <c r="MK77" s="98">
        <f>MH77*MJ77</f>
        <v>22716900</v>
      </c>
      <c r="ML77" s="99">
        <f>MK77/$G$87</f>
        <v>0.0309839044530864</v>
      </c>
      <c r="MM77" s="136">
        <v>29</v>
      </c>
      <c r="MN77" t="s" s="95">
        <v>78</v>
      </c>
      <c r="MO77" t="s" s="96">
        <v>50</v>
      </c>
      <c r="MP77" s="97">
        <f t="shared" si="432"/>
        <v>2113.2</v>
      </c>
      <c r="MQ77" t="s" s="96">
        <v>51</v>
      </c>
      <c r="MR77" s="98">
        <v>10750</v>
      </c>
      <c r="MS77" s="98">
        <f>MP77*MR77</f>
        <v>22716900</v>
      </c>
      <c r="MT77" s="99">
        <f>MS77/$G$87</f>
        <v>0.0309839044530864</v>
      </c>
      <c r="MU77" s="136">
        <v>29</v>
      </c>
      <c r="MV77" t="s" s="95">
        <v>78</v>
      </c>
      <c r="MW77" t="s" s="96">
        <v>50</v>
      </c>
      <c r="MX77" s="97">
        <f t="shared" si="432"/>
        <v>2113.2</v>
      </c>
      <c r="MY77" t="s" s="96">
        <v>51</v>
      </c>
      <c r="MZ77" s="98">
        <v>10750</v>
      </c>
      <c r="NA77" s="98">
        <f>MX77*MZ77</f>
        <v>22716900</v>
      </c>
      <c r="NB77" s="99">
        <f>NA77/$G$87</f>
        <v>0.0309839044530864</v>
      </c>
      <c r="NC77" s="136">
        <v>29</v>
      </c>
      <c r="ND77" t="s" s="95">
        <v>78</v>
      </c>
      <c r="NE77" t="s" s="96">
        <v>50</v>
      </c>
      <c r="NF77" s="97">
        <f t="shared" si="432"/>
        <v>2113.2</v>
      </c>
      <c r="NG77" t="s" s="96">
        <v>51</v>
      </c>
      <c r="NH77" s="98">
        <v>10750</v>
      </c>
      <c r="NI77" s="98">
        <f>NF77*NH77</f>
        <v>22716900</v>
      </c>
      <c r="NJ77" s="99">
        <f>NI77/$G$87</f>
        <v>0.0309839044530864</v>
      </c>
      <c r="NK77" s="136">
        <v>29</v>
      </c>
      <c r="NL77" t="s" s="95">
        <v>78</v>
      </c>
      <c r="NM77" t="s" s="96">
        <v>50</v>
      </c>
      <c r="NN77" s="97">
        <f t="shared" si="432"/>
        <v>2113.2</v>
      </c>
      <c r="NO77" t="s" s="96">
        <v>51</v>
      </c>
      <c r="NP77" s="98">
        <v>10750</v>
      </c>
      <c r="NQ77" s="98">
        <f>NN77*NP77</f>
        <v>22716900</v>
      </c>
      <c r="NR77" s="99">
        <f>NQ77/$G$87</f>
        <v>0.0309839044530864</v>
      </c>
      <c r="NS77" s="136">
        <v>29</v>
      </c>
      <c r="NT77" t="s" s="95">
        <v>78</v>
      </c>
      <c r="NU77" t="s" s="96">
        <v>50</v>
      </c>
      <c r="NV77" s="97">
        <f t="shared" si="432"/>
        <v>2113.2</v>
      </c>
      <c r="NW77" t="s" s="96">
        <v>51</v>
      </c>
      <c r="NX77" s="98">
        <v>10750</v>
      </c>
      <c r="NY77" s="98">
        <f>NV77*NX77</f>
        <v>22716900</v>
      </c>
      <c r="NZ77" s="99">
        <f>NY77/$G$87</f>
        <v>0.0309839044530864</v>
      </c>
      <c r="OA77" s="136">
        <v>29</v>
      </c>
      <c r="OB77" t="s" s="95">
        <v>78</v>
      </c>
      <c r="OC77" t="s" s="96">
        <v>50</v>
      </c>
      <c r="OD77" s="97">
        <f t="shared" si="432"/>
        <v>2113.2</v>
      </c>
      <c r="OE77" t="s" s="96">
        <v>51</v>
      </c>
      <c r="OF77" s="98">
        <v>10750</v>
      </c>
      <c r="OG77" s="98">
        <f>OD77*OF77</f>
        <v>22716900</v>
      </c>
      <c r="OH77" s="99">
        <f>OG77/$G$87</f>
        <v>0.0309839044530864</v>
      </c>
      <c r="OI77" s="136">
        <v>29</v>
      </c>
      <c r="OJ77" t="s" s="95">
        <v>78</v>
      </c>
      <c r="OK77" t="s" s="96">
        <v>50</v>
      </c>
      <c r="OL77" s="97">
        <f t="shared" si="432"/>
        <v>2113.2</v>
      </c>
      <c r="OM77" t="s" s="96">
        <v>51</v>
      </c>
      <c r="ON77" s="98">
        <v>10750</v>
      </c>
      <c r="OO77" s="98">
        <f>OL77*ON77</f>
        <v>22716900</v>
      </c>
      <c r="OP77" s="99">
        <f>OO77/$G$87</f>
        <v>0.0309839044530864</v>
      </c>
      <c r="OQ77" s="136">
        <v>29</v>
      </c>
      <c r="OR77" t="s" s="95">
        <v>78</v>
      </c>
      <c r="OS77" t="s" s="96">
        <v>50</v>
      </c>
      <c r="OT77" s="97">
        <f t="shared" si="432"/>
        <v>2113.2</v>
      </c>
      <c r="OU77" t="s" s="96">
        <v>51</v>
      </c>
      <c r="OV77" s="98">
        <v>10750</v>
      </c>
      <c r="OW77" s="98">
        <f>OT77*OV77</f>
        <v>22716900</v>
      </c>
      <c r="OX77" s="99">
        <f>OW77/$G$87</f>
        <v>0.0309839044530864</v>
      </c>
      <c r="OY77" s="136">
        <v>29</v>
      </c>
      <c r="OZ77" t="s" s="95">
        <v>78</v>
      </c>
      <c r="PA77" t="s" s="96">
        <v>50</v>
      </c>
      <c r="PB77" s="97">
        <f t="shared" si="432"/>
        <v>2113.2</v>
      </c>
      <c r="PC77" t="s" s="96">
        <v>51</v>
      </c>
      <c r="PD77" s="98">
        <v>10750</v>
      </c>
      <c r="PE77" s="98">
        <f>PB77*PD77</f>
        <v>22716900</v>
      </c>
      <c r="PF77" s="99">
        <f>PE77/$G$87</f>
        <v>0.0309839044530864</v>
      </c>
      <c r="PG77" s="136">
        <v>29</v>
      </c>
      <c r="PH77" t="s" s="95">
        <v>78</v>
      </c>
      <c r="PI77" t="s" s="96">
        <v>50</v>
      </c>
      <c r="PJ77" s="97">
        <f t="shared" si="432"/>
        <v>2113.2</v>
      </c>
      <c r="PK77" t="s" s="96">
        <v>51</v>
      </c>
      <c r="PL77" s="98">
        <v>10750</v>
      </c>
      <c r="PM77" s="98">
        <f>PJ77*PL77</f>
        <v>22716900</v>
      </c>
      <c r="PN77" s="99">
        <f>PM77/$G$87</f>
        <v>0.0309839044530864</v>
      </c>
      <c r="PO77" s="136">
        <v>29</v>
      </c>
      <c r="PP77" t="s" s="95">
        <v>78</v>
      </c>
      <c r="PQ77" t="s" s="96">
        <v>50</v>
      </c>
      <c r="PR77" s="97">
        <f t="shared" si="432"/>
        <v>2113.2</v>
      </c>
      <c r="PS77" t="s" s="96">
        <v>51</v>
      </c>
      <c r="PT77" s="98">
        <v>10750</v>
      </c>
      <c r="PU77" s="98">
        <f>PR77*PT77</f>
        <v>22716900</v>
      </c>
      <c r="PV77" s="99">
        <f>PU77/$G$87</f>
        <v>0.0309839044530864</v>
      </c>
      <c r="PW77" s="136">
        <v>29</v>
      </c>
      <c r="PX77" t="s" s="95">
        <v>78</v>
      </c>
      <c r="PY77" t="s" s="96">
        <v>50</v>
      </c>
      <c r="PZ77" s="97">
        <f t="shared" si="432"/>
        <v>2113.2</v>
      </c>
      <c r="QA77" t="s" s="96">
        <v>51</v>
      </c>
      <c r="QB77" s="98">
        <v>10750</v>
      </c>
      <c r="QC77" s="98">
        <f>PZ77*QB77</f>
        <v>22716900</v>
      </c>
      <c r="QD77" s="99">
        <f>QC77/$G$87</f>
        <v>0.0309839044530864</v>
      </c>
      <c r="QE77" s="136">
        <v>29</v>
      </c>
      <c r="QF77" t="s" s="95">
        <v>78</v>
      </c>
      <c r="QG77" t="s" s="96">
        <v>50</v>
      </c>
      <c r="QH77" s="97">
        <f t="shared" si="432"/>
        <v>2113.2</v>
      </c>
      <c r="QI77" t="s" s="96">
        <v>51</v>
      </c>
      <c r="QJ77" s="98">
        <v>10750</v>
      </c>
      <c r="QK77" s="98">
        <f>QH77*QJ77</f>
        <v>22716900</v>
      </c>
      <c r="QL77" s="99">
        <f>QK77/$G$87</f>
        <v>0.0309839044530864</v>
      </c>
      <c r="QM77" s="136">
        <v>29</v>
      </c>
      <c r="QN77" t="s" s="95">
        <v>78</v>
      </c>
      <c r="QO77" t="s" s="96">
        <v>50</v>
      </c>
      <c r="QP77" s="97">
        <f t="shared" si="432"/>
        <v>2113.2</v>
      </c>
      <c r="QQ77" t="s" s="96">
        <v>51</v>
      </c>
      <c r="QR77" s="98">
        <v>10750</v>
      </c>
      <c r="QS77" s="98">
        <f>QP77*QR77</f>
        <v>22716900</v>
      </c>
      <c r="QT77" s="99">
        <f>QS77/$G$87</f>
        <v>0.0309839044530864</v>
      </c>
      <c r="QU77" s="136">
        <v>29</v>
      </c>
      <c r="QV77" t="s" s="95">
        <v>78</v>
      </c>
      <c r="QW77" t="s" s="96">
        <v>50</v>
      </c>
      <c r="QX77" s="97">
        <f t="shared" si="432"/>
        <v>2113.2</v>
      </c>
      <c r="QY77" t="s" s="96">
        <v>51</v>
      </c>
      <c r="QZ77" s="98">
        <v>10750</v>
      </c>
      <c r="RA77" s="98">
        <f>QX77*QZ77</f>
        <v>22716900</v>
      </c>
      <c r="RB77" s="99">
        <f>RA77/$G$87</f>
        <v>0.0309839044530864</v>
      </c>
      <c r="RC77" s="136">
        <v>29</v>
      </c>
      <c r="RD77" t="s" s="95">
        <v>78</v>
      </c>
      <c r="RE77" t="s" s="96">
        <v>50</v>
      </c>
      <c r="RF77" s="97">
        <f t="shared" si="432"/>
        <v>2113.2</v>
      </c>
      <c r="RG77" t="s" s="96">
        <v>51</v>
      </c>
      <c r="RH77" s="98">
        <v>10750</v>
      </c>
      <c r="RI77" s="98">
        <f>RF77*RH77</f>
        <v>22716900</v>
      </c>
      <c r="RJ77" s="99">
        <f>RI77/$G$87</f>
        <v>0.0309839044530864</v>
      </c>
      <c r="RK77" s="136">
        <v>29</v>
      </c>
      <c r="RL77" t="s" s="95">
        <v>78</v>
      </c>
      <c r="RM77" t="s" s="96">
        <v>50</v>
      </c>
      <c r="RN77" s="97">
        <f t="shared" si="432"/>
        <v>2113.2</v>
      </c>
      <c r="RO77" t="s" s="96">
        <v>51</v>
      </c>
      <c r="RP77" s="98">
        <v>10750</v>
      </c>
      <c r="RQ77" s="98">
        <f>RN77*RP77</f>
        <v>22716900</v>
      </c>
      <c r="RR77" s="99">
        <f>RQ77/$G$87</f>
        <v>0.0309839044530864</v>
      </c>
      <c r="RS77" s="136">
        <v>29</v>
      </c>
      <c r="RT77" t="s" s="95">
        <v>78</v>
      </c>
      <c r="RU77" t="s" s="96">
        <v>50</v>
      </c>
      <c r="RV77" s="97">
        <f t="shared" si="432"/>
        <v>2113.2</v>
      </c>
      <c r="RW77" t="s" s="96">
        <v>51</v>
      </c>
      <c r="RX77" s="98">
        <v>10750</v>
      </c>
      <c r="RY77" s="98">
        <f>RV77*RX77</f>
        <v>22716900</v>
      </c>
      <c r="RZ77" s="99">
        <f>RY77/$G$87</f>
        <v>0.0309839044530864</v>
      </c>
      <c r="SA77" s="136">
        <v>29</v>
      </c>
      <c r="SB77" t="s" s="95">
        <v>78</v>
      </c>
      <c r="SC77" t="s" s="96">
        <v>50</v>
      </c>
      <c r="SD77" s="97">
        <f t="shared" si="432"/>
        <v>2113.2</v>
      </c>
      <c r="SE77" t="s" s="96">
        <v>51</v>
      </c>
      <c r="SF77" s="98">
        <v>10750</v>
      </c>
      <c r="SG77" s="98">
        <f>SD77*SF77</f>
        <v>22716900</v>
      </c>
      <c r="SH77" s="99">
        <f>SG77/$G$87</f>
        <v>0.0309839044530864</v>
      </c>
      <c r="SI77" s="136">
        <v>29</v>
      </c>
      <c r="SJ77" t="s" s="95">
        <v>78</v>
      </c>
      <c r="SK77" t="s" s="96">
        <v>50</v>
      </c>
      <c r="SL77" s="97">
        <f t="shared" si="432"/>
        <v>2113.2</v>
      </c>
      <c r="SM77" t="s" s="96">
        <v>51</v>
      </c>
      <c r="SN77" s="98">
        <v>10750</v>
      </c>
      <c r="SO77" s="98">
        <f>SL77*SN77</f>
        <v>22716900</v>
      </c>
      <c r="SP77" s="99">
        <f>SO77/$G$87</f>
        <v>0.0309839044530864</v>
      </c>
      <c r="SQ77" s="136">
        <v>29</v>
      </c>
      <c r="SR77" t="s" s="95">
        <v>78</v>
      </c>
      <c r="SS77" t="s" s="96">
        <v>50</v>
      </c>
      <c r="ST77" s="97">
        <f t="shared" si="432"/>
        <v>2113.2</v>
      </c>
      <c r="SU77" t="s" s="96">
        <v>51</v>
      </c>
      <c r="SV77" s="98">
        <v>10750</v>
      </c>
      <c r="SW77" s="98">
        <f>ST77*SV77</f>
        <v>22716900</v>
      </c>
      <c r="SX77" s="99">
        <f>SW77/$G$87</f>
        <v>0.0309839044530864</v>
      </c>
      <c r="SY77" s="136">
        <v>29</v>
      </c>
      <c r="SZ77" t="s" s="95">
        <v>78</v>
      </c>
      <c r="TA77" t="s" s="96">
        <v>50</v>
      </c>
      <c r="TB77" s="97">
        <f t="shared" si="432"/>
        <v>2113.2</v>
      </c>
      <c r="TC77" t="s" s="96">
        <v>51</v>
      </c>
      <c r="TD77" s="98">
        <v>10750</v>
      </c>
      <c r="TE77" s="98">
        <f>TB77*TD77</f>
        <v>22716900</v>
      </c>
      <c r="TF77" s="99">
        <f>TE77/$G$87</f>
        <v>0.0309839044530864</v>
      </c>
      <c r="TG77" s="136">
        <v>29</v>
      </c>
      <c r="TH77" t="s" s="95">
        <v>78</v>
      </c>
      <c r="TI77" t="s" s="96">
        <v>50</v>
      </c>
      <c r="TJ77" s="97">
        <f t="shared" si="432"/>
        <v>2113.2</v>
      </c>
      <c r="TK77" t="s" s="96">
        <v>51</v>
      </c>
      <c r="TL77" s="98">
        <v>10750</v>
      </c>
      <c r="TM77" s="98">
        <f>TJ77*TL77</f>
        <v>22716900</v>
      </c>
      <c r="TN77" s="99">
        <f>TM77/$G$87</f>
        <v>0.0309839044530864</v>
      </c>
      <c r="TO77" s="136">
        <v>29</v>
      </c>
      <c r="TP77" t="s" s="95">
        <v>78</v>
      </c>
      <c r="TQ77" t="s" s="96">
        <v>50</v>
      </c>
      <c r="TR77" s="97">
        <f t="shared" si="432"/>
        <v>2113.2</v>
      </c>
      <c r="TS77" t="s" s="96">
        <v>51</v>
      </c>
      <c r="TT77" s="98">
        <v>10750</v>
      </c>
      <c r="TU77" s="98">
        <f>TR77*TT77</f>
        <v>22716900</v>
      </c>
      <c r="TV77" s="99">
        <f>TU77/$G$87</f>
        <v>0.0309839044530864</v>
      </c>
      <c r="TW77" s="136">
        <v>29</v>
      </c>
      <c r="TX77" t="s" s="95">
        <v>78</v>
      </c>
      <c r="TY77" t="s" s="96">
        <v>50</v>
      </c>
      <c r="TZ77" s="97">
        <f t="shared" si="432"/>
        <v>2113.2</v>
      </c>
      <c r="UA77" t="s" s="96">
        <v>51</v>
      </c>
      <c r="UB77" s="98">
        <v>10750</v>
      </c>
      <c r="UC77" s="98">
        <f>TZ77*UB77</f>
        <v>22716900</v>
      </c>
      <c r="UD77" s="99">
        <f>UC77/$G$87</f>
        <v>0.0309839044530864</v>
      </c>
      <c r="UE77" s="136">
        <v>29</v>
      </c>
      <c r="UF77" t="s" s="95">
        <v>78</v>
      </c>
      <c r="UG77" t="s" s="96">
        <v>50</v>
      </c>
      <c r="UH77" s="97">
        <f t="shared" si="432"/>
        <v>2113.2</v>
      </c>
      <c r="UI77" t="s" s="96">
        <v>51</v>
      </c>
      <c r="UJ77" s="98">
        <v>10750</v>
      </c>
      <c r="UK77" s="98">
        <f>UH77*UJ77</f>
        <v>22716900</v>
      </c>
      <c r="UL77" s="99">
        <f>UK77/$G$87</f>
        <v>0.0309839044530864</v>
      </c>
      <c r="UM77" s="136">
        <v>29</v>
      </c>
      <c r="UN77" t="s" s="95">
        <v>78</v>
      </c>
      <c r="UO77" t="s" s="96">
        <v>50</v>
      </c>
      <c r="UP77" s="97">
        <f t="shared" si="531" ref="UP77:AEL77">105.66*20</f>
        <v>2113.2</v>
      </c>
      <c r="UQ77" t="s" s="96">
        <v>51</v>
      </c>
      <c r="UR77" s="98">
        <v>10750</v>
      </c>
      <c r="US77" s="98">
        <f>UP77*UR77</f>
        <v>22716900</v>
      </c>
      <c r="UT77" s="99">
        <f>US77/$G$87</f>
        <v>0.0309839044530864</v>
      </c>
      <c r="UU77" s="136">
        <v>29</v>
      </c>
      <c r="UV77" t="s" s="95">
        <v>78</v>
      </c>
      <c r="UW77" t="s" s="96">
        <v>50</v>
      </c>
      <c r="UX77" s="97">
        <f t="shared" si="531"/>
        <v>2113.2</v>
      </c>
      <c r="UY77" t="s" s="96">
        <v>51</v>
      </c>
      <c r="UZ77" s="98">
        <v>10750</v>
      </c>
      <c r="VA77" s="98">
        <f>UX77*UZ77</f>
        <v>22716900</v>
      </c>
      <c r="VB77" s="99">
        <f>VA77/$G$87</f>
        <v>0.0309839044530864</v>
      </c>
      <c r="VC77" s="136">
        <v>29</v>
      </c>
      <c r="VD77" t="s" s="95">
        <v>78</v>
      </c>
      <c r="VE77" t="s" s="96">
        <v>50</v>
      </c>
      <c r="VF77" s="97">
        <f t="shared" si="531"/>
        <v>2113.2</v>
      </c>
      <c r="VG77" t="s" s="96">
        <v>51</v>
      </c>
      <c r="VH77" s="98">
        <v>10750</v>
      </c>
      <c r="VI77" s="98">
        <f>VF77*VH77</f>
        <v>22716900</v>
      </c>
      <c r="VJ77" s="99">
        <f>VI77/$G$87</f>
        <v>0.0309839044530864</v>
      </c>
      <c r="VK77" s="136">
        <v>29</v>
      </c>
      <c r="VL77" t="s" s="95">
        <v>78</v>
      </c>
      <c r="VM77" t="s" s="96">
        <v>50</v>
      </c>
      <c r="VN77" s="97">
        <f t="shared" si="531"/>
        <v>2113.2</v>
      </c>
      <c r="VO77" t="s" s="96">
        <v>51</v>
      </c>
      <c r="VP77" s="98">
        <v>10750</v>
      </c>
      <c r="VQ77" s="98">
        <f>VN77*VP77</f>
        <v>22716900</v>
      </c>
      <c r="VR77" s="99">
        <f>VQ77/$G$87</f>
        <v>0.0309839044530864</v>
      </c>
      <c r="VS77" s="136">
        <v>29</v>
      </c>
      <c r="VT77" t="s" s="95">
        <v>78</v>
      </c>
      <c r="VU77" t="s" s="96">
        <v>50</v>
      </c>
      <c r="VV77" s="97">
        <f t="shared" si="531"/>
        <v>2113.2</v>
      </c>
      <c r="VW77" t="s" s="96">
        <v>51</v>
      </c>
      <c r="VX77" s="98">
        <v>10750</v>
      </c>
      <c r="VY77" s="98">
        <f>VV77*VX77</f>
        <v>22716900</v>
      </c>
      <c r="VZ77" s="99">
        <f>VY77/$G$87</f>
        <v>0.0309839044530864</v>
      </c>
      <c r="WA77" s="136">
        <v>29</v>
      </c>
      <c r="WB77" t="s" s="95">
        <v>78</v>
      </c>
      <c r="WC77" t="s" s="96">
        <v>50</v>
      </c>
      <c r="WD77" s="97">
        <f t="shared" si="531"/>
        <v>2113.2</v>
      </c>
      <c r="WE77" t="s" s="96">
        <v>51</v>
      </c>
      <c r="WF77" s="98">
        <v>10750</v>
      </c>
      <c r="WG77" s="98">
        <f>WD77*WF77</f>
        <v>22716900</v>
      </c>
      <c r="WH77" s="99">
        <f>WG77/$G$87</f>
        <v>0.0309839044530864</v>
      </c>
      <c r="WI77" s="136">
        <v>29</v>
      </c>
      <c r="WJ77" t="s" s="95">
        <v>78</v>
      </c>
      <c r="WK77" t="s" s="96">
        <v>50</v>
      </c>
      <c r="WL77" s="97">
        <f t="shared" si="531"/>
        <v>2113.2</v>
      </c>
      <c r="WM77" t="s" s="96">
        <v>51</v>
      </c>
      <c r="WN77" s="98">
        <v>10750</v>
      </c>
      <c r="WO77" s="98">
        <f>WL77*WN77</f>
        <v>22716900</v>
      </c>
      <c r="WP77" s="99">
        <f>WO77/$G$87</f>
        <v>0.0309839044530864</v>
      </c>
      <c r="WQ77" s="136">
        <v>29</v>
      </c>
      <c r="WR77" t="s" s="95">
        <v>78</v>
      </c>
      <c r="WS77" t="s" s="96">
        <v>50</v>
      </c>
      <c r="WT77" s="97">
        <f t="shared" si="531"/>
        <v>2113.2</v>
      </c>
      <c r="WU77" t="s" s="96">
        <v>51</v>
      </c>
      <c r="WV77" s="98">
        <v>10750</v>
      </c>
      <c r="WW77" s="98">
        <f>WT77*WV77</f>
        <v>22716900</v>
      </c>
      <c r="WX77" s="99">
        <f>WW77/$G$87</f>
        <v>0.0309839044530864</v>
      </c>
      <c r="WY77" s="136">
        <v>29</v>
      </c>
      <c r="WZ77" t="s" s="95">
        <v>78</v>
      </c>
      <c r="XA77" t="s" s="96">
        <v>50</v>
      </c>
      <c r="XB77" s="97">
        <f t="shared" si="531"/>
        <v>2113.2</v>
      </c>
      <c r="XC77" t="s" s="96">
        <v>51</v>
      </c>
      <c r="XD77" s="98">
        <v>10750</v>
      </c>
      <c r="XE77" s="98">
        <f>XB77*XD77</f>
        <v>22716900</v>
      </c>
      <c r="XF77" s="99">
        <f>XE77/$G$87</f>
        <v>0.0309839044530864</v>
      </c>
      <c r="XG77" s="136">
        <v>29</v>
      </c>
      <c r="XH77" t="s" s="95">
        <v>78</v>
      </c>
      <c r="XI77" t="s" s="96">
        <v>50</v>
      </c>
      <c r="XJ77" s="97">
        <f t="shared" si="531"/>
        <v>2113.2</v>
      </c>
      <c r="XK77" t="s" s="96">
        <v>51</v>
      </c>
      <c r="XL77" s="98">
        <v>10750</v>
      </c>
      <c r="XM77" s="98">
        <f>XJ77*XL77</f>
        <v>22716900</v>
      </c>
      <c r="XN77" s="99">
        <f>XM77/$G$87</f>
        <v>0.0309839044530864</v>
      </c>
      <c r="XO77" s="136">
        <v>29</v>
      </c>
      <c r="XP77" t="s" s="95">
        <v>78</v>
      </c>
      <c r="XQ77" t="s" s="96">
        <v>50</v>
      </c>
      <c r="XR77" s="97">
        <f t="shared" si="531"/>
        <v>2113.2</v>
      </c>
      <c r="XS77" t="s" s="96">
        <v>51</v>
      </c>
      <c r="XT77" s="98">
        <v>10750</v>
      </c>
      <c r="XU77" s="98">
        <f>XR77*XT77</f>
        <v>22716900</v>
      </c>
      <c r="XV77" s="99">
        <f>XU77/$G$87</f>
        <v>0.0309839044530864</v>
      </c>
      <c r="XW77" s="136">
        <v>29</v>
      </c>
      <c r="XX77" t="s" s="95">
        <v>78</v>
      </c>
      <c r="XY77" t="s" s="96">
        <v>50</v>
      </c>
      <c r="XZ77" s="97">
        <f t="shared" si="531"/>
        <v>2113.2</v>
      </c>
      <c r="YA77" t="s" s="96">
        <v>51</v>
      </c>
      <c r="YB77" s="98">
        <v>10750</v>
      </c>
      <c r="YC77" s="98">
        <f>XZ77*YB77</f>
        <v>22716900</v>
      </c>
      <c r="YD77" s="99">
        <f>YC77/$G$87</f>
        <v>0.0309839044530864</v>
      </c>
      <c r="YE77" s="136">
        <v>29</v>
      </c>
      <c r="YF77" t="s" s="95">
        <v>78</v>
      </c>
      <c r="YG77" t="s" s="96">
        <v>50</v>
      </c>
      <c r="YH77" s="97">
        <f t="shared" si="531"/>
        <v>2113.2</v>
      </c>
      <c r="YI77" t="s" s="96">
        <v>51</v>
      </c>
      <c r="YJ77" s="98">
        <v>10750</v>
      </c>
      <c r="YK77" s="98">
        <f>YH77*YJ77</f>
        <v>22716900</v>
      </c>
      <c r="YL77" s="99">
        <f>YK77/$G$87</f>
        <v>0.0309839044530864</v>
      </c>
      <c r="YM77" s="136">
        <v>29</v>
      </c>
      <c r="YN77" t="s" s="95">
        <v>78</v>
      </c>
      <c r="YO77" t="s" s="96">
        <v>50</v>
      </c>
      <c r="YP77" s="97">
        <f t="shared" si="531"/>
        <v>2113.2</v>
      </c>
      <c r="YQ77" t="s" s="96">
        <v>51</v>
      </c>
      <c r="YR77" s="98">
        <v>10750</v>
      </c>
      <c r="YS77" s="98">
        <f>YP77*YR77</f>
        <v>22716900</v>
      </c>
      <c r="YT77" s="99">
        <f>YS77/$G$87</f>
        <v>0.0309839044530864</v>
      </c>
      <c r="YU77" s="136">
        <v>29</v>
      </c>
      <c r="YV77" t="s" s="95">
        <v>78</v>
      </c>
      <c r="YW77" t="s" s="96">
        <v>50</v>
      </c>
      <c r="YX77" s="97">
        <f t="shared" si="531"/>
        <v>2113.2</v>
      </c>
      <c r="YY77" t="s" s="96">
        <v>51</v>
      </c>
      <c r="YZ77" s="98">
        <v>10750</v>
      </c>
      <c r="ZA77" s="98">
        <f>YX77*YZ77</f>
        <v>22716900</v>
      </c>
      <c r="ZB77" s="99">
        <f>ZA77/$G$87</f>
        <v>0.0309839044530864</v>
      </c>
      <c r="ZC77" s="136">
        <v>29</v>
      </c>
      <c r="ZD77" t="s" s="95">
        <v>78</v>
      </c>
      <c r="ZE77" t="s" s="96">
        <v>50</v>
      </c>
      <c r="ZF77" s="97">
        <f t="shared" si="531"/>
        <v>2113.2</v>
      </c>
      <c r="ZG77" t="s" s="96">
        <v>51</v>
      </c>
      <c r="ZH77" s="98">
        <v>10750</v>
      </c>
      <c r="ZI77" s="98">
        <f>ZF77*ZH77</f>
        <v>22716900</v>
      </c>
      <c r="ZJ77" s="99">
        <f>ZI77/$G$87</f>
        <v>0.0309839044530864</v>
      </c>
      <c r="ZK77" s="136">
        <v>29</v>
      </c>
      <c r="ZL77" t="s" s="95">
        <v>78</v>
      </c>
      <c r="ZM77" t="s" s="96">
        <v>50</v>
      </c>
      <c r="ZN77" s="97">
        <f t="shared" si="531"/>
        <v>2113.2</v>
      </c>
      <c r="ZO77" t="s" s="96">
        <v>51</v>
      </c>
      <c r="ZP77" s="98">
        <v>10750</v>
      </c>
      <c r="ZQ77" s="98">
        <f>ZN77*ZP77</f>
        <v>22716900</v>
      </c>
      <c r="ZR77" s="99">
        <f>ZQ77/$G$87</f>
        <v>0.0309839044530864</v>
      </c>
      <c r="ZS77" s="136">
        <v>29</v>
      </c>
      <c r="ZT77" t="s" s="95">
        <v>78</v>
      </c>
      <c r="ZU77" t="s" s="96">
        <v>50</v>
      </c>
      <c r="ZV77" s="97">
        <f t="shared" si="531"/>
        <v>2113.2</v>
      </c>
      <c r="ZW77" t="s" s="96">
        <v>51</v>
      </c>
      <c r="ZX77" s="98">
        <v>10750</v>
      </c>
      <c r="ZY77" s="98">
        <f>ZV77*ZX77</f>
        <v>22716900</v>
      </c>
      <c r="ZZ77" s="99">
        <f>ZY77/$G$87</f>
        <v>0.0309839044530864</v>
      </c>
      <c r="AAA77" s="136">
        <v>29</v>
      </c>
      <c r="AAB77" t="s" s="95">
        <v>78</v>
      </c>
      <c r="AAC77" t="s" s="96">
        <v>50</v>
      </c>
      <c r="AAD77" s="97">
        <f t="shared" si="531"/>
        <v>2113.2</v>
      </c>
      <c r="AAE77" t="s" s="96">
        <v>51</v>
      </c>
      <c r="AAF77" s="98">
        <v>10750</v>
      </c>
      <c r="AAG77" s="98">
        <f>AAD77*AAF77</f>
        <v>22716900</v>
      </c>
      <c r="AAH77" s="99">
        <f>AAG77/$G$87</f>
        <v>0.0309839044530864</v>
      </c>
      <c r="AAI77" s="136">
        <v>29</v>
      </c>
      <c r="AAJ77" t="s" s="95">
        <v>78</v>
      </c>
      <c r="AAK77" t="s" s="96">
        <v>50</v>
      </c>
      <c r="AAL77" s="97">
        <f t="shared" si="531"/>
        <v>2113.2</v>
      </c>
      <c r="AAM77" t="s" s="96">
        <v>51</v>
      </c>
      <c r="AAN77" s="98">
        <v>10750</v>
      </c>
      <c r="AAO77" s="98">
        <f>AAL77*AAN77</f>
        <v>22716900</v>
      </c>
      <c r="AAP77" s="99">
        <f>AAO77/$G$87</f>
        <v>0.0309839044530864</v>
      </c>
      <c r="AAQ77" s="136">
        <v>29</v>
      </c>
      <c r="AAR77" t="s" s="95">
        <v>78</v>
      </c>
      <c r="AAS77" t="s" s="96">
        <v>50</v>
      </c>
      <c r="AAT77" s="97">
        <f t="shared" si="531"/>
        <v>2113.2</v>
      </c>
      <c r="AAU77" t="s" s="96">
        <v>51</v>
      </c>
      <c r="AAV77" s="98">
        <v>10750</v>
      </c>
      <c r="AAW77" s="98">
        <f>AAT77*AAV77</f>
        <v>22716900</v>
      </c>
      <c r="AAX77" s="99">
        <f>AAW77/$G$87</f>
        <v>0.0309839044530864</v>
      </c>
      <c r="AAY77" s="136">
        <v>29</v>
      </c>
      <c r="AAZ77" t="s" s="95">
        <v>78</v>
      </c>
      <c r="ABA77" t="s" s="96">
        <v>50</v>
      </c>
      <c r="ABB77" s="97">
        <f t="shared" si="531"/>
        <v>2113.2</v>
      </c>
      <c r="ABC77" t="s" s="96">
        <v>51</v>
      </c>
      <c r="ABD77" s="98">
        <v>10750</v>
      </c>
      <c r="ABE77" s="98">
        <f>ABB77*ABD77</f>
        <v>22716900</v>
      </c>
      <c r="ABF77" s="99">
        <f>ABE77/$G$87</f>
        <v>0.0309839044530864</v>
      </c>
      <c r="ABG77" s="136">
        <v>29</v>
      </c>
      <c r="ABH77" t="s" s="95">
        <v>78</v>
      </c>
      <c r="ABI77" t="s" s="96">
        <v>50</v>
      </c>
      <c r="ABJ77" s="97">
        <f t="shared" si="531"/>
        <v>2113.2</v>
      </c>
      <c r="ABK77" t="s" s="96">
        <v>51</v>
      </c>
      <c r="ABL77" s="98">
        <v>10750</v>
      </c>
      <c r="ABM77" s="98">
        <f>ABJ77*ABL77</f>
        <v>22716900</v>
      </c>
      <c r="ABN77" s="99">
        <f>ABM77/$G$87</f>
        <v>0.0309839044530864</v>
      </c>
      <c r="ABO77" s="136">
        <v>29</v>
      </c>
      <c r="ABP77" t="s" s="95">
        <v>78</v>
      </c>
      <c r="ABQ77" t="s" s="96">
        <v>50</v>
      </c>
      <c r="ABR77" s="97">
        <f t="shared" si="531"/>
        <v>2113.2</v>
      </c>
      <c r="ABS77" t="s" s="96">
        <v>51</v>
      </c>
      <c r="ABT77" s="98">
        <v>10750</v>
      </c>
      <c r="ABU77" s="98">
        <f>ABR77*ABT77</f>
        <v>22716900</v>
      </c>
      <c r="ABV77" s="99">
        <f>ABU77/$G$87</f>
        <v>0.0309839044530864</v>
      </c>
      <c r="ABW77" s="136">
        <v>29</v>
      </c>
      <c r="ABX77" t="s" s="95">
        <v>78</v>
      </c>
      <c r="ABY77" t="s" s="96">
        <v>50</v>
      </c>
      <c r="ABZ77" s="97">
        <f t="shared" si="531"/>
        <v>2113.2</v>
      </c>
      <c r="ACA77" t="s" s="96">
        <v>51</v>
      </c>
      <c r="ACB77" s="98">
        <v>10750</v>
      </c>
      <c r="ACC77" s="98">
        <f>ABZ77*ACB77</f>
        <v>22716900</v>
      </c>
      <c r="ACD77" s="99">
        <f>ACC77/$G$87</f>
        <v>0.0309839044530864</v>
      </c>
      <c r="ACE77" s="136">
        <v>29</v>
      </c>
      <c r="ACF77" t="s" s="95">
        <v>78</v>
      </c>
      <c r="ACG77" t="s" s="96">
        <v>50</v>
      </c>
      <c r="ACH77" s="97">
        <f t="shared" si="531"/>
        <v>2113.2</v>
      </c>
      <c r="ACI77" t="s" s="96">
        <v>51</v>
      </c>
      <c r="ACJ77" s="98">
        <v>10750</v>
      </c>
      <c r="ACK77" s="98">
        <f>ACH77*ACJ77</f>
        <v>22716900</v>
      </c>
      <c r="ACL77" s="99">
        <f>ACK77/$G$87</f>
        <v>0.0309839044530864</v>
      </c>
      <c r="ACM77" s="136">
        <v>29</v>
      </c>
      <c r="ACN77" t="s" s="95">
        <v>78</v>
      </c>
      <c r="ACO77" t="s" s="96">
        <v>50</v>
      </c>
      <c r="ACP77" s="97">
        <f t="shared" si="531"/>
        <v>2113.2</v>
      </c>
      <c r="ACQ77" t="s" s="96">
        <v>51</v>
      </c>
      <c r="ACR77" s="98">
        <v>10750</v>
      </c>
      <c r="ACS77" s="98">
        <f>ACP77*ACR77</f>
        <v>22716900</v>
      </c>
      <c r="ACT77" s="99">
        <f>ACS77/$G$87</f>
        <v>0.0309839044530864</v>
      </c>
      <c r="ACU77" s="136">
        <v>29</v>
      </c>
      <c r="ACV77" t="s" s="95">
        <v>78</v>
      </c>
      <c r="ACW77" t="s" s="96">
        <v>50</v>
      </c>
      <c r="ACX77" s="97">
        <f t="shared" si="531"/>
        <v>2113.2</v>
      </c>
      <c r="ACY77" t="s" s="96">
        <v>51</v>
      </c>
      <c r="ACZ77" s="98">
        <v>10750</v>
      </c>
      <c r="ADA77" s="98">
        <f>ACX77*ACZ77</f>
        <v>22716900</v>
      </c>
      <c r="ADB77" s="99">
        <f>ADA77/$G$87</f>
        <v>0.0309839044530864</v>
      </c>
      <c r="ADC77" s="136">
        <v>29</v>
      </c>
      <c r="ADD77" t="s" s="95">
        <v>78</v>
      </c>
      <c r="ADE77" t="s" s="96">
        <v>50</v>
      </c>
      <c r="ADF77" s="97">
        <f t="shared" si="531"/>
        <v>2113.2</v>
      </c>
      <c r="ADG77" t="s" s="96">
        <v>51</v>
      </c>
      <c r="ADH77" s="98">
        <v>10750</v>
      </c>
      <c r="ADI77" s="98">
        <f>ADF77*ADH77</f>
        <v>22716900</v>
      </c>
      <c r="ADJ77" s="99">
        <f>ADI77/$G$87</f>
        <v>0.0309839044530864</v>
      </c>
      <c r="ADK77" s="136">
        <v>29</v>
      </c>
      <c r="ADL77" t="s" s="95">
        <v>78</v>
      </c>
      <c r="ADM77" t="s" s="96">
        <v>50</v>
      </c>
      <c r="ADN77" s="97">
        <f t="shared" si="531"/>
        <v>2113.2</v>
      </c>
      <c r="ADO77" t="s" s="96">
        <v>51</v>
      </c>
      <c r="ADP77" s="98">
        <v>10750</v>
      </c>
      <c r="ADQ77" s="98">
        <f>ADN77*ADP77</f>
        <v>22716900</v>
      </c>
      <c r="ADR77" s="99">
        <f>ADQ77/$G$87</f>
        <v>0.0309839044530864</v>
      </c>
      <c r="ADS77" s="136">
        <v>29</v>
      </c>
      <c r="ADT77" t="s" s="95">
        <v>78</v>
      </c>
      <c r="ADU77" t="s" s="96">
        <v>50</v>
      </c>
      <c r="ADV77" s="97">
        <f t="shared" si="531"/>
        <v>2113.2</v>
      </c>
      <c r="ADW77" t="s" s="96">
        <v>51</v>
      </c>
      <c r="ADX77" s="98">
        <v>10750</v>
      </c>
      <c r="ADY77" s="98">
        <f>ADV77*ADX77</f>
        <v>22716900</v>
      </c>
      <c r="ADZ77" s="99">
        <f>ADY77/$G$87</f>
        <v>0.0309839044530864</v>
      </c>
      <c r="AEA77" s="136">
        <v>29</v>
      </c>
      <c r="AEB77" t="s" s="95">
        <v>78</v>
      </c>
      <c r="AEC77" t="s" s="96">
        <v>50</v>
      </c>
      <c r="AED77" s="97">
        <f t="shared" si="531"/>
        <v>2113.2</v>
      </c>
      <c r="AEE77" t="s" s="96">
        <v>51</v>
      </c>
      <c r="AEF77" s="98">
        <v>10750</v>
      </c>
      <c r="AEG77" s="98">
        <f>AED77*AEF77</f>
        <v>22716900</v>
      </c>
      <c r="AEH77" s="99">
        <f>AEG77/$G$87</f>
        <v>0.0309839044530864</v>
      </c>
      <c r="AEI77" s="136">
        <v>29</v>
      </c>
      <c r="AEJ77" t="s" s="95">
        <v>78</v>
      </c>
      <c r="AEK77" t="s" s="96">
        <v>50</v>
      </c>
      <c r="AEL77" s="97">
        <f t="shared" si="531"/>
        <v>2113.2</v>
      </c>
      <c r="AEM77" t="s" s="96">
        <v>51</v>
      </c>
      <c r="AEN77" s="98">
        <v>10750</v>
      </c>
      <c r="AEO77" s="98">
        <f>AEL77*AEN77</f>
        <v>22716900</v>
      </c>
      <c r="AEP77" s="99">
        <f>AEO77/$G$87</f>
        <v>0.0309839044530864</v>
      </c>
      <c r="AEQ77" s="136">
        <v>29</v>
      </c>
      <c r="AER77" t="s" s="95">
        <v>78</v>
      </c>
      <c r="AES77" t="s" s="96">
        <v>50</v>
      </c>
      <c r="AET77" s="97">
        <f t="shared" si="630" ref="AET77:ALF77">105.66*20</f>
        <v>2113.2</v>
      </c>
      <c r="AEU77" t="s" s="96">
        <v>51</v>
      </c>
      <c r="AEV77" s="98">
        <v>10750</v>
      </c>
      <c r="AEW77" s="98">
        <f>AET77*AEV77</f>
        <v>22716900</v>
      </c>
      <c r="AEX77" s="99">
        <f>AEW77/$G$87</f>
        <v>0.0309839044530864</v>
      </c>
      <c r="AEY77" s="136">
        <v>29</v>
      </c>
      <c r="AEZ77" t="s" s="95">
        <v>78</v>
      </c>
      <c r="AFA77" t="s" s="96">
        <v>50</v>
      </c>
      <c r="AFB77" s="97">
        <f t="shared" si="630"/>
        <v>2113.2</v>
      </c>
      <c r="AFC77" t="s" s="96">
        <v>51</v>
      </c>
      <c r="AFD77" s="98">
        <v>10750</v>
      </c>
      <c r="AFE77" s="98">
        <f>AFB77*AFD77</f>
        <v>22716900</v>
      </c>
      <c r="AFF77" s="99">
        <f>AFE77/$G$87</f>
        <v>0.0309839044530864</v>
      </c>
      <c r="AFG77" s="136">
        <v>29</v>
      </c>
      <c r="AFH77" t="s" s="95">
        <v>78</v>
      </c>
      <c r="AFI77" t="s" s="96">
        <v>50</v>
      </c>
      <c r="AFJ77" s="97">
        <f t="shared" si="630"/>
        <v>2113.2</v>
      </c>
      <c r="AFK77" t="s" s="96">
        <v>51</v>
      </c>
      <c r="AFL77" s="98">
        <v>10750</v>
      </c>
      <c r="AFM77" s="98">
        <f>AFJ77*AFL77</f>
        <v>22716900</v>
      </c>
      <c r="AFN77" s="99">
        <f>AFM77/$G$87</f>
        <v>0.0309839044530864</v>
      </c>
      <c r="AFO77" s="136">
        <v>29</v>
      </c>
      <c r="AFP77" t="s" s="95">
        <v>78</v>
      </c>
      <c r="AFQ77" t="s" s="96">
        <v>50</v>
      </c>
      <c r="AFR77" s="97">
        <f t="shared" si="630"/>
        <v>2113.2</v>
      </c>
      <c r="AFS77" t="s" s="96">
        <v>51</v>
      </c>
      <c r="AFT77" s="98">
        <v>10750</v>
      </c>
      <c r="AFU77" s="98">
        <f>AFR77*AFT77</f>
        <v>22716900</v>
      </c>
      <c r="AFV77" s="99">
        <f>AFU77/$G$87</f>
        <v>0.0309839044530864</v>
      </c>
      <c r="AFW77" s="136">
        <v>29</v>
      </c>
      <c r="AFX77" t="s" s="95">
        <v>78</v>
      </c>
      <c r="AFY77" t="s" s="96">
        <v>50</v>
      </c>
      <c r="AFZ77" s="97">
        <f t="shared" si="630"/>
        <v>2113.2</v>
      </c>
      <c r="AGA77" t="s" s="96">
        <v>51</v>
      </c>
      <c r="AGB77" s="98">
        <v>10750</v>
      </c>
      <c r="AGC77" s="98">
        <f>AFZ77*AGB77</f>
        <v>22716900</v>
      </c>
      <c r="AGD77" s="99">
        <f>AGC77/$G$87</f>
        <v>0.0309839044530864</v>
      </c>
      <c r="AGE77" s="136">
        <v>29</v>
      </c>
      <c r="AGF77" t="s" s="95">
        <v>78</v>
      </c>
      <c r="AGG77" t="s" s="96">
        <v>50</v>
      </c>
      <c r="AGH77" s="97">
        <f t="shared" si="630"/>
        <v>2113.2</v>
      </c>
      <c r="AGI77" t="s" s="96">
        <v>51</v>
      </c>
      <c r="AGJ77" s="98">
        <v>10750</v>
      </c>
      <c r="AGK77" s="98">
        <f>AGH77*AGJ77</f>
        <v>22716900</v>
      </c>
      <c r="AGL77" s="99">
        <f>AGK77/$G$87</f>
        <v>0.0309839044530864</v>
      </c>
      <c r="AGM77" s="136">
        <v>29</v>
      </c>
      <c r="AGN77" t="s" s="95">
        <v>78</v>
      </c>
      <c r="AGO77" t="s" s="96">
        <v>50</v>
      </c>
      <c r="AGP77" s="97">
        <f t="shared" si="630"/>
        <v>2113.2</v>
      </c>
      <c r="AGQ77" t="s" s="96">
        <v>51</v>
      </c>
      <c r="AGR77" s="98">
        <v>10750</v>
      </c>
      <c r="AGS77" s="98">
        <f>AGP77*AGR77</f>
        <v>22716900</v>
      </c>
      <c r="AGT77" s="99">
        <f>AGS77/$G$87</f>
        <v>0.0309839044530864</v>
      </c>
      <c r="AGU77" s="136">
        <v>29</v>
      </c>
      <c r="AGV77" t="s" s="95">
        <v>78</v>
      </c>
      <c r="AGW77" t="s" s="96">
        <v>50</v>
      </c>
      <c r="AGX77" s="97">
        <f t="shared" si="630"/>
        <v>2113.2</v>
      </c>
      <c r="AGY77" t="s" s="96">
        <v>51</v>
      </c>
      <c r="AGZ77" s="98">
        <v>10750</v>
      </c>
      <c r="AHA77" s="98">
        <f>AGX77*AGZ77</f>
        <v>22716900</v>
      </c>
      <c r="AHB77" s="99">
        <f>AHA77/$G$87</f>
        <v>0.0309839044530864</v>
      </c>
      <c r="AHC77" s="136">
        <v>29</v>
      </c>
      <c r="AHD77" t="s" s="95">
        <v>78</v>
      </c>
      <c r="AHE77" t="s" s="96">
        <v>50</v>
      </c>
      <c r="AHF77" s="97">
        <f t="shared" si="630"/>
        <v>2113.2</v>
      </c>
      <c r="AHG77" t="s" s="96">
        <v>51</v>
      </c>
      <c r="AHH77" s="98">
        <v>10750</v>
      </c>
      <c r="AHI77" s="98">
        <f>AHF77*AHH77</f>
        <v>22716900</v>
      </c>
      <c r="AHJ77" s="99">
        <f>AHI77/$G$87</f>
        <v>0.0309839044530864</v>
      </c>
      <c r="AHK77" s="136">
        <v>29</v>
      </c>
      <c r="AHL77" t="s" s="95">
        <v>78</v>
      </c>
      <c r="AHM77" t="s" s="96">
        <v>50</v>
      </c>
      <c r="AHN77" s="97">
        <f t="shared" si="630"/>
        <v>2113.2</v>
      </c>
      <c r="AHO77" t="s" s="96">
        <v>51</v>
      </c>
      <c r="AHP77" s="98">
        <v>10750</v>
      </c>
      <c r="AHQ77" s="98">
        <f>AHN77*AHP77</f>
        <v>22716900</v>
      </c>
      <c r="AHR77" s="99">
        <f>AHQ77/$G$87</f>
        <v>0.0309839044530864</v>
      </c>
      <c r="AHS77" s="136">
        <v>29</v>
      </c>
      <c r="AHT77" t="s" s="95">
        <v>78</v>
      </c>
      <c r="AHU77" t="s" s="96">
        <v>50</v>
      </c>
      <c r="AHV77" s="97">
        <f t="shared" si="630"/>
        <v>2113.2</v>
      </c>
      <c r="AHW77" t="s" s="96">
        <v>51</v>
      </c>
      <c r="AHX77" s="98">
        <v>10750</v>
      </c>
      <c r="AHY77" s="98">
        <f>AHV77*AHX77</f>
        <v>22716900</v>
      </c>
      <c r="AHZ77" s="99">
        <f>AHY77/$G$87</f>
        <v>0.0309839044530864</v>
      </c>
      <c r="AIA77" s="136">
        <v>29</v>
      </c>
      <c r="AIB77" t="s" s="95">
        <v>78</v>
      </c>
      <c r="AIC77" t="s" s="96">
        <v>50</v>
      </c>
      <c r="AID77" s="97">
        <f t="shared" si="630"/>
        <v>2113.2</v>
      </c>
      <c r="AIE77" t="s" s="96">
        <v>51</v>
      </c>
      <c r="AIF77" s="98">
        <v>10750</v>
      </c>
      <c r="AIG77" s="98">
        <f>AID77*AIF77</f>
        <v>22716900</v>
      </c>
      <c r="AIH77" s="99">
        <f>AIG77/$G$87</f>
        <v>0.0309839044530864</v>
      </c>
      <c r="AII77" s="136">
        <v>29</v>
      </c>
      <c r="AIJ77" t="s" s="95">
        <v>78</v>
      </c>
      <c r="AIK77" t="s" s="96">
        <v>50</v>
      </c>
      <c r="AIL77" s="97">
        <f t="shared" si="630"/>
        <v>2113.2</v>
      </c>
      <c r="AIM77" t="s" s="96">
        <v>51</v>
      </c>
      <c r="AIN77" s="98">
        <v>10750</v>
      </c>
      <c r="AIO77" s="98">
        <f>AIL77*AIN77</f>
        <v>22716900</v>
      </c>
      <c r="AIP77" s="99">
        <f>AIO77/$G$87</f>
        <v>0.0309839044530864</v>
      </c>
      <c r="AIQ77" s="136">
        <v>29</v>
      </c>
      <c r="AIR77" t="s" s="95">
        <v>78</v>
      </c>
      <c r="AIS77" t="s" s="96">
        <v>50</v>
      </c>
      <c r="AIT77" s="97">
        <f t="shared" si="630"/>
        <v>2113.2</v>
      </c>
      <c r="AIU77" t="s" s="96">
        <v>51</v>
      </c>
      <c r="AIV77" s="98">
        <v>10750</v>
      </c>
      <c r="AIW77" s="98">
        <f>AIT77*AIV77</f>
        <v>22716900</v>
      </c>
      <c r="AIX77" s="99">
        <f>AIW77/$G$87</f>
        <v>0.0309839044530864</v>
      </c>
      <c r="AIY77" s="136">
        <v>29</v>
      </c>
      <c r="AIZ77" t="s" s="95">
        <v>78</v>
      </c>
      <c r="AJA77" t="s" s="96">
        <v>50</v>
      </c>
      <c r="AJB77" s="97">
        <f t="shared" si="630"/>
        <v>2113.2</v>
      </c>
      <c r="AJC77" t="s" s="96">
        <v>51</v>
      </c>
      <c r="AJD77" s="98">
        <v>10750</v>
      </c>
      <c r="AJE77" s="98">
        <f>AJB77*AJD77</f>
        <v>22716900</v>
      </c>
      <c r="AJF77" s="99">
        <f>AJE77/$G$87</f>
        <v>0.0309839044530864</v>
      </c>
      <c r="AJG77" s="136">
        <v>29</v>
      </c>
      <c r="AJH77" t="s" s="95">
        <v>78</v>
      </c>
      <c r="AJI77" t="s" s="96">
        <v>50</v>
      </c>
      <c r="AJJ77" s="97">
        <f t="shared" si="630"/>
        <v>2113.2</v>
      </c>
      <c r="AJK77" t="s" s="96">
        <v>51</v>
      </c>
      <c r="AJL77" s="98">
        <v>10750</v>
      </c>
      <c r="AJM77" s="98">
        <f>AJJ77*AJL77</f>
        <v>22716900</v>
      </c>
      <c r="AJN77" s="99">
        <f>AJM77/$G$87</f>
        <v>0.0309839044530864</v>
      </c>
      <c r="AJO77" s="136">
        <v>29</v>
      </c>
      <c r="AJP77" t="s" s="95">
        <v>78</v>
      </c>
      <c r="AJQ77" t="s" s="96">
        <v>50</v>
      </c>
      <c r="AJR77" s="97">
        <f t="shared" si="630"/>
        <v>2113.2</v>
      </c>
      <c r="AJS77" t="s" s="96">
        <v>51</v>
      </c>
      <c r="AJT77" s="98">
        <v>10750</v>
      </c>
      <c r="AJU77" s="98">
        <f>AJR77*AJT77</f>
        <v>22716900</v>
      </c>
      <c r="AJV77" s="99">
        <f>AJU77/$G$87</f>
        <v>0.0309839044530864</v>
      </c>
      <c r="AJW77" s="136">
        <v>29</v>
      </c>
      <c r="AJX77" t="s" s="95">
        <v>78</v>
      </c>
      <c r="AJY77" t="s" s="96">
        <v>50</v>
      </c>
      <c r="AJZ77" s="97">
        <f t="shared" si="630"/>
        <v>2113.2</v>
      </c>
      <c r="AKA77" t="s" s="96">
        <v>51</v>
      </c>
      <c r="AKB77" s="98">
        <v>10750</v>
      </c>
      <c r="AKC77" s="98">
        <f>AJZ77*AKB77</f>
        <v>22716900</v>
      </c>
      <c r="AKD77" s="99">
        <f>AKC77/$G$87</f>
        <v>0.0309839044530864</v>
      </c>
      <c r="AKE77" s="136">
        <v>29</v>
      </c>
      <c r="AKF77" t="s" s="95">
        <v>78</v>
      </c>
      <c r="AKG77" t="s" s="96">
        <v>50</v>
      </c>
      <c r="AKH77" s="97">
        <f t="shared" si="630"/>
        <v>2113.2</v>
      </c>
      <c r="AKI77" t="s" s="96">
        <v>51</v>
      </c>
      <c r="AKJ77" s="98">
        <v>10750</v>
      </c>
      <c r="AKK77" s="98">
        <f>AKH77*AKJ77</f>
        <v>22716900</v>
      </c>
      <c r="AKL77" s="99">
        <f>AKK77/$G$87</f>
        <v>0.0309839044530864</v>
      </c>
      <c r="AKM77" s="136">
        <v>29</v>
      </c>
      <c r="AKN77" t="s" s="95">
        <v>78</v>
      </c>
      <c r="AKO77" t="s" s="96">
        <v>50</v>
      </c>
      <c r="AKP77" s="97">
        <f t="shared" si="630"/>
        <v>2113.2</v>
      </c>
      <c r="AKQ77" t="s" s="96">
        <v>51</v>
      </c>
      <c r="AKR77" s="98">
        <v>10750</v>
      </c>
      <c r="AKS77" s="98">
        <f>AKP77*AKR77</f>
        <v>22716900</v>
      </c>
      <c r="AKT77" s="99">
        <f>AKS77/$G$87</f>
        <v>0.0309839044530864</v>
      </c>
      <c r="AKU77" s="136">
        <v>29</v>
      </c>
      <c r="AKV77" t="s" s="95">
        <v>78</v>
      </c>
      <c r="AKW77" t="s" s="96">
        <v>50</v>
      </c>
      <c r="AKX77" s="97">
        <f t="shared" si="630"/>
        <v>2113.2</v>
      </c>
      <c r="AKY77" t="s" s="96">
        <v>51</v>
      </c>
      <c r="AKZ77" s="98">
        <v>10750</v>
      </c>
      <c r="ALA77" s="98">
        <f>AKX77*AKZ77</f>
        <v>22716900</v>
      </c>
      <c r="ALB77" s="99">
        <f>ALA77/$G$87</f>
        <v>0.0309839044530864</v>
      </c>
      <c r="ALC77" s="136">
        <v>29</v>
      </c>
      <c r="ALD77" t="s" s="95">
        <v>78</v>
      </c>
      <c r="ALE77" t="s" s="96">
        <v>50</v>
      </c>
      <c r="ALF77" s="97">
        <f t="shared" si="630"/>
        <v>2113.2</v>
      </c>
      <c r="ALG77" t="s" s="96">
        <v>51</v>
      </c>
      <c r="ALH77" s="98">
        <v>10750</v>
      </c>
      <c r="ALI77" s="98">
        <f>ALF77*ALH77</f>
        <v>22716900</v>
      </c>
      <c r="ALJ77" s="99">
        <f>ALI77/$G$87</f>
        <v>0.0309839044530864</v>
      </c>
      <c r="ALK77" s="136">
        <v>29</v>
      </c>
      <c r="ALL77" t="s" s="137">
        <v>78</v>
      </c>
    </row>
    <row r="78" s="25" customFormat="1" ht="13.5" customHeight="1">
      <c r="A78" s="101"/>
      <c r="B78" t="s" s="125">
        <v>101</v>
      </c>
      <c r="C78" s="126"/>
      <c r="D78" s="126"/>
      <c r="E78" s="126"/>
      <c r="F78" s="126"/>
      <c r="G78" s="110">
        <f>SUM(G70:G77)</f>
        <v>223502320.150963</v>
      </c>
      <c r="H78" s="99">
        <f>G78/$G$87</f>
        <v>0.304838007501048</v>
      </c>
      <c r="I78" s="99"/>
      <c r="J78" s="99"/>
      <c r="K78" s="100"/>
      <c r="L78" s="110">
        <f>SUM(L70:L77)</f>
        <v>12003346.9468831</v>
      </c>
      <c r="M78" s="99"/>
      <c r="N78" s="99"/>
      <c r="O78" s="115">
        <f>F78/$O$17</f>
      </c>
      <c r="P78" s="110">
        <f>SUM(P70:P77)</f>
        <v>99777821.49596579</v>
      </c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</row>
    <row r="79" s="25" customFormat="1" ht="13" customHeight="1">
      <c r="A79" s="101"/>
      <c r="B79" s="90"/>
      <c r="C79" s="106"/>
      <c r="D79" s="135"/>
      <c r="E79" s="108"/>
      <c r="F79" s="109"/>
      <c r="G79" s="103"/>
      <c r="H79" s="112"/>
      <c r="I79" s="112"/>
      <c r="J79" s="112"/>
      <c r="K79" s="100"/>
      <c r="L79" s="112"/>
      <c r="M79" s="112"/>
      <c r="N79" s="112"/>
      <c r="O79" s="115">
        <f>F79/$O$17</f>
        <v>0</v>
      </c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</row>
    <row r="80" s="25" customFormat="1" ht="13" customHeight="1">
      <c r="A80" t="s" s="91">
        <v>102</v>
      </c>
      <c r="B80" s="84"/>
      <c r="C80" s="106"/>
      <c r="D80" s="135"/>
      <c r="E80" s="108"/>
      <c r="F80" s="109"/>
      <c r="G80" s="103"/>
      <c r="H80" s="112"/>
      <c r="I80" s="112"/>
      <c r="J80" s="112"/>
      <c r="K80" s="100"/>
      <c r="L80" s="112"/>
      <c r="M80" s="112"/>
      <c r="N80" s="112"/>
      <c r="O80" s="115">
        <f>F80/$O$17</f>
        <v>0</v>
      </c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</row>
    <row r="81" s="25" customFormat="1" ht="25" customHeight="1">
      <c r="A81" s="101">
        <v>12</v>
      </c>
      <c r="B81" t="s" s="102">
        <v>103</v>
      </c>
      <c r="C81" t="s" s="113">
        <v>69</v>
      </c>
      <c r="D81" s="138">
        <v>1</v>
      </c>
      <c r="E81" t="s" s="113">
        <v>51</v>
      </c>
      <c r="F81" s="103">
        <v>5002223.19052196</v>
      </c>
      <c r="G81" s="122">
        <f>D81*F81</f>
        <v>5002223.19052196</v>
      </c>
      <c r="H81" s="99">
        <f>G81/$G$87</f>
        <v>0.00682260367339494</v>
      </c>
      <c r="I81" s="99"/>
      <c r="J81" s="99"/>
      <c r="K81" s="115">
        <f>F81/$K$17</f>
        <v>268647.862004402</v>
      </c>
      <c r="L81" s="115">
        <f>D81*K81</f>
        <v>268647.862004402</v>
      </c>
      <c r="M81" s="99"/>
      <c r="N81" s="99"/>
      <c r="O81" s="115">
        <f>F81/$O$17</f>
        <v>2233135.35291159</v>
      </c>
      <c r="P81" s="115">
        <f>O81*D81</f>
        <v>2233135.35291159</v>
      </c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</row>
    <row r="82" s="25" customFormat="1" ht="14" customHeight="1">
      <c r="A82" s="101"/>
      <c r="B82" t="s" s="139">
        <v>104</v>
      </c>
      <c r="C82" s="106"/>
      <c r="D82" s="138"/>
      <c r="E82" s="108"/>
      <c r="F82" s="109"/>
      <c r="G82" s="110">
        <f>G81</f>
        <v>5002223.19052196</v>
      </c>
      <c r="H82" s="99">
        <f>G82/$G$87</f>
        <v>0.00682260367339494</v>
      </c>
      <c r="I82" s="99"/>
      <c r="J82" s="99"/>
      <c r="K82" s="140">
        <f>F82/20</f>
        <v>0</v>
      </c>
      <c r="L82" s="100">
        <f>L81</f>
        <v>268647.862004402</v>
      </c>
      <c r="M82" s="99"/>
      <c r="N82" s="99"/>
      <c r="O82" s="140">
        <f>J82/20</f>
        <v>0</v>
      </c>
      <c r="P82" s="115">
        <f>P81</f>
        <v>2233135.35291159</v>
      </c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</row>
    <row r="83" s="25" customFormat="1" ht="14" customHeight="1">
      <c r="A83" s="101"/>
      <c r="B83" s="90"/>
      <c r="C83" s="106"/>
      <c r="D83" s="138"/>
      <c r="E83" s="108"/>
      <c r="F83" s="109"/>
      <c r="G83" s="141"/>
      <c r="H83" s="112"/>
      <c r="I83" s="112"/>
      <c r="J83" s="112"/>
      <c r="K83" s="140">
        <f>F83/20</f>
        <v>0</v>
      </c>
      <c r="L83" s="112"/>
      <c r="M83" s="112"/>
      <c r="N83" s="112"/>
      <c r="O83" s="140">
        <f>J83/20</f>
        <v>0</v>
      </c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</row>
    <row r="84" s="25" customFormat="1" ht="14.25" customHeight="1">
      <c r="A84" s="101"/>
      <c r="B84" t="s" s="125">
        <v>88</v>
      </c>
      <c r="C84" s="126"/>
      <c r="D84" s="126"/>
      <c r="E84" s="126"/>
      <c r="F84" s="126"/>
      <c r="G84" s="142">
        <f>G59</f>
        <v>504679359.752339</v>
      </c>
      <c r="H84" s="99">
        <f>G84/$G$87</f>
        <v>0.688339388825557</v>
      </c>
      <c r="I84" s="99"/>
      <c r="J84" s="99"/>
      <c r="K84" s="140">
        <f>F84/20</f>
      </c>
      <c r="L84" s="100">
        <f>L59</f>
        <v>27104154.6590943</v>
      </c>
      <c r="M84" s="99"/>
      <c r="N84" s="99"/>
      <c r="O84" s="140">
        <f>J84/20</f>
        <v>0</v>
      </c>
      <c r="P84" s="115">
        <f>P83</f>
        <v>0</v>
      </c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</row>
    <row r="85" s="25" customFormat="1" ht="13.5" customHeight="1">
      <c r="A85" s="101"/>
      <c r="B85" t="s" s="125">
        <v>101</v>
      </c>
      <c r="C85" s="126"/>
      <c r="D85" s="126"/>
      <c r="E85" s="126"/>
      <c r="F85" s="126"/>
      <c r="G85" s="110">
        <f>G78</f>
        <v>223502320.150963</v>
      </c>
      <c r="H85" s="99">
        <f>G85/$G$87</f>
        <v>0.304838007501048</v>
      </c>
      <c r="I85" s="99"/>
      <c r="J85" s="99"/>
      <c r="K85" s="140">
        <f>F85/20</f>
      </c>
      <c r="L85" s="100">
        <f>L78</f>
        <v>12003346.9468831</v>
      </c>
      <c r="M85" s="99"/>
      <c r="N85" s="99"/>
      <c r="O85" s="140">
        <f>J85/20</f>
        <v>0</v>
      </c>
      <c r="P85" s="115">
        <f>P84</f>
        <v>0</v>
      </c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</row>
    <row r="86" s="25" customFormat="1" ht="12.75" customHeight="1">
      <c r="A86" s="101"/>
      <c r="B86" t="s" s="125">
        <v>104</v>
      </c>
      <c r="C86" s="126"/>
      <c r="D86" s="126"/>
      <c r="E86" s="126"/>
      <c r="F86" s="126"/>
      <c r="G86" s="141">
        <f>G82</f>
        <v>5002223.19052196</v>
      </c>
      <c r="H86" s="143">
        <f>G86/$G$87</f>
        <v>0.00682260367339494</v>
      </c>
      <c r="I86" s="99"/>
      <c r="J86" s="99"/>
      <c r="K86" s="140">
        <f>F86/20</f>
      </c>
      <c r="L86" s="100">
        <f>L82</f>
        <v>268647.862004402</v>
      </c>
      <c r="M86" s="99"/>
      <c r="N86" s="99"/>
      <c r="O86" s="140">
        <f>J86/20</f>
        <v>0</v>
      </c>
      <c r="P86" s="115">
        <f>P85</f>
        <v>0</v>
      </c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</row>
    <row r="87" s="25" customFormat="1" ht="13" customHeight="1">
      <c r="A87" t="s" s="144">
        <v>105</v>
      </c>
      <c r="B87" t="s" s="139">
        <v>106</v>
      </c>
      <c r="C87" s="84"/>
      <c r="D87" s="84"/>
      <c r="E87" s="86"/>
      <c r="F87" s="93"/>
      <c r="G87" s="145">
        <f>SUM(G84:G86)</f>
        <v>733183903.093824</v>
      </c>
      <c r="H87" s="146">
        <v>0.999989182396458</v>
      </c>
      <c r="I87" s="147"/>
      <c r="J87" s="147"/>
      <c r="K87" s="140">
        <f>F87/20</f>
        <v>0</v>
      </c>
      <c r="L87" s="148">
        <f>SUM(L84:L86)</f>
        <v>39376149.4679818</v>
      </c>
      <c r="M87" s="147"/>
      <c r="N87" s="147"/>
      <c r="O87" s="140">
        <f>J87/20</f>
        <v>0</v>
      </c>
      <c r="P87" s="115">
        <f>O87*D87</f>
        <v>0</v>
      </c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</row>
    <row r="88" s="25" customFormat="1" ht="13" customHeight="1">
      <c r="A88" s="149"/>
      <c r="B88" t="s" s="57">
        <v>107</v>
      </c>
      <c r="C88" s="84"/>
      <c r="D88" s="84"/>
      <c r="E88" s="86"/>
      <c r="F88" s="6"/>
      <c r="G88" s="150">
        <f>G87</f>
        <v>733183903.093824</v>
      </c>
      <c r="H88" s="147">
        <v>1</v>
      </c>
      <c r="I88" s="147"/>
      <c r="J88" s="147"/>
      <c r="K88" s="140">
        <f>F88/20</f>
        <v>0</v>
      </c>
      <c r="L88" s="148">
        <f>L87</f>
        <v>39376149.4679818</v>
      </c>
      <c r="M88" s="147"/>
      <c r="N88" s="147"/>
      <c r="O88" s="140">
        <f>J88/20</f>
        <v>0</v>
      </c>
      <c r="P88" s="148">
        <f>P87</f>
        <v>0</v>
      </c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</row>
    <row r="89" s="25" customFormat="1" ht="13" customHeight="1">
      <c r="A89" s="149"/>
      <c r="B89" s="151"/>
      <c r="C89" s="84"/>
      <c r="D89" s="84"/>
      <c r="E89" s="86"/>
      <c r="F89" s="152">
        <v>0</v>
      </c>
      <c r="G89" s="153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</row>
    <row r="90" s="25" customFormat="1" ht="15.75" customHeight="1">
      <c r="A90" s="154"/>
      <c r="B90" t="s" s="155">
        <v>108</v>
      </c>
      <c r="C90" s="156"/>
      <c r="D90" s="156"/>
      <c r="E90" s="157"/>
      <c r="F90" s="158"/>
      <c r="G90" s="159"/>
      <c r="H90" s="160"/>
      <c r="I90" s="147"/>
      <c r="J90" s="147"/>
      <c r="K90" s="147"/>
      <c r="L90" s="88">
        <f>G88/K17</f>
        <v>39376149.467982</v>
      </c>
      <c r="M90" s="147"/>
      <c r="N90" s="147"/>
      <c r="O90" s="147"/>
      <c r="P90" s="88">
        <f>G88/O17</f>
        <v>327314242.4526</v>
      </c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</row>
    <row r="91" s="25" customFormat="1" ht="14" customHeight="1">
      <c r="A91" s="161"/>
      <c r="B91" s="29"/>
      <c r="C91" s="29"/>
      <c r="D91" s="29"/>
      <c r="E91" s="29"/>
      <c r="F91" s="29"/>
      <c r="G91" s="29"/>
      <c r="H91" s="30"/>
      <c r="I91" s="162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</row>
    <row r="92" s="25" customFormat="1" ht="13" customHeight="1">
      <c r="A92" s="33"/>
      <c r="B92" s="34"/>
      <c r="C92" s="34"/>
      <c r="D92" s="34"/>
      <c r="E92" s="34"/>
      <c r="F92" s="34"/>
      <c r="G92" s="34"/>
      <c r="H92" s="35"/>
      <c r="I92" s="162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</row>
    <row r="93" s="25" customFormat="1" ht="13" customHeight="1">
      <c r="A93" s="36"/>
      <c r="B93" s="38"/>
      <c r="C93" s="38"/>
      <c r="D93" s="38"/>
      <c r="E93" s="38"/>
      <c r="G93" s="39"/>
      <c r="H93" s="40"/>
      <c r="I93" s="162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</row>
    <row r="94" s="25" customFormat="1" ht="13" customHeight="1">
      <c r="A94" s="42"/>
      <c r="B94" s="38"/>
      <c r="C94" s="38"/>
      <c r="D94" s="38"/>
      <c r="E94" s="38"/>
      <c r="G94" s="39"/>
      <c r="H94" s="40"/>
    </row>
    <row r="95" s="25" customFormat="1" ht="12.75" customHeight="1">
      <c r="A95" s="163"/>
      <c r="B95" s="44"/>
      <c r="C95" s="44"/>
      <c r="D95" s="44"/>
      <c r="E95" s="45"/>
      <c r="G95" s="39"/>
      <c r="H95" s="40"/>
    </row>
    <row r="96" s="25" customFormat="1" ht="12.75" customHeight="1">
      <c r="A96" s="163"/>
      <c r="B96" s="44"/>
      <c r="C96" s="44"/>
      <c r="D96" s="44"/>
      <c r="E96" s="45"/>
      <c r="F96" s="164"/>
      <c r="G96" s="39"/>
      <c r="H96" s="40"/>
    </row>
    <row r="97" s="25" customFormat="1" ht="12.75" customHeight="1">
      <c r="A97" s="163"/>
      <c r="B97" s="38"/>
      <c r="C97" s="38"/>
      <c r="D97" s="38"/>
      <c r="E97" s="38"/>
      <c r="F97" s="165"/>
      <c r="G97" s="49"/>
      <c r="H97" s="50"/>
    </row>
    <row r="98" s="25" customFormat="1" ht="12.75" customHeight="1">
      <c r="A98" s="163"/>
      <c r="B98" s="38"/>
      <c r="C98" s="38"/>
      <c r="D98" s="38"/>
      <c r="E98" s="38"/>
      <c r="G98" s="53"/>
      <c r="H98" s="54"/>
    </row>
    <row r="99" s="25" customFormat="1" ht="12.75" customHeight="1">
      <c r="A99" s="42"/>
      <c r="B99" s="38"/>
      <c r="C99" s="38"/>
      <c r="D99" s="38"/>
      <c r="E99" s="38"/>
      <c r="F99" s="165"/>
      <c r="G99" s="49"/>
      <c r="H99" s="50"/>
    </row>
    <row r="100" s="25" customFormat="1" ht="12.75" customHeight="1">
      <c r="A100" s="42"/>
      <c r="B100" s="38"/>
      <c r="C100" s="38"/>
      <c r="D100" s="38"/>
      <c r="E100" s="38"/>
      <c r="F100" s="165"/>
      <c r="G100" s="49"/>
      <c r="H100" s="50"/>
    </row>
    <row r="101" s="25" customFormat="1" ht="12.75" customHeight="1">
      <c r="A101" s="166"/>
      <c r="B101" s="60"/>
      <c r="C101" s="60"/>
      <c r="D101" s="60"/>
      <c r="E101" s="38"/>
      <c r="G101" s="151"/>
      <c r="H101" s="40"/>
    </row>
    <row r="102" s="25" customFormat="1" ht="12.75" customHeight="1">
      <c r="A102" s="167"/>
      <c r="B102" s="168"/>
      <c r="C102" s="168"/>
      <c r="D102" s="168"/>
      <c r="E102" s="38"/>
      <c r="G102" s="53"/>
      <c r="H102" s="40"/>
    </row>
    <row r="103" s="25" customFormat="1" ht="12.75" customHeight="1">
      <c r="E103" s="61"/>
      <c r="F103" s="62"/>
      <c r="G103" s="63"/>
      <c r="H103" s="64"/>
    </row>
    <row r="104" s="25" customFormat="1" ht="12.75" customHeight="1">
      <c r="A104" s="169"/>
      <c r="B104" s="39"/>
      <c r="C104" s="39"/>
      <c r="D104" s="39"/>
      <c r="E104" s="67"/>
      <c r="G104" s="66"/>
    </row>
    <row r="105" s="25" customFormat="1" ht="12.75" customHeight="1">
      <c r="A105" s="170"/>
      <c r="B105" s="69"/>
      <c r="C105" s="69"/>
      <c r="D105" s="69"/>
      <c r="E105" s="70"/>
      <c r="F105" s="70"/>
      <c r="G105" s="69"/>
      <c r="H105" s="69"/>
    </row>
    <row r="106" s="25" customFormat="1" ht="12.75" customHeight="1">
      <c r="A106" s="71"/>
      <c r="B106" s="63"/>
      <c r="C106" s="63"/>
      <c r="D106" s="63"/>
      <c r="E106" s="61"/>
      <c r="G106" s="63"/>
      <c r="H106" s="63"/>
    </row>
    <row r="107" s="25" customFormat="1" ht="12.75" customHeight="1">
      <c r="A107" s="171"/>
      <c r="B107" s="171"/>
      <c r="C107" s="171"/>
      <c r="D107" s="171"/>
      <c r="E107" s="171"/>
      <c r="F107" s="172"/>
      <c r="G107" s="171"/>
      <c r="H107" s="171"/>
    </row>
    <row r="108" s="25" customFormat="1" ht="12.75" customHeight="1">
      <c r="A108" s="173"/>
      <c r="B108" s="81"/>
      <c r="C108" s="79"/>
      <c r="D108" s="174"/>
      <c r="E108" s="81"/>
      <c r="F108" s="175"/>
      <c r="G108" s="66"/>
      <c r="H108" s="66"/>
      <c r="J108" s="39"/>
    </row>
    <row r="109" s="25" customFormat="1" ht="12.75" customHeight="1">
      <c r="A109" s="83"/>
      <c r="B109" s="84"/>
      <c r="C109" s="39"/>
      <c r="D109" s="86"/>
      <c r="E109" s="86"/>
      <c r="F109" s="87"/>
      <c r="G109" s="88"/>
      <c r="H109" s="39"/>
    </row>
    <row r="110" s="25" customFormat="1" ht="12.75" customHeight="1">
      <c r="A110" s="176"/>
      <c r="B110" s="90"/>
      <c r="C110" s="90"/>
      <c r="D110" s="90"/>
      <c r="E110" s="90"/>
      <c r="F110" s="90"/>
      <c r="G110" s="90"/>
      <c r="H110" s="90"/>
    </row>
    <row r="111" s="25" customFormat="1" ht="12.75" customHeight="1">
      <c r="A111" s="177"/>
      <c r="B111" s="84"/>
      <c r="C111" s="84"/>
      <c r="D111" s="39"/>
      <c r="E111" s="92"/>
      <c r="F111" s="93"/>
      <c r="G111" s="39"/>
      <c r="H111" s="39"/>
    </row>
    <row r="112" s="25" customFormat="1" ht="21.75" customHeight="1">
      <c r="A112" s="94"/>
      <c r="B112" s="131"/>
      <c r="C112" s="178"/>
      <c r="D112" s="97"/>
      <c r="E112" s="179"/>
      <c r="F112" s="98"/>
      <c r="G112" s="98"/>
      <c r="H112" s="99"/>
      <c r="J112" s="180"/>
    </row>
    <row r="113" s="25" customFormat="1" ht="19.5" customHeight="1">
      <c r="A113" s="94"/>
      <c r="B113" s="131"/>
      <c r="C113" s="178"/>
      <c r="D113" s="97"/>
      <c r="E113" s="179"/>
      <c r="F113" s="98"/>
      <c r="G113" s="98"/>
      <c r="H113" s="99"/>
      <c r="J113" s="180"/>
    </row>
    <row r="114" s="25" customFormat="1" ht="19.5" customHeight="1">
      <c r="A114" s="94"/>
      <c r="B114" s="131"/>
      <c r="C114" s="178"/>
      <c r="D114" s="97"/>
      <c r="E114" s="179"/>
      <c r="F114" s="98"/>
      <c r="G114" s="98"/>
      <c r="H114" s="99"/>
      <c r="J114" s="180"/>
    </row>
    <row r="115" s="25" customFormat="1" ht="19.5" customHeight="1">
      <c r="A115" s="94"/>
      <c r="B115" s="131"/>
      <c r="C115" s="178"/>
      <c r="D115" s="97"/>
      <c r="E115" s="179"/>
      <c r="F115" s="98"/>
      <c r="G115" s="98"/>
      <c r="H115" s="99"/>
      <c r="J115" s="180"/>
    </row>
    <row r="116" s="25" customFormat="1" ht="19.5" customHeight="1">
      <c r="A116" s="94"/>
      <c r="B116" s="131"/>
      <c r="C116" s="178"/>
      <c r="D116" s="97"/>
      <c r="E116" s="179"/>
      <c r="F116" s="98"/>
      <c r="G116" s="98"/>
      <c r="H116" s="99"/>
      <c r="J116" s="180"/>
    </row>
    <row r="117" s="25" customFormat="1" ht="19.5" customHeight="1">
      <c r="A117" s="94"/>
      <c r="B117" s="131"/>
      <c r="C117" s="178"/>
      <c r="D117" s="97"/>
      <c r="E117" s="179"/>
      <c r="F117" s="98"/>
      <c r="G117" s="98"/>
      <c r="H117" s="99"/>
      <c r="J117" s="180"/>
    </row>
    <row r="118" s="25" customFormat="1" ht="19.5" customHeight="1">
      <c r="A118" s="94"/>
      <c r="B118" s="131"/>
      <c r="C118" s="178"/>
      <c r="D118" s="97"/>
      <c r="E118" s="179"/>
      <c r="F118" s="98"/>
      <c r="G118" s="98"/>
      <c r="H118" s="99"/>
      <c r="J118" s="180"/>
    </row>
    <row r="119" s="25" customFormat="1" ht="19.5" customHeight="1">
      <c r="A119" s="94"/>
      <c r="B119" s="131"/>
      <c r="C119" s="178"/>
      <c r="D119" s="97"/>
      <c r="E119" s="179"/>
      <c r="F119" s="98"/>
      <c r="G119" s="98"/>
      <c r="H119" s="99"/>
      <c r="J119" s="180"/>
    </row>
    <row r="120" s="25" customFormat="1" ht="19.5" customHeight="1">
      <c r="A120" s="94"/>
      <c r="B120" s="131"/>
      <c r="C120" s="178"/>
      <c r="D120" s="97"/>
      <c r="E120" s="179"/>
      <c r="F120" s="98"/>
      <c r="G120" s="98"/>
      <c r="H120" s="99"/>
      <c r="J120" s="180"/>
    </row>
    <row r="121" s="25" customFormat="1" ht="19.5" customHeight="1">
      <c r="A121" s="94"/>
      <c r="B121" s="131"/>
      <c r="C121" s="178"/>
      <c r="D121" s="97"/>
      <c r="E121" s="179"/>
      <c r="F121" s="98"/>
      <c r="G121" s="98"/>
      <c r="H121" s="99"/>
      <c r="J121" s="180"/>
    </row>
    <row r="122" s="25" customFormat="1" ht="19.5" customHeight="1">
      <c r="A122" s="94"/>
      <c r="B122" s="131"/>
      <c r="C122" s="178"/>
      <c r="D122" s="97"/>
      <c r="E122" s="179"/>
      <c r="F122" s="98"/>
      <c r="G122" s="98"/>
      <c r="H122" s="99"/>
      <c r="J122" s="180"/>
    </row>
    <row r="123" s="25" customFormat="1" ht="19.5" customHeight="1">
      <c r="A123" s="94"/>
      <c r="B123" s="131"/>
      <c r="C123" s="178"/>
      <c r="D123" s="97"/>
      <c r="E123" s="179"/>
      <c r="F123" s="98"/>
      <c r="G123" s="98"/>
      <c r="H123" s="99"/>
      <c r="J123" s="180"/>
    </row>
    <row r="124" s="25" customFormat="1" ht="12.75" customHeight="1">
      <c r="A124" s="94"/>
      <c r="B124" s="131"/>
      <c r="C124" s="178"/>
      <c r="D124" s="97"/>
      <c r="E124" s="179"/>
      <c r="F124" s="98"/>
      <c r="G124" s="98"/>
      <c r="H124" s="99"/>
      <c r="J124" s="180"/>
    </row>
    <row r="125" s="25" customFormat="1" ht="12.75" customHeight="1">
      <c r="A125" s="94"/>
      <c r="B125" s="131"/>
      <c r="C125" s="178"/>
      <c r="D125" s="97"/>
      <c r="E125" s="179"/>
      <c r="F125" s="98"/>
      <c r="G125" s="98"/>
      <c r="H125" s="99"/>
      <c r="J125" s="180"/>
    </row>
    <row r="126" s="25" customFormat="1" ht="12.75" customHeight="1">
      <c r="A126" s="94"/>
      <c r="B126" s="131"/>
      <c r="C126" s="178"/>
      <c r="D126" s="97"/>
      <c r="E126" s="179"/>
      <c r="F126" s="98"/>
      <c r="G126" s="98"/>
      <c r="H126" s="99"/>
      <c r="J126" s="180"/>
    </row>
    <row r="127" s="25" customFormat="1" ht="12.75" customHeight="1">
      <c r="A127" s="94"/>
      <c r="B127" s="131"/>
      <c r="C127" s="178"/>
      <c r="D127" s="97"/>
      <c r="E127" s="179"/>
      <c r="F127" s="98"/>
      <c r="G127" s="98"/>
      <c r="H127" s="99"/>
      <c r="J127" s="180"/>
    </row>
    <row r="128" s="25" customFormat="1" ht="12.75" customHeight="1">
      <c r="A128" s="94"/>
      <c r="B128" s="131"/>
      <c r="C128" s="178"/>
      <c r="D128" s="97"/>
      <c r="E128" s="179"/>
      <c r="F128" s="98"/>
      <c r="G128" s="98"/>
      <c r="H128" s="99"/>
      <c r="J128" s="180"/>
    </row>
    <row r="129" s="25" customFormat="1" ht="12.75" customHeight="1">
      <c r="A129" s="94"/>
      <c r="B129" s="131"/>
      <c r="C129" s="178"/>
      <c r="D129" s="97"/>
      <c r="E129" s="179"/>
      <c r="F129" s="98"/>
      <c r="G129" s="98"/>
      <c r="H129" s="99"/>
      <c r="J129" s="180"/>
    </row>
    <row r="130" s="25" customFormat="1" ht="18.75" customHeight="1">
      <c r="A130" s="94"/>
      <c r="B130" s="131"/>
      <c r="C130" s="178"/>
      <c r="D130" s="97"/>
      <c r="E130" s="179"/>
      <c r="F130" s="98"/>
      <c r="G130" s="98"/>
      <c r="H130" s="99"/>
      <c r="J130" s="180"/>
    </row>
    <row r="131" s="25" customFormat="1" ht="18.75" customHeight="1">
      <c r="A131" s="101"/>
      <c r="B131" s="131"/>
      <c r="C131" s="178"/>
      <c r="D131" s="97"/>
      <c r="E131" s="179"/>
      <c r="F131" s="98"/>
      <c r="G131" s="98"/>
      <c r="H131" s="99"/>
      <c r="J131" s="180"/>
    </row>
    <row r="132" s="25" customFormat="1" ht="18.75" customHeight="1">
      <c r="A132" s="94"/>
      <c r="B132" s="131"/>
      <c r="C132" s="178"/>
      <c r="D132" s="97"/>
      <c r="E132" s="179"/>
      <c r="F132" s="98"/>
      <c r="G132" s="98"/>
      <c r="H132" s="99"/>
      <c r="J132" s="180"/>
    </row>
    <row r="133" s="25" customFormat="1" ht="18.75" customHeight="1">
      <c r="A133" s="94"/>
      <c r="B133" s="131"/>
      <c r="C133" s="178"/>
      <c r="D133" s="97"/>
      <c r="E133" s="179"/>
      <c r="F133" s="98"/>
      <c r="G133" s="98"/>
      <c r="H133" s="99"/>
      <c r="J133" s="180"/>
    </row>
    <row r="134" s="25" customFormat="1" ht="18.75" customHeight="1">
      <c r="A134" s="101"/>
      <c r="B134" s="131"/>
      <c r="C134" s="178"/>
      <c r="D134" s="97"/>
      <c r="E134" s="179"/>
      <c r="F134" s="98"/>
      <c r="G134" s="98"/>
      <c r="H134" s="99"/>
      <c r="J134" s="180"/>
    </row>
    <row r="135" s="25" customFormat="1" ht="18.75" customHeight="1">
      <c r="A135" s="101"/>
      <c r="B135" s="131"/>
      <c r="C135" s="178"/>
      <c r="D135" s="97"/>
      <c r="E135" s="179"/>
      <c r="F135" s="98"/>
      <c r="G135" s="98"/>
      <c r="H135" s="99"/>
      <c r="J135" s="180"/>
    </row>
    <row r="136" s="25" customFormat="1" ht="18.75" customHeight="1">
      <c r="A136" s="101"/>
      <c r="B136" s="131"/>
      <c r="C136" s="178"/>
      <c r="D136" s="97"/>
      <c r="E136" s="179"/>
      <c r="F136" s="98"/>
      <c r="G136" s="98"/>
      <c r="H136" s="99"/>
      <c r="J136" s="180"/>
    </row>
    <row r="137" s="25" customFormat="1" ht="18.75" customHeight="1">
      <c r="A137" s="101"/>
      <c r="B137" s="131"/>
      <c r="C137" s="178"/>
      <c r="D137" s="97"/>
      <c r="E137" s="179"/>
      <c r="F137" s="98"/>
      <c r="G137" s="98"/>
      <c r="H137" s="99"/>
      <c r="J137" s="180"/>
    </row>
    <row r="138" s="25" customFormat="1" ht="18.75" customHeight="1">
      <c r="A138" s="101"/>
      <c r="B138" s="90"/>
      <c r="C138" s="178"/>
      <c r="D138" s="97"/>
      <c r="E138" s="179"/>
      <c r="F138" s="103"/>
      <c r="G138" s="103"/>
      <c r="H138" s="99"/>
      <c r="J138" s="180"/>
    </row>
    <row r="139" s="25" customFormat="1" ht="18.75" customHeight="1">
      <c r="A139" s="101"/>
      <c r="B139" s="131"/>
      <c r="C139" s="178"/>
      <c r="D139" s="97"/>
      <c r="E139" s="179"/>
      <c r="F139" s="98"/>
      <c r="G139" s="103"/>
      <c r="H139" s="99"/>
      <c r="J139" s="180"/>
    </row>
    <row r="140" s="25" customFormat="1" ht="18.75" customHeight="1">
      <c r="A140" s="101"/>
      <c r="B140" s="131"/>
      <c r="C140" s="178"/>
      <c r="D140" s="97"/>
      <c r="E140" s="179"/>
      <c r="F140" s="98"/>
      <c r="G140" s="104"/>
      <c r="H140" s="99"/>
      <c r="J140" s="180"/>
    </row>
    <row r="141" s="25" customFormat="1" ht="12.75" customHeight="1">
      <c r="B141" s="90"/>
      <c r="C141" s="106"/>
      <c r="D141" s="107"/>
      <c r="E141" s="108"/>
      <c r="F141" s="109"/>
      <c r="G141" s="110"/>
      <c r="H141" s="99"/>
    </row>
    <row r="142" s="25" customFormat="1" ht="12.75" customHeight="1">
      <c r="B142" s="90"/>
      <c r="C142" s="106"/>
      <c r="D142" s="107"/>
      <c r="E142" s="108"/>
      <c r="F142" s="109"/>
      <c r="G142" s="88"/>
      <c r="H142" s="112"/>
    </row>
    <row r="143" s="25" customFormat="1" ht="12.75" customHeight="1">
      <c r="A143" s="101"/>
      <c r="B143" s="90"/>
      <c r="C143" s="106"/>
      <c r="D143" s="114"/>
      <c r="E143" s="108"/>
      <c r="F143" s="103"/>
      <c r="G143" s="103"/>
      <c r="H143" s="99"/>
    </row>
    <row r="144" s="25" customFormat="1" ht="12.75" customHeight="1">
      <c r="A144" s="101"/>
      <c r="B144" s="90"/>
      <c r="C144" s="106"/>
      <c r="D144" s="114"/>
      <c r="E144" s="108"/>
      <c r="F144" s="103"/>
      <c r="G144" s="103"/>
      <c r="H144" s="99"/>
    </row>
    <row r="145" s="25" customFormat="1" ht="12.75" customHeight="1">
      <c r="A145" s="101"/>
      <c r="B145" s="90"/>
      <c r="C145" s="106"/>
      <c r="D145" s="114"/>
      <c r="E145" s="108"/>
      <c r="F145" s="103"/>
      <c r="G145" s="103"/>
      <c r="H145" s="99"/>
    </row>
    <row r="146" s="25" customFormat="1" ht="12.75" customHeight="1">
      <c r="A146" s="101"/>
      <c r="B146" s="90"/>
      <c r="C146" s="106"/>
      <c r="D146" s="114"/>
      <c r="E146" s="108"/>
      <c r="F146" s="103"/>
      <c r="G146" s="103"/>
      <c r="H146" s="99"/>
    </row>
    <row r="147" s="25" customFormat="1" ht="12.75" customHeight="1">
      <c r="A147" s="101"/>
      <c r="B147" s="90"/>
      <c r="C147" s="106"/>
      <c r="D147" s="114"/>
      <c r="E147" s="108"/>
      <c r="F147" s="103"/>
      <c r="G147" s="103"/>
      <c r="H147" s="99"/>
    </row>
    <row r="148" s="25" customFormat="1" ht="12.75" customHeight="1">
      <c r="A148" s="101"/>
      <c r="B148" s="90"/>
      <c r="C148" s="106"/>
      <c r="D148" s="114"/>
      <c r="E148" s="108"/>
      <c r="F148" s="103"/>
      <c r="G148" s="122"/>
      <c r="H148" s="112"/>
    </row>
    <row r="149" s="25" customFormat="1" ht="12.75" customHeight="1">
      <c r="A149" s="124"/>
      <c r="B149" s="126"/>
      <c r="C149" s="126"/>
      <c r="D149" s="126"/>
      <c r="E149" s="126"/>
      <c r="F149" s="126"/>
      <c r="G149" s="110"/>
      <c r="H149" s="99"/>
    </row>
    <row r="150" s="25" customFormat="1" ht="12.75" customHeight="1">
      <c r="A150" s="177"/>
      <c r="B150" s="90"/>
      <c r="C150" s="106"/>
      <c r="D150" s="107"/>
      <c r="E150" s="108"/>
      <c r="F150" s="109"/>
      <c r="G150" s="107"/>
      <c r="H150" s="112"/>
    </row>
    <row r="151" s="25" customFormat="1" ht="12.75" customHeight="1">
      <c r="A151" s="101"/>
      <c r="B151" s="90"/>
      <c r="C151" s="178"/>
      <c r="D151" s="97"/>
      <c r="E151" s="179"/>
      <c r="F151" s="103"/>
      <c r="G151" s="103"/>
      <c r="H151" s="99"/>
    </row>
    <row r="152" s="25" customFormat="1" ht="12.75" customHeight="1">
      <c r="A152" s="101"/>
      <c r="B152" s="90"/>
      <c r="C152" s="178"/>
      <c r="D152" s="97"/>
      <c r="E152" s="179"/>
      <c r="F152" s="103"/>
      <c r="G152" s="103"/>
      <c r="H152" s="99"/>
    </row>
    <row r="153" s="25" customFormat="1" ht="12.75" customHeight="1">
      <c r="A153" s="101"/>
      <c r="B153" s="90"/>
      <c r="C153" s="178"/>
      <c r="D153" s="97"/>
      <c r="E153" s="179"/>
      <c r="F153" s="103"/>
      <c r="G153" s="103"/>
      <c r="H153" s="99"/>
    </row>
    <row r="154" s="25" customFormat="1" ht="12.75" customHeight="1">
      <c r="A154" s="101"/>
      <c r="B154" s="90"/>
      <c r="C154" s="178"/>
      <c r="D154" s="97"/>
      <c r="E154" s="179"/>
      <c r="F154" s="103"/>
      <c r="G154" s="103"/>
      <c r="H154" s="99"/>
    </row>
    <row r="155" s="25" customFormat="1" ht="12.75" customHeight="1">
      <c r="A155" s="101"/>
      <c r="B155" s="90"/>
      <c r="C155" s="178"/>
      <c r="D155" s="97"/>
      <c r="E155" s="179"/>
      <c r="F155" s="103"/>
      <c r="G155" s="103"/>
      <c r="H155" s="99"/>
    </row>
    <row r="156" s="25" customFormat="1" ht="24" customHeight="1">
      <c r="A156" s="101"/>
      <c r="B156" s="131"/>
      <c r="C156" s="178"/>
      <c r="D156" s="97"/>
      <c r="E156" s="179"/>
      <c r="F156" s="98"/>
      <c r="G156" s="98"/>
      <c r="H156" s="99"/>
    </row>
    <row r="157" s="25" customFormat="1" ht="12.75" customHeight="1">
      <c r="A157" s="101"/>
      <c r="B157" s="90"/>
      <c r="C157" s="106"/>
      <c r="D157" s="109"/>
      <c r="E157" s="179"/>
      <c r="F157" s="103"/>
      <c r="G157" s="103"/>
      <c r="H157" s="99"/>
    </row>
    <row r="158" s="25" customFormat="1" ht="15" customHeight="1">
      <c r="A158" s="101"/>
      <c r="B158" s="90"/>
      <c r="C158" s="106"/>
      <c r="D158" s="109"/>
      <c r="E158" s="179"/>
      <c r="F158" s="98"/>
      <c r="G158" s="103"/>
      <c r="H158" s="99"/>
    </row>
    <row r="159" s="25" customFormat="1" ht="21" customHeight="1">
      <c r="A159" s="101"/>
      <c r="B159" s="131"/>
      <c r="C159" s="178"/>
      <c r="D159" s="97"/>
      <c r="E159" s="179"/>
      <c r="F159" s="98"/>
      <c r="G159" s="122"/>
      <c r="H159" s="99"/>
    </row>
    <row r="160" s="25" customFormat="1" ht="12.75" customHeight="1">
      <c r="A160" s="101"/>
      <c r="B160" s="131"/>
      <c r="C160" s="106"/>
      <c r="D160" s="109"/>
      <c r="E160" s="108"/>
      <c r="F160" s="98"/>
      <c r="G160" s="110"/>
      <c r="H160" s="99"/>
    </row>
    <row r="161" s="25" customFormat="1" ht="12.75" customHeight="1">
      <c r="A161" s="101"/>
      <c r="B161" s="90"/>
      <c r="C161" s="106"/>
      <c r="D161" s="109"/>
      <c r="E161" s="108"/>
      <c r="F161" s="103"/>
      <c r="G161" s="88"/>
      <c r="H161" s="112"/>
    </row>
    <row r="162" s="25" customFormat="1" ht="12.75" customHeight="1">
      <c r="A162" s="101"/>
      <c r="B162" s="90"/>
      <c r="C162" s="106"/>
      <c r="D162" s="114"/>
      <c r="E162" s="108"/>
      <c r="F162" s="103"/>
      <c r="G162" s="103"/>
      <c r="H162" s="99"/>
    </row>
    <row r="163" s="25" customFormat="1" ht="12.75" customHeight="1">
      <c r="A163" s="101"/>
      <c r="B163" s="90"/>
      <c r="C163" s="106"/>
      <c r="D163" s="135"/>
      <c r="E163" s="108"/>
      <c r="F163" s="103"/>
      <c r="G163" s="103"/>
      <c r="H163" s="99"/>
    </row>
    <row r="164" s="25" customFormat="1" ht="12.75" customHeight="1">
      <c r="A164" s="101"/>
      <c r="B164" s="90"/>
      <c r="C164" s="106"/>
      <c r="D164" s="135"/>
      <c r="E164" s="108"/>
      <c r="F164" s="103"/>
      <c r="G164" s="103"/>
      <c r="H164" s="99"/>
    </row>
    <row r="165" s="25" customFormat="1" ht="12.75" customHeight="1">
      <c r="A165" s="101"/>
      <c r="B165" s="90"/>
      <c r="C165" s="106"/>
      <c r="D165" s="135"/>
      <c r="E165" s="108"/>
      <c r="F165" s="103"/>
      <c r="G165" s="103"/>
      <c r="H165" s="99"/>
    </row>
    <row r="166" s="25" customFormat="1" ht="12.75" customHeight="1">
      <c r="A166" s="101"/>
      <c r="B166" s="90"/>
      <c r="C166" s="106"/>
      <c r="D166" s="135"/>
      <c r="E166" s="108"/>
      <c r="F166" s="103"/>
      <c r="G166" s="103"/>
      <c r="H166" s="99"/>
    </row>
    <row r="167" s="25" customFormat="1" ht="12.75" customHeight="1">
      <c r="A167" s="101"/>
      <c r="B167" s="131"/>
      <c r="C167" s="178"/>
      <c r="D167" s="97"/>
      <c r="E167" s="179"/>
      <c r="F167" s="98"/>
      <c r="G167" s="104"/>
      <c r="H167" s="99"/>
    </row>
    <row r="168" s="25" customFormat="1" ht="12.75" customHeight="1">
      <c r="A168" s="101"/>
      <c r="B168" s="126"/>
      <c r="C168" s="126"/>
      <c r="D168" s="126"/>
      <c r="E168" s="126"/>
      <c r="F168" s="126"/>
      <c r="G168" s="110"/>
      <c r="H168" s="99"/>
    </row>
    <row r="169" s="25" customFormat="1" ht="12.75" customHeight="1">
      <c r="A169" s="101"/>
      <c r="B169" s="90"/>
      <c r="C169" s="106"/>
      <c r="D169" s="135"/>
      <c r="E169" s="108"/>
      <c r="F169" s="109"/>
      <c r="G169" s="103"/>
      <c r="H169" s="112"/>
    </row>
    <row r="170" s="25" customFormat="1" ht="12.75" customHeight="1">
      <c r="A170" s="177"/>
      <c r="B170" s="84"/>
      <c r="C170" s="106"/>
      <c r="D170" s="135"/>
      <c r="E170" s="108"/>
      <c r="F170" s="109"/>
      <c r="G170" s="103"/>
      <c r="H170" s="112"/>
    </row>
    <row r="171" s="25" customFormat="1" ht="12.75" customHeight="1">
      <c r="A171" s="101"/>
      <c r="B171" s="90"/>
      <c r="C171" s="106"/>
      <c r="D171" s="138"/>
      <c r="E171" s="108"/>
      <c r="F171" s="103"/>
      <c r="G171" s="122"/>
      <c r="H171" s="99"/>
    </row>
    <row r="172" s="25" customFormat="1" ht="12.75" customHeight="1">
      <c r="A172" s="101"/>
      <c r="B172" s="84"/>
      <c r="C172" s="106"/>
      <c r="D172" s="138"/>
      <c r="E172" s="108"/>
      <c r="F172" s="109"/>
      <c r="G172" s="110"/>
      <c r="H172" s="99"/>
    </row>
    <row r="173" s="25" customFormat="1" ht="12.75" customHeight="1">
      <c r="A173" s="101"/>
      <c r="B173" s="90"/>
      <c r="C173" s="106"/>
      <c r="D173" s="138"/>
      <c r="E173" s="108"/>
      <c r="F173" s="109"/>
      <c r="G173" s="141"/>
      <c r="H173" s="112"/>
    </row>
    <row r="174" s="25" customFormat="1" ht="12.75" customHeight="1">
      <c r="A174" s="101"/>
      <c r="B174" s="126"/>
      <c r="C174" s="126"/>
      <c r="D174" s="126"/>
      <c r="E174" s="126"/>
      <c r="F174" s="126"/>
      <c r="G174" s="142"/>
      <c r="H174" s="99"/>
    </row>
    <row r="175" s="25" customFormat="1" ht="12.75" customHeight="1">
      <c r="A175" s="101"/>
      <c r="B175" s="126"/>
      <c r="C175" s="126"/>
      <c r="D175" s="126"/>
      <c r="E175" s="126"/>
      <c r="F175" s="126"/>
      <c r="G175" s="110"/>
      <c r="H175" s="99"/>
    </row>
    <row r="176" s="25" customFormat="1" ht="12.75" customHeight="1">
      <c r="A176" s="181"/>
      <c r="B176" s="182"/>
      <c r="C176" s="182"/>
      <c r="D176" s="182"/>
      <c r="E176" s="182"/>
      <c r="F176" s="182"/>
      <c r="G176" s="141"/>
      <c r="H176" s="143"/>
    </row>
  </sheetData>
  <mergeCells count="23">
    <mergeCell ref="B168:F168"/>
    <mergeCell ref="B174:F174"/>
    <mergeCell ref="B175:F175"/>
    <mergeCell ref="B176:F176"/>
    <mergeCell ref="A96:E96"/>
    <mergeCell ref="A101:D101"/>
    <mergeCell ref="A105:H105"/>
    <mergeCell ref="A110:H110"/>
    <mergeCell ref="B149:F149"/>
    <mergeCell ref="A91:H92"/>
    <mergeCell ref="A95:E95"/>
    <mergeCell ref="Y70:Z70"/>
    <mergeCell ref="A15:H15"/>
    <mergeCell ref="A20:H20"/>
    <mergeCell ref="B84:F84"/>
    <mergeCell ref="B85:F85"/>
    <mergeCell ref="B78:F78"/>
    <mergeCell ref="B86:F86"/>
    <mergeCell ref="A1:H2"/>
    <mergeCell ref="A6:E6"/>
    <mergeCell ref="A13:D13"/>
    <mergeCell ref="A5:E5"/>
    <mergeCell ref="B59:F59"/>
  </mergeCells>
  <pageMargins left="0.590551" right="0.23622" top="0.511811" bottom="0.590551" header="0.314961" footer="0.393701"/>
  <pageSetup firstPageNumber="1" fitToHeight="1" fitToWidth="1" scale="76" useFirstPageNumber="0" orientation="portrait" pageOrder="downThenOver"/>
  <headerFooter>
    <oddHeader>&amp;R&amp;"Arial,Regular"&amp;10&amp;K000000&amp;8&amp;P de 1</oddHeader>
    <oddFooter>&amp;C&amp;"Arial,Regular"&amp;8&amp;K000000JOSUE ALEXANDER BARRIOS GALINDO
ADMINISTRADOR UNICO
TRANSSHIPPING WORLD COMPANY, S.A.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S75"/>
  <sheetViews>
    <sheetView workbookViewId="0" showGridLines="0" defaultGridColor="1"/>
  </sheetViews>
  <sheetFormatPr defaultColWidth="11.5" defaultRowHeight="12.75" customHeight="1" outlineLevelRow="0" outlineLevelCol="0"/>
  <cols>
    <col min="1" max="1" width="11.6719" style="183" customWidth="1"/>
    <col min="2" max="2" width="30.6719" style="183" customWidth="1"/>
    <col min="3" max="3" width="6.67188" style="183" customWidth="1"/>
    <col min="4" max="4" width="12.8516" style="183" customWidth="1"/>
    <col min="5" max="5" width="16.5" style="183" customWidth="1"/>
    <col min="6" max="6" width="16" style="183" customWidth="1"/>
    <col min="7" max="7" width="20.3516" style="183" customWidth="1"/>
    <col min="8" max="8" width="7.85156" style="183" customWidth="1"/>
    <col min="9" max="9" width="16" style="183" customWidth="1"/>
    <col min="10" max="10" width="17.6719" style="183" customWidth="1"/>
    <col min="11" max="11" width="14.8516" style="183" customWidth="1"/>
    <col min="12" max="12" width="11.8516" style="183" customWidth="1"/>
    <col min="13" max="13" width="15.5" style="183" customWidth="1"/>
    <col min="14" max="17" width="11.5" style="183" customWidth="1"/>
    <col min="18" max="18" width="12.3516" style="183" customWidth="1"/>
    <col min="19" max="19" width="13.8516" style="183" customWidth="1"/>
    <col min="20" max="16384" width="11.5" style="183" customWidth="1"/>
  </cols>
  <sheetData>
    <row r="1" ht="15" customHeight="1">
      <c r="A1" t="s" s="28">
        <v>15</v>
      </c>
      <c r="B1" s="29"/>
      <c r="C1" s="29"/>
      <c r="D1" s="29"/>
      <c r="E1" s="29"/>
      <c r="F1" s="29"/>
      <c r="G1" s="29"/>
      <c r="H1" s="30"/>
      <c r="I1" s="184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ht="15" customHeight="1">
      <c r="A2" s="33"/>
      <c r="B2" s="34"/>
      <c r="C2" s="34"/>
      <c r="D2" s="34"/>
      <c r="E2" s="34"/>
      <c r="F2" s="34"/>
      <c r="G2" s="34"/>
      <c r="H2" s="35"/>
      <c r="I2" s="187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ht="12.75" customHeight="1">
      <c r="A3" s="36"/>
      <c r="B3" s="37">
        <v>0</v>
      </c>
      <c r="C3" s="38"/>
      <c r="D3" s="38"/>
      <c r="E3" s="38"/>
      <c r="F3" s="6"/>
      <c r="G3" s="39"/>
      <c r="H3" s="40"/>
      <c r="I3" s="187"/>
      <c r="J3" s="188"/>
      <c r="K3" s="188"/>
      <c r="L3" s="188"/>
      <c r="M3" s="188"/>
      <c r="N3" s="188"/>
      <c r="O3" s="188"/>
      <c r="P3" s="188"/>
      <c r="Q3" s="188"/>
      <c r="R3" s="188"/>
      <c r="S3" s="189"/>
    </row>
    <row r="4" ht="12.75" customHeight="1">
      <c r="A4" s="42"/>
      <c r="B4" s="38"/>
      <c r="C4" s="38"/>
      <c r="D4" s="38"/>
      <c r="E4" s="38"/>
      <c r="F4" s="6"/>
      <c r="G4" s="39"/>
      <c r="H4" s="40"/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9"/>
    </row>
    <row r="5" ht="12.75" customHeight="1">
      <c r="A5" t="s" s="43">
        <v>109</v>
      </c>
      <c r="B5" s="44"/>
      <c r="C5" s="44"/>
      <c r="D5" s="44"/>
      <c r="E5" s="45"/>
      <c r="F5" s="6"/>
      <c r="G5" s="39"/>
      <c r="H5" s="40"/>
      <c r="I5" s="187"/>
      <c r="J5" s="188"/>
      <c r="K5" s="188"/>
      <c r="L5" s="188"/>
      <c r="M5" s="188"/>
      <c r="N5" s="188"/>
      <c r="O5" s="188"/>
      <c r="P5" s="188"/>
      <c r="Q5" s="188"/>
      <c r="R5" s="188"/>
      <c r="S5" s="189"/>
    </row>
    <row r="6" ht="12.75" customHeight="1">
      <c r="A6" t="s" s="43">
        <v>110</v>
      </c>
      <c r="B6" s="44"/>
      <c r="C6" s="44"/>
      <c r="D6" s="44"/>
      <c r="E6" s="45"/>
      <c r="F6" t="s" s="46">
        <v>18</v>
      </c>
      <c r="G6" t="s" s="47">
        <v>19</v>
      </c>
      <c r="H6" s="40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ht="12.75" customHeight="1">
      <c r="A7" t="s" s="43">
        <v>20</v>
      </c>
      <c r="B7" s="38"/>
      <c r="C7" s="38"/>
      <c r="D7" s="38"/>
      <c r="E7" s="38"/>
      <c r="F7" t="s" s="48">
        <v>21</v>
      </c>
      <c r="G7" s="49">
        <v>44908</v>
      </c>
      <c r="H7" s="50"/>
      <c r="I7" s="187"/>
      <c r="J7" s="188"/>
      <c r="K7" s="188"/>
      <c r="L7" s="188"/>
      <c r="M7" s="188"/>
      <c r="N7" s="188"/>
      <c r="O7" s="188"/>
      <c r="P7" s="188"/>
      <c r="Q7" s="188"/>
      <c r="R7" s="188"/>
      <c r="S7" s="189"/>
    </row>
    <row r="8" ht="12.75" customHeight="1">
      <c r="A8" t="s" s="43">
        <v>22</v>
      </c>
      <c r="B8" s="38"/>
      <c r="C8" s="38"/>
      <c r="D8" s="38"/>
      <c r="E8" s="38"/>
      <c r="F8" s="6"/>
      <c r="G8" s="53"/>
      <c r="H8" s="54"/>
      <c r="I8" s="187"/>
      <c r="J8" s="188"/>
      <c r="K8" s="188"/>
      <c r="L8" s="188"/>
      <c r="M8" s="188"/>
      <c r="N8" s="188"/>
      <c r="O8" s="188"/>
      <c r="P8" s="188"/>
      <c r="Q8" s="188"/>
      <c r="R8" s="188"/>
      <c r="S8" s="189"/>
    </row>
    <row r="9" ht="12.75" customHeight="1">
      <c r="A9" s="42"/>
      <c r="B9" s="38"/>
      <c r="C9" s="38"/>
      <c r="D9" s="38"/>
      <c r="E9" s="38"/>
      <c r="F9" t="s" s="48">
        <v>23</v>
      </c>
      <c r="G9" t="s" s="56">
        <v>24</v>
      </c>
      <c r="H9" s="50"/>
      <c r="I9" s="187"/>
      <c r="J9" s="188"/>
      <c r="K9" s="188"/>
      <c r="L9" s="188"/>
      <c r="M9" s="188"/>
      <c r="N9" s="188"/>
      <c r="O9" s="188"/>
      <c r="P9" s="188"/>
      <c r="Q9" s="188"/>
      <c r="R9" s="188"/>
      <c r="S9" s="189"/>
    </row>
    <row r="10" ht="12.75" customHeight="1">
      <c r="A10" s="42"/>
      <c r="B10" s="38"/>
      <c r="C10" s="38"/>
      <c r="D10" s="38"/>
      <c r="E10" s="38"/>
      <c r="F10" t="s" s="48">
        <v>25</v>
      </c>
      <c r="G10" t="s" s="56">
        <v>26</v>
      </c>
      <c r="H10" s="50"/>
      <c r="I10" s="187"/>
      <c r="J10" s="188"/>
      <c r="K10" s="188"/>
      <c r="L10" s="188"/>
      <c r="M10" s="188"/>
      <c r="N10" s="188"/>
      <c r="O10" s="188"/>
      <c r="P10" s="188"/>
      <c r="Q10" s="188"/>
      <c r="R10" s="188"/>
      <c r="S10" s="189"/>
    </row>
    <row r="11" ht="12.75" customHeight="1">
      <c r="A11" s="42"/>
      <c r="B11" s="38"/>
      <c r="C11" s="38"/>
      <c r="D11" s="38"/>
      <c r="E11" s="38"/>
      <c r="F11" s="6"/>
      <c r="G11" t="s" s="57">
        <v>27</v>
      </c>
      <c r="H11" s="40"/>
      <c r="I11" s="187"/>
      <c r="J11" s="188"/>
      <c r="K11" s="188"/>
      <c r="L11" s="188"/>
      <c r="M11" s="188"/>
      <c r="N11" s="188"/>
      <c r="O11" s="188"/>
      <c r="P11" s="188"/>
      <c r="Q11" s="188"/>
      <c r="R11" s="188"/>
      <c r="S11" s="189"/>
    </row>
    <row r="12" ht="12.75" customHeight="1">
      <c r="A12" s="42"/>
      <c r="B12" s="38"/>
      <c r="C12" s="38"/>
      <c r="D12" s="38"/>
      <c r="E12" s="38"/>
      <c r="F12" s="6"/>
      <c r="G12" t="s" s="58">
        <v>28</v>
      </c>
      <c r="H12" s="40"/>
      <c r="I12" s="187"/>
      <c r="J12" s="188"/>
      <c r="K12" s="188"/>
      <c r="L12" s="188"/>
      <c r="M12" s="188"/>
      <c r="N12" s="188"/>
      <c r="O12" s="188"/>
      <c r="P12" s="188"/>
      <c r="Q12" s="188"/>
      <c r="R12" s="188"/>
      <c r="S12" s="189"/>
    </row>
    <row r="13" ht="12.75" customHeight="1">
      <c r="A13" t="s" s="59">
        <v>29</v>
      </c>
      <c r="B13" s="60"/>
      <c r="C13" s="60"/>
      <c r="D13" s="60"/>
      <c r="E13" s="61"/>
      <c r="F13" s="62"/>
      <c r="G13" s="63"/>
      <c r="H13" s="64"/>
      <c r="I13" s="187"/>
      <c r="J13" s="188"/>
      <c r="K13" s="188"/>
      <c r="L13" s="188"/>
      <c r="M13" s="188"/>
      <c r="N13" s="188"/>
      <c r="O13" s="188"/>
      <c r="P13" s="188"/>
      <c r="Q13" s="188"/>
      <c r="R13" s="188"/>
      <c r="S13" s="189"/>
    </row>
    <row r="14" ht="12.75" customHeight="1">
      <c r="A14" s="65"/>
      <c r="B14" s="66"/>
      <c r="C14" s="66"/>
      <c r="D14" s="66"/>
      <c r="E14" s="67"/>
      <c r="F14" s="190"/>
      <c r="G14" s="66"/>
      <c r="H14" s="191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</row>
    <row r="15" ht="12.75" customHeight="1">
      <c r="A15" t="s" s="68">
        <v>30</v>
      </c>
      <c r="B15" s="69"/>
      <c r="C15" s="69"/>
      <c r="D15" s="69"/>
      <c r="E15" s="70"/>
      <c r="F15" s="70"/>
      <c r="G15" s="69"/>
      <c r="H15" s="69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/>
    </row>
    <row r="16" ht="12.75" customHeight="1">
      <c r="A16" s="71"/>
      <c r="B16" s="63"/>
      <c r="C16" s="63"/>
      <c r="D16" s="63"/>
      <c r="E16" s="61"/>
      <c r="F16" s="192"/>
      <c r="G16" s="63"/>
      <c r="H16" s="63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</row>
    <row r="17" ht="12.75" customHeight="1">
      <c r="A17" t="s" s="72">
        <v>32</v>
      </c>
      <c r="B17" t="s" s="72">
        <v>33</v>
      </c>
      <c r="C17" t="s" s="72">
        <v>34</v>
      </c>
      <c r="D17" t="s" s="72">
        <v>35</v>
      </c>
      <c r="E17" t="s" s="72">
        <v>36</v>
      </c>
      <c r="F17" t="s" s="72">
        <v>37</v>
      </c>
      <c r="G17" t="s" s="72">
        <v>38</v>
      </c>
      <c r="H17" t="s" s="72">
        <v>39</v>
      </c>
      <c r="I17" s="187"/>
      <c r="J17" s="76"/>
      <c r="K17" s="76"/>
      <c r="L17" s="76"/>
      <c r="M17" s="188"/>
      <c r="N17" s="188"/>
      <c r="O17" s="188"/>
      <c r="P17" s="188"/>
      <c r="Q17" s="188"/>
      <c r="R17" s="188"/>
      <c r="S17" s="189"/>
    </row>
    <row r="18" ht="14" customHeight="1">
      <c r="A18" t="s" s="77">
        <v>42</v>
      </c>
      <c r="B18" t="s" s="78">
        <v>111</v>
      </c>
      <c r="C18" s="79"/>
      <c r="D18" t="s" s="80">
        <v>44</v>
      </c>
      <c r="E18" s="81"/>
      <c r="F18" t="s" s="82">
        <v>45</v>
      </c>
      <c r="G18" s="66"/>
      <c r="H18" s="66"/>
      <c r="I18" s="188"/>
      <c r="J18" s="188"/>
      <c r="K18" s="178"/>
      <c r="L18" s="178"/>
      <c r="M18" s="188"/>
      <c r="N18" s="188"/>
      <c r="O18" s="188"/>
      <c r="P18" s="188"/>
      <c r="Q18" s="188"/>
      <c r="R18" s="188"/>
      <c r="S18" s="189"/>
    </row>
    <row r="19" ht="13" customHeight="1">
      <c r="A19" s="83"/>
      <c r="B19" s="84"/>
      <c r="C19" s="39"/>
      <c r="D19" t="s" s="85">
        <v>46</v>
      </c>
      <c r="E19" s="86"/>
      <c r="F19" s="87">
        <v>1</v>
      </c>
      <c r="G19" s="88">
        <f>G62</f>
        <v>3123202959.45723</v>
      </c>
      <c r="H19" s="39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9"/>
    </row>
    <row r="20" ht="13" customHeight="1">
      <c r="A20" t="s" s="89">
        <v>112</v>
      </c>
      <c r="B20" s="90"/>
      <c r="C20" s="90"/>
      <c r="D20" s="90"/>
      <c r="E20" s="90"/>
      <c r="F20" s="90"/>
      <c r="G20" s="90"/>
      <c r="H20" s="90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9"/>
    </row>
    <row r="21" ht="13" customHeight="1">
      <c r="A21" t="s" s="91">
        <v>113</v>
      </c>
      <c r="B21" s="84"/>
      <c r="C21" s="84"/>
      <c r="D21" s="39"/>
      <c r="E21" s="92"/>
      <c r="F21" s="93"/>
      <c r="G21" s="39"/>
      <c r="H21" s="39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9"/>
    </row>
    <row r="22" ht="13" customHeight="1">
      <c r="A22" s="94">
        <v>1</v>
      </c>
      <c r="B22" t="s" s="95">
        <v>49</v>
      </c>
      <c r="C22" t="s" s="96">
        <v>50</v>
      </c>
      <c r="D22" s="97">
        <v>159338</v>
      </c>
      <c r="E22" t="s" s="96">
        <v>51</v>
      </c>
      <c r="F22" s="98">
        <v>7500</v>
      </c>
      <c r="G22" s="98">
        <f>D22*F22</f>
        <v>1195035000</v>
      </c>
      <c r="H22" s="99">
        <f>G22/$G$60</f>
        <v>0.382631233228493</v>
      </c>
      <c r="I22" s="193"/>
      <c r="J22" s="103"/>
      <c r="K22" s="108"/>
      <c r="L22" s="109"/>
      <c r="M22" s="188"/>
      <c r="N22" s="188"/>
      <c r="O22" s="188"/>
      <c r="P22" s="188"/>
      <c r="Q22" s="188"/>
      <c r="R22" s="188"/>
      <c r="S22" s="189"/>
    </row>
    <row r="23" ht="36" customHeight="1">
      <c r="A23" s="94">
        <v>4</v>
      </c>
      <c r="B23" t="s" s="95">
        <v>55</v>
      </c>
      <c r="C23" t="s" s="96">
        <v>50</v>
      </c>
      <c r="D23" s="97">
        <v>1556.15</v>
      </c>
      <c r="E23" t="s" s="96">
        <v>51</v>
      </c>
      <c r="F23" s="98">
        <v>16644.47616</v>
      </c>
      <c r="G23" s="98">
        <f>D23*F23</f>
        <v>25901301.576384</v>
      </c>
      <c r="H23" s="99">
        <f>G23/$G$60</f>
        <v>0.00829318552544062</v>
      </c>
      <c r="I23" s="107"/>
      <c r="J23" s="103"/>
      <c r="K23" s="108"/>
      <c r="L23" s="109"/>
      <c r="M23" s="188"/>
      <c r="N23" s="188"/>
      <c r="O23" s="188"/>
      <c r="P23" s="188"/>
      <c r="Q23" s="188"/>
      <c r="R23" s="188"/>
      <c r="S23" s="189"/>
    </row>
    <row r="24" ht="24" customHeight="1">
      <c r="A24" s="94">
        <v>6</v>
      </c>
      <c r="B24" t="s" s="95">
        <v>57</v>
      </c>
      <c r="C24" t="s" s="96">
        <v>50</v>
      </c>
      <c r="D24" s="97">
        <v>94.83</v>
      </c>
      <c r="E24" t="s" s="96">
        <v>51</v>
      </c>
      <c r="F24" s="98">
        <v>16644.47616</v>
      </c>
      <c r="G24" s="98">
        <f>D24*F24</f>
        <v>1578395.6742528</v>
      </c>
      <c r="H24" s="99">
        <f>G24/$G$60</f>
        <v>0.000505377234442396</v>
      </c>
      <c r="I24" s="107"/>
      <c r="J24" s="103"/>
      <c r="K24" s="108"/>
      <c r="L24" s="109"/>
      <c r="M24" s="188"/>
      <c r="N24" s="188"/>
      <c r="O24" s="188"/>
      <c r="P24" s="188"/>
      <c r="Q24" s="188"/>
      <c r="R24" s="188"/>
      <c r="S24" s="189"/>
    </row>
    <row r="25" ht="24" customHeight="1">
      <c r="A25" s="94">
        <v>7</v>
      </c>
      <c r="B25" t="s" s="95">
        <v>59</v>
      </c>
      <c r="C25" t="s" s="96">
        <v>50</v>
      </c>
      <c r="D25" s="97">
        <v>53991.44</v>
      </c>
      <c r="E25" t="s" s="96">
        <v>51</v>
      </c>
      <c r="F25" s="98">
        <v>1016.21988</v>
      </c>
      <c r="G25" s="98">
        <f>D25*F25</f>
        <v>54867174.6778272</v>
      </c>
      <c r="H25" s="99">
        <f>G25/$G$60</f>
        <v>0.0175675981964881</v>
      </c>
      <c r="I25" s="107"/>
      <c r="J25" s="103"/>
      <c r="K25" s="108"/>
      <c r="L25" s="109"/>
      <c r="M25" s="188"/>
      <c r="N25" s="188"/>
      <c r="O25" s="188"/>
      <c r="P25" s="188"/>
      <c r="Q25" s="188"/>
      <c r="R25" s="188"/>
      <c r="S25" s="189"/>
    </row>
    <row r="26" ht="13" customHeight="1">
      <c r="A26" s="94">
        <v>9</v>
      </c>
      <c r="B26" t="s" s="95">
        <v>61</v>
      </c>
      <c r="C26" t="s" s="96">
        <v>50</v>
      </c>
      <c r="D26" s="97">
        <v>150290.89665346</v>
      </c>
      <c r="E26" t="s" s="96">
        <v>51</v>
      </c>
      <c r="F26" s="98">
        <v>1016.21988</v>
      </c>
      <c r="G26" s="98">
        <f>D26*F26</f>
        <v>152728596.962272</v>
      </c>
      <c r="H26" s="99">
        <f>G26/$G$60</f>
        <v>0.0489012718497213</v>
      </c>
      <c r="I26" s="107"/>
      <c r="J26" s="103"/>
      <c r="K26" s="108"/>
      <c r="L26" s="109"/>
      <c r="M26" s="188"/>
      <c r="N26" s="188"/>
      <c r="O26" s="188"/>
      <c r="P26" s="188"/>
      <c r="Q26" s="188"/>
      <c r="R26" s="188"/>
      <c r="S26" s="189"/>
    </row>
    <row r="27" ht="15" customHeight="1">
      <c r="A27" s="94">
        <v>12</v>
      </c>
      <c r="B27" t="s" s="95">
        <v>63</v>
      </c>
      <c r="C27" t="s" s="96">
        <v>50</v>
      </c>
      <c r="D27" s="97">
        <v>16830.71</v>
      </c>
      <c r="E27" t="s" s="96">
        <v>51</v>
      </c>
      <c r="F27" s="98">
        <v>954.954</v>
      </c>
      <c r="G27" s="98">
        <f>D27*F27</f>
        <v>16072553.83734</v>
      </c>
      <c r="H27" s="99">
        <f>G27/$G$60</f>
        <v>0.00514617655207819</v>
      </c>
      <c r="I27" s="107"/>
      <c r="J27" s="103"/>
      <c r="K27" s="108"/>
      <c r="L27" s="109"/>
      <c r="M27" s="188"/>
      <c r="N27" s="188"/>
      <c r="O27" s="188"/>
      <c r="P27" s="188"/>
      <c r="Q27" s="188"/>
      <c r="R27" s="188"/>
      <c r="S27" s="189"/>
    </row>
    <row r="28" ht="13" customHeight="1">
      <c r="A28" s="94">
        <v>13</v>
      </c>
      <c r="B28" t="s" s="95">
        <v>64</v>
      </c>
      <c r="C28" t="s" s="96">
        <v>50</v>
      </c>
      <c r="D28" s="97">
        <v>64149.54</v>
      </c>
      <c r="E28" t="s" s="96">
        <v>51</v>
      </c>
      <c r="F28" s="98">
        <v>289.53</v>
      </c>
      <c r="G28" s="98">
        <f>D28*F28</f>
        <v>18573216.3162</v>
      </c>
      <c r="H28" s="99">
        <f>G28/$G$60</f>
        <v>0.00594684897437078</v>
      </c>
      <c r="I28" s="107"/>
      <c r="J28" s="193"/>
      <c r="K28" s="140"/>
      <c r="L28" s="140"/>
      <c r="M28" s="194"/>
      <c r="N28" s="188"/>
      <c r="O28" s="188"/>
      <c r="P28" s="188"/>
      <c r="Q28" s="188"/>
      <c r="R28" s="188"/>
      <c r="S28" s="189"/>
    </row>
    <row r="29" ht="13" customHeight="1">
      <c r="A29" s="94">
        <v>14</v>
      </c>
      <c r="B29" t="s" s="95">
        <v>65</v>
      </c>
      <c r="C29" t="s" s="96">
        <v>50</v>
      </c>
      <c r="D29" s="97">
        <v>9422.24</v>
      </c>
      <c r="E29" t="s" s="96">
        <v>51</v>
      </c>
      <c r="F29" s="98">
        <v>878.446062</v>
      </c>
      <c r="G29" s="98">
        <f>D29*F29</f>
        <v>8276929.62321888</v>
      </c>
      <c r="H29" s="99">
        <f>G29/$G$60</f>
        <v>0.00265014145115222</v>
      </c>
      <c r="I29" s="107"/>
      <c r="J29" s="193"/>
      <c r="K29" s="138"/>
      <c r="L29" s="109"/>
      <c r="M29" s="194"/>
      <c r="N29" s="188"/>
      <c r="O29" s="188"/>
      <c r="P29" s="188"/>
      <c r="Q29" s="188"/>
      <c r="R29" s="188"/>
      <c r="S29" s="189"/>
    </row>
    <row r="30" ht="13" customHeight="1">
      <c r="A30" s="94">
        <v>15</v>
      </c>
      <c r="B30" t="s" s="95">
        <v>66</v>
      </c>
      <c r="C30" t="s" s="96">
        <v>50</v>
      </c>
      <c r="D30" s="97">
        <v>444600</v>
      </c>
      <c r="E30" t="s" s="96">
        <v>51</v>
      </c>
      <c r="F30" s="98">
        <v>42.1668</v>
      </c>
      <c r="G30" s="98">
        <f>D30*F30</f>
        <v>18747359.28</v>
      </c>
      <c r="H30" s="99">
        <f>G30/$G$60</f>
        <v>0.00600260678648244</v>
      </c>
      <c r="I30" s="107"/>
      <c r="J30" s="193"/>
      <c r="K30" s="138"/>
      <c r="L30" s="109"/>
      <c r="M30" s="194"/>
      <c r="N30" s="188"/>
      <c r="O30" s="188"/>
      <c r="P30" s="188"/>
      <c r="Q30" s="188"/>
      <c r="R30" s="188"/>
      <c r="S30" s="189"/>
    </row>
    <row r="31" ht="13" customHeight="1">
      <c r="A31" s="94">
        <v>16</v>
      </c>
      <c r="B31" t="s" s="95">
        <v>67</v>
      </c>
      <c r="C31" t="s" s="96">
        <v>50</v>
      </c>
      <c r="D31" s="97">
        <v>444600</v>
      </c>
      <c r="E31" t="s" s="96">
        <v>51</v>
      </c>
      <c r="F31" s="98">
        <v>187.059366</v>
      </c>
      <c r="G31" s="98">
        <f>D31*F31</f>
        <v>83166594.12360001</v>
      </c>
      <c r="H31" s="99">
        <f>G31/$G$60</f>
        <v>0.0266286229883866</v>
      </c>
      <c r="I31" s="107"/>
      <c r="J31" s="193"/>
      <c r="K31" s="138"/>
      <c r="L31" s="109"/>
      <c r="M31" s="194"/>
      <c r="N31" s="188"/>
      <c r="O31" s="188"/>
      <c r="P31" s="188"/>
      <c r="Q31" s="188"/>
      <c r="R31" s="188"/>
      <c r="S31" s="189"/>
    </row>
    <row r="32" ht="13" customHeight="1">
      <c r="A32" s="94">
        <v>17</v>
      </c>
      <c r="B32" t="s" s="95">
        <v>68</v>
      </c>
      <c r="C32" t="s" s="96">
        <v>69</v>
      </c>
      <c r="D32" s="97">
        <v>10</v>
      </c>
      <c r="E32" t="s" s="96">
        <v>51</v>
      </c>
      <c r="F32" s="98">
        <v>1190000</v>
      </c>
      <c r="G32" s="98">
        <f>D32*F32</f>
        <v>11900000</v>
      </c>
      <c r="H32" s="99">
        <f>G32/$G$60</f>
        <v>0.00381019106170034</v>
      </c>
      <c r="I32" s="107"/>
      <c r="J32" s="193"/>
      <c r="K32" s="138"/>
      <c r="L32" s="109"/>
      <c r="M32" s="194"/>
      <c r="N32" s="188"/>
      <c r="O32" s="188"/>
      <c r="P32" s="188"/>
      <c r="Q32" s="188"/>
      <c r="R32" s="188"/>
      <c r="S32" s="189"/>
    </row>
    <row r="33" ht="13" customHeight="1">
      <c r="A33" s="94">
        <v>18</v>
      </c>
      <c r="B33" t="s" s="95">
        <v>70</v>
      </c>
      <c r="C33" t="s" s="96">
        <v>69</v>
      </c>
      <c r="D33" s="97">
        <v>10</v>
      </c>
      <c r="E33" t="s" s="96">
        <v>51</v>
      </c>
      <c r="F33" s="98">
        <v>348780</v>
      </c>
      <c r="G33" s="98">
        <f>D33*F33</f>
        <v>3487800</v>
      </c>
      <c r="H33" s="99">
        <f>G33/$G$60</f>
        <v>0.00111673818361332</v>
      </c>
      <c r="I33" s="107"/>
      <c r="J33" s="193"/>
      <c r="K33" s="109"/>
      <c r="L33" s="109"/>
      <c r="M33" s="195"/>
      <c r="N33" s="188"/>
      <c r="O33" s="188"/>
      <c r="P33" s="188"/>
      <c r="Q33" s="188"/>
      <c r="R33" s="188"/>
      <c r="S33" s="189"/>
    </row>
    <row r="34" ht="24" customHeight="1">
      <c r="A34" s="101">
        <v>20</v>
      </c>
      <c r="B34" t="s" s="95">
        <v>71</v>
      </c>
      <c r="C34" t="s" s="96">
        <v>72</v>
      </c>
      <c r="D34" s="97">
        <v>4083.06</v>
      </c>
      <c r="E34" t="s" s="96">
        <v>51</v>
      </c>
      <c r="F34" s="98">
        <v>853.49</v>
      </c>
      <c r="G34" s="98">
        <f>D34*F34</f>
        <v>3484850.8794</v>
      </c>
      <c r="H34" s="99">
        <f>G34/$G$60</f>
        <v>0.00111579392202088</v>
      </c>
      <c r="I34" s="107"/>
      <c r="J34" s="193"/>
      <c r="K34" s="109"/>
      <c r="L34" s="109"/>
      <c r="M34" s="195"/>
      <c r="N34" s="188"/>
      <c r="O34" s="188"/>
      <c r="P34" s="188"/>
      <c r="Q34" s="188"/>
      <c r="R34" s="188"/>
      <c r="S34" s="189"/>
    </row>
    <row r="35" ht="24" customHeight="1">
      <c r="A35" s="94">
        <v>21</v>
      </c>
      <c r="B35" t="s" s="95">
        <v>73</v>
      </c>
      <c r="C35" t="s" s="96">
        <v>50</v>
      </c>
      <c r="D35" s="97">
        <v>100</v>
      </c>
      <c r="E35" t="s" s="96">
        <v>51</v>
      </c>
      <c r="F35" s="98">
        <v>8322.238079999999</v>
      </c>
      <c r="G35" s="98">
        <f>D35*F35</f>
        <v>832223.808</v>
      </c>
      <c r="H35" s="99">
        <f>G35/$G$60</f>
        <v>0.000266464849964355</v>
      </c>
      <c r="I35" s="99"/>
      <c r="J35" s="188"/>
      <c r="K35" t="s" s="127">
        <v>96</v>
      </c>
      <c r="L35" t="s" s="128">
        <v>97</v>
      </c>
      <c r="M35" s="99"/>
      <c r="N35" s="99"/>
      <c r="O35" s="99"/>
      <c r="P35" s="99"/>
      <c r="Q35" s="188"/>
      <c r="R35" s="188"/>
      <c r="S35" s="189"/>
    </row>
    <row r="36" ht="24" customHeight="1">
      <c r="A36" s="94">
        <v>22</v>
      </c>
      <c r="B36" t="s" s="95">
        <v>74</v>
      </c>
      <c r="C36" t="s" s="96">
        <v>72</v>
      </c>
      <c r="D36" s="97">
        <v>3066.83</v>
      </c>
      <c r="E36" t="s" s="96">
        <v>51</v>
      </c>
      <c r="F36" s="98">
        <v>18540.43</v>
      </c>
      <c r="G36" s="98">
        <f>D36*F36</f>
        <v>56860346.9369</v>
      </c>
      <c r="H36" s="99">
        <f>G36/$G$60</f>
        <v>0.0182057803079123</v>
      </c>
      <c r="I36" s="99"/>
      <c r="J36" t="s" s="127">
        <v>98</v>
      </c>
      <c r="K36" s="130">
        <v>24146</v>
      </c>
      <c r="L36" s="130">
        <v>289754</v>
      </c>
      <c r="M36" s="99"/>
      <c r="N36" s="97">
        <v>11787.58</v>
      </c>
      <c r="O36" s="97">
        <f>K36/N36</f>
        <v>2.04842724291161</v>
      </c>
      <c r="P36" s="97">
        <f>L36/N36</f>
        <v>24.5812965850497</v>
      </c>
      <c r="Q36" s="196">
        <v>159338</v>
      </c>
      <c r="R36" s="197">
        <f>O36*Q36</f>
        <v>326392.30003105</v>
      </c>
      <c r="S36" s="198">
        <f>Q36*P36</f>
        <v>3916734.63526865</v>
      </c>
    </row>
    <row r="37" ht="24" customHeight="1">
      <c r="A37" s="101">
        <v>23</v>
      </c>
      <c r="B37" t="s" s="95">
        <v>75</v>
      </c>
      <c r="C37" t="s" s="96">
        <v>76</v>
      </c>
      <c r="D37" s="97">
        <v>11115</v>
      </c>
      <c r="E37" t="s" s="96">
        <v>51</v>
      </c>
      <c r="F37" s="98">
        <v>18765.32</v>
      </c>
      <c r="G37" s="98">
        <f>D37*F37</f>
        <v>208576531.8</v>
      </c>
      <c r="H37" s="99">
        <f>G37/$G$60</f>
        <v>0.0667828938777158</v>
      </c>
      <c r="I37" t="s" s="127">
        <v>99</v>
      </c>
      <c r="J37" s="133"/>
      <c r="K37" s="130">
        <v>5723</v>
      </c>
      <c r="L37" s="130">
        <v>68678</v>
      </c>
      <c r="M37" s="99"/>
      <c r="N37" s="97">
        <v>1896</v>
      </c>
      <c r="O37" s="97">
        <f>K37/N37</f>
        <v>3.01845991561181</v>
      </c>
      <c r="P37" s="97">
        <f>L37/N37</f>
        <v>36.2225738396624</v>
      </c>
      <c r="Q37" s="188"/>
      <c r="R37" s="188"/>
      <c r="S37" s="189"/>
    </row>
    <row r="38" ht="24" customHeight="1">
      <c r="A38" s="101">
        <v>28</v>
      </c>
      <c r="B38" t="s" s="95">
        <v>77</v>
      </c>
      <c r="C38" t="s" s="96">
        <v>50</v>
      </c>
      <c r="D38" s="97">
        <v>159338</v>
      </c>
      <c r="E38" t="s" s="96">
        <v>51</v>
      </c>
      <c r="F38" s="98">
        <v>2301.55</v>
      </c>
      <c r="G38" s="98">
        <f>D38*F38</f>
        <v>366724373.9</v>
      </c>
      <c r="H38" s="99">
        <f>G38/$G$60</f>
        <v>0.117419321978272</v>
      </c>
      <c r="I38" s="107"/>
      <c r="J38" s="103"/>
      <c r="K38" s="108"/>
      <c r="L38" s="109"/>
      <c r="M38" s="188"/>
      <c r="N38" s="188"/>
      <c r="O38" s="188"/>
      <c r="P38" s="188"/>
      <c r="Q38" s="188"/>
      <c r="R38" s="188"/>
      <c r="S38" s="189"/>
    </row>
    <row r="39" ht="13" customHeight="1">
      <c r="A39" s="101">
        <v>29</v>
      </c>
      <c r="B39" t="s" s="95">
        <v>78</v>
      </c>
      <c r="C39" t="s" s="96">
        <v>50</v>
      </c>
      <c r="D39" s="97">
        <v>159338</v>
      </c>
      <c r="E39" t="s" s="96">
        <v>51</v>
      </c>
      <c r="F39" s="98">
        <v>1927.24</v>
      </c>
      <c r="G39" s="98">
        <f>D39*F39</f>
        <v>307082567.12</v>
      </c>
      <c r="H39" s="99">
        <f>G39/$G$60</f>
        <v>0.09832296239030421</v>
      </c>
      <c r="I39" s="107"/>
      <c r="J39" s="103"/>
      <c r="K39" s="108"/>
      <c r="L39" s="109"/>
      <c r="M39" s="194"/>
      <c r="N39" s="188"/>
      <c r="O39" s="188"/>
      <c r="P39" s="188"/>
      <c r="Q39" s="188"/>
      <c r="R39" s="188"/>
      <c r="S39" s="189"/>
    </row>
    <row r="40" ht="24" customHeight="1">
      <c r="A40" s="101">
        <v>30</v>
      </c>
      <c r="B40" t="s" s="95">
        <v>79</v>
      </c>
      <c r="C40" t="s" s="96">
        <v>50</v>
      </c>
      <c r="D40" s="97">
        <f>D23+D24+D35</f>
        <v>1750.98</v>
      </c>
      <c r="E40" t="s" s="96">
        <v>51</v>
      </c>
      <c r="F40" s="98">
        <v>1081.163256546</v>
      </c>
      <c r="G40" s="98">
        <f>D40*F40</f>
        <v>1893095.23894692</v>
      </c>
      <c r="H40" s="99">
        <f>G40/$G$60</f>
        <v>0.000606139038519583</v>
      </c>
      <c r="I40" s="107"/>
      <c r="J40" s="103"/>
      <c r="K40" s="108"/>
      <c r="L40" s="109"/>
      <c r="M40" s="194"/>
      <c r="N40" s="188"/>
      <c r="O40" s="188"/>
      <c r="P40" s="188"/>
      <c r="Q40" s="188"/>
      <c r="R40" s="188"/>
      <c r="S40" s="189"/>
    </row>
    <row r="41" ht="13" customHeight="1">
      <c r="A41" s="101">
        <v>31</v>
      </c>
      <c r="B41" t="s" s="102">
        <v>80</v>
      </c>
      <c r="C41" t="s" s="96">
        <v>50</v>
      </c>
      <c r="D41" s="97">
        <f>D40</f>
        <v>1750.98</v>
      </c>
      <c r="E41" t="s" s="96">
        <v>51</v>
      </c>
      <c r="F41" s="103">
        <v>1729.8612104736</v>
      </c>
      <c r="G41" s="103">
        <f>D41*F41</f>
        <v>3028952.38231506</v>
      </c>
      <c r="H41" s="99">
        <f>G41/$G$60</f>
        <v>0.000969822461631328</v>
      </c>
      <c r="I41" s="107"/>
      <c r="J41" s="103"/>
      <c r="K41" s="108"/>
      <c r="L41" s="109"/>
      <c r="M41" s="194"/>
      <c r="N41" s="188"/>
      <c r="O41" s="188"/>
      <c r="P41" s="188"/>
      <c r="Q41" s="188"/>
      <c r="R41" s="188"/>
      <c r="S41" s="189"/>
    </row>
    <row r="42" ht="13" customHeight="1">
      <c r="A42" s="101">
        <v>32</v>
      </c>
      <c r="B42" t="s" s="95">
        <v>81</v>
      </c>
      <c r="C42" t="s" s="96">
        <v>50</v>
      </c>
      <c r="D42" s="97">
        <f>D41</f>
        <v>1750.98</v>
      </c>
      <c r="E42" t="s" s="96">
        <v>51</v>
      </c>
      <c r="F42" s="98">
        <v>1265.3</v>
      </c>
      <c r="G42" s="103">
        <f>D42*F42</f>
        <v>2215514.994</v>
      </c>
      <c r="H42" s="99">
        <f>G42/$G$60</f>
        <v>0.000709372724974949</v>
      </c>
      <c r="I42" s="107"/>
      <c r="J42" s="103"/>
      <c r="K42" s="108"/>
      <c r="L42" s="109"/>
      <c r="M42" s="194"/>
      <c r="N42" s="188"/>
      <c r="O42" s="188"/>
      <c r="P42" s="188"/>
      <c r="Q42" s="188"/>
      <c r="R42" s="188"/>
      <c r="S42" s="189"/>
    </row>
    <row r="43" ht="14" customHeight="1">
      <c r="A43" s="101">
        <v>33</v>
      </c>
      <c r="B43" t="s" s="95">
        <v>82</v>
      </c>
      <c r="C43" t="s" s="96">
        <v>50</v>
      </c>
      <c r="D43" s="97">
        <f>D42</f>
        <v>1750.98</v>
      </c>
      <c r="E43" t="s" s="96">
        <v>51</v>
      </c>
      <c r="F43" s="98">
        <v>1470.95</v>
      </c>
      <c r="G43" s="104">
        <f>D43*F43</f>
        <v>2575604.031</v>
      </c>
      <c r="H43" s="99">
        <f>G43/$G$60</f>
        <v>0.0008246675174282</v>
      </c>
      <c r="I43" s="107"/>
      <c r="J43" s="103"/>
      <c r="K43" s="108"/>
      <c r="L43" s="109"/>
      <c r="M43" s="194"/>
      <c r="N43" s="188"/>
      <c r="O43" s="188"/>
      <c r="P43" s="188"/>
      <c r="Q43" s="188"/>
      <c r="R43" s="188"/>
      <c r="S43" s="189"/>
    </row>
    <row r="44" ht="14" customHeight="1">
      <c r="A44" s="199"/>
      <c r="B44" s="90"/>
      <c r="C44" s="106"/>
      <c r="D44" s="107"/>
      <c r="E44" s="108"/>
      <c r="F44" s="109"/>
      <c r="G44" s="110">
        <f>SUM(G22:G43)</f>
        <v>2543608983.16166</v>
      </c>
      <c r="H44" s="99">
        <f>G44/$G$60</f>
        <v>0.814423211101114</v>
      </c>
      <c r="I44" s="107"/>
      <c r="J44" s="200"/>
      <c r="K44" s="188"/>
      <c r="L44" s="109"/>
      <c r="M44" s="201"/>
      <c r="N44" s="188"/>
      <c r="O44" s="188"/>
      <c r="P44" s="188"/>
      <c r="Q44" s="188"/>
      <c r="R44" s="188"/>
      <c r="S44" s="189"/>
    </row>
    <row r="45" ht="13" customHeight="1">
      <c r="A45" s="199"/>
      <c r="B45" s="90"/>
      <c r="C45" s="106"/>
      <c r="D45" s="107"/>
      <c r="E45" s="108"/>
      <c r="F45" s="109"/>
      <c r="G45" s="88"/>
      <c r="H45" s="112"/>
      <c r="I45" s="107"/>
      <c r="J45" s="200"/>
      <c r="K45" s="200"/>
      <c r="L45" s="109"/>
      <c r="M45" s="202"/>
      <c r="N45" s="188"/>
      <c r="O45" s="188"/>
      <c r="P45" s="188"/>
      <c r="Q45" s="188"/>
      <c r="R45" s="188"/>
      <c r="S45" s="189"/>
    </row>
    <row r="46" ht="24" customHeight="1">
      <c r="A46" s="101">
        <v>33</v>
      </c>
      <c r="B46" t="s" s="102">
        <v>83</v>
      </c>
      <c r="C46" t="s" s="113">
        <v>69</v>
      </c>
      <c r="D46" s="114">
        <v>0.05</v>
      </c>
      <c r="E46" t="s" s="113">
        <v>51</v>
      </c>
      <c r="F46" s="103">
        <f>G44</f>
        <v>2543608983.16166</v>
      </c>
      <c r="G46" s="103">
        <f>D46*F46</f>
        <v>127180449.158083</v>
      </c>
      <c r="H46" s="99">
        <f>G46/$G$60</f>
        <v>0.0407211605550557</v>
      </c>
      <c r="I46" s="109"/>
      <c r="J46" s="103"/>
      <c r="K46" s="108"/>
      <c r="L46" s="109"/>
      <c r="M46" s="202"/>
      <c r="N46" s="188"/>
      <c r="O46" s="188"/>
      <c r="P46" s="188"/>
      <c r="Q46" s="188"/>
      <c r="R46" s="188"/>
      <c r="S46" s="189"/>
    </row>
    <row r="47" ht="24" customHeight="1">
      <c r="A47" s="116">
        <v>34</v>
      </c>
      <c r="B47" t="s" s="117">
        <v>84</v>
      </c>
      <c r="C47" t="s" s="118">
        <v>69</v>
      </c>
      <c r="D47" s="119">
        <v>0.05</v>
      </c>
      <c r="E47" t="s" s="118">
        <v>51</v>
      </c>
      <c r="F47" s="120">
        <f>G44</f>
        <v>2543608983.16166</v>
      </c>
      <c r="G47" s="120">
        <f>D47*F47</f>
        <v>127180449.158083</v>
      </c>
      <c r="H47" s="121">
        <f>G47/$G$60</f>
        <v>0.0407211605550557</v>
      </c>
      <c r="I47" s="109"/>
      <c r="J47" s="103"/>
      <c r="K47" s="108"/>
      <c r="L47" s="109"/>
      <c r="M47" s="188"/>
      <c r="N47" s="188"/>
      <c r="O47" s="188"/>
      <c r="P47" s="188"/>
      <c r="Q47" s="188"/>
      <c r="R47" s="188"/>
      <c r="S47" s="189"/>
    </row>
    <row r="48" ht="24" customHeight="1">
      <c r="A48" s="116">
        <v>35</v>
      </c>
      <c r="B48" t="s" s="117">
        <v>85</v>
      </c>
      <c r="C48" t="s" s="118">
        <v>69</v>
      </c>
      <c r="D48" s="119">
        <v>0.07000000000000001</v>
      </c>
      <c r="E48" t="s" s="118">
        <v>51</v>
      </c>
      <c r="F48" s="120">
        <f>G44</f>
        <v>2543608983.16166</v>
      </c>
      <c r="G48" s="120">
        <f>D48*F48</f>
        <v>178052628.821316</v>
      </c>
      <c r="H48" s="121">
        <f>G48/$G$60</f>
        <v>0.0570096247770779</v>
      </c>
      <c r="I48" s="109"/>
      <c r="J48" s="103"/>
      <c r="K48" s="108"/>
      <c r="L48" s="109"/>
      <c r="M48" s="188"/>
      <c r="N48" s="188"/>
      <c r="O48" s="188"/>
      <c r="P48" s="188"/>
      <c r="Q48" s="188"/>
      <c r="R48" s="188"/>
      <c r="S48" s="189"/>
    </row>
    <row r="49" ht="24" customHeight="1">
      <c r="A49" s="101">
        <v>36</v>
      </c>
      <c r="B49" t="s" s="102">
        <v>86</v>
      </c>
      <c r="C49" t="s" s="113">
        <v>69</v>
      </c>
      <c r="D49" s="114">
        <v>0.05</v>
      </c>
      <c r="E49" t="s" s="113">
        <v>51</v>
      </c>
      <c r="F49" s="103">
        <f>G44</f>
        <v>2543608983.16166</v>
      </c>
      <c r="G49" s="103">
        <f>D49*F49</f>
        <v>127180449.158083</v>
      </c>
      <c r="H49" s="99">
        <f>G49/$G$60</f>
        <v>0.0407211605550557</v>
      </c>
      <c r="I49" s="109"/>
      <c r="J49" s="103"/>
      <c r="K49" s="203"/>
      <c r="L49" s="109"/>
      <c r="M49" s="188"/>
      <c r="N49" s="188"/>
      <c r="O49" s="188"/>
      <c r="P49" s="188"/>
      <c r="Q49" s="188"/>
      <c r="R49" s="188"/>
      <c r="S49" s="189"/>
    </row>
    <row r="50" ht="14" customHeight="1">
      <c r="A50" s="101"/>
      <c r="B50" s="90"/>
      <c r="C50" s="106"/>
      <c r="D50" s="114"/>
      <c r="E50" s="108"/>
      <c r="F50" s="103"/>
      <c r="G50" s="122"/>
      <c r="H50" s="99"/>
      <c r="I50" s="109"/>
      <c r="J50" s="204"/>
      <c r="K50" s="108"/>
      <c r="L50" s="109"/>
      <c r="M50" s="188"/>
      <c r="N50" s="188"/>
      <c r="O50" s="188"/>
      <c r="P50" s="188"/>
      <c r="Q50" s="188"/>
      <c r="R50" s="188"/>
      <c r="S50" s="189"/>
    </row>
    <row r="51" ht="23.25" customHeight="1">
      <c r="A51" s="124"/>
      <c r="B51" t="s" s="125">
        <v>114</v>
      </c>
      <c r="C51" s="126"/>
      <c r="D51" s="126"/>
      <c r="E51" s="126"/>
      <c r="F51" s="126"/>
      <c r="G51" s="110">
        <f>SUM(G44:G50)</f>
        <v>3103202959.45723</v>
      </c>
      <c r="H51" s="99">
        <f>G51/$G$60</f>
        <v>0.993596317543361</v>
      </c>
      <c r="I51" s="107"/>
      <c r="J51" s="200"/>
      <c r="K51" s="188"/>
      <c r="L51" s="188"/>
      <c r="M51" s="188"/>
      <c r="N51" s="188"/>
      <c r="O51" s="188"/>
      <c r="P51" s="188"/>
      <c r="Q51" s="188"/>
      <c r="R51" s="188"/>
      <c r="S51" s="189"/>
    </row>
    <row r="52" ht="13" customHeight="1">
      <c r="A52" s="101"/>
      <c r="B52" s="90"/>
      <c r="C52" s="106"/>
      <c r="D52" s="135"/>
      <c r="E52" s="108"/>
      <c r="F52" s="109"/>
      <c r="G52" s="103"/>
      <c r="H52" s="112"/>
      <c r="I52" s="109"/>
      <c r="J52" s="103"/>
      <c r="K52" s="108"/>
      <c r="L52" s="109"/>
      <c r="M52" s="188"/>
      <c r="N52" s="188"/>
      <c r="O52" s="188"/>
      <c r="P52" s="188"/>
      <c r="Q52" s="188"/>
      <c r="R52" s="188"/>
      <c r="S52" s="189"/>
    </row>
    <row r="53" ht="13" customHeight="1">
      <c r="A53" t="s" s="91">
        <v>102</v>
      </c>
      <c r="B53" s="84"/>
      <c r="C53" s="106"/>
      <c r="D53" s="135"/>
      <c r="E53" s="108"/>
      <c r="F53" s="109"/>
      <c r="G53" s="103"/>
      <c r="H53" s="112"/>
      <c r="I53" s="109"/>
      <c r="J53" s="103"/>
      <c r="K53" s="108"/>
      <c r="L53" s="109"/>
      <c r="M53" s="188"/>
      <c r="N53" s="188"/>
      <c r="O53" s="188"/>
      <c r="P53" s="188"/>
      <c r="Q53" s="188"/>
      <c r="R53" s="188"/>
      <c r="S53" s="189"/>
    </row>
    <row r="54" ht="25" customHeight="1">
      <c r="A54" s="101">
        <v>12</v>
      </c>
      <c r="B54" t="s" s="102">
        <v>103</v>
      </c>
      <c r="C54" t="s" s="113">
        <v>69</v>
      </c>
      <c r="D54" s="138">
        <v>1</v>
      </c>
      <c r="E54" t="s" s="113">
        <v>51</v>
      </c>
      <c r="F54" s="103">
        <v>20000000</v>
      </c>
      <c r="G54" s="122">
        <f>D54*F54</f>
        <v>20000000</v>
      </c>
      <c r="H54" s="99">
        <f>G54/$G$60</f>
        <v>0.00640368245663923</v>
      </c>
      <c r="I54" s="109"/>
      <c r="J54" s="103"/>
      <c r="K54" s="108"/>
      <c r="L54" s="109"/>
      <c r="M54" s="188"/>
      <c r="N54" s="188"/>
      <c r="O54" s="188"/>
      <c r="P54" s="188"/>
      <c r="Q54" s="188"/>
      <c r="R54" s="188"/>
      <c r="S54" s="189"/>
    </row>
    <row r="55" ht="14" customHeight="1">
      <c r="A55" s="101"/>
      <c r="B55" t="s" s="139">
        <v>104</v>
      </c>
      <c r="C55" s="106"/>
      <c r="D55" s="138"/>
      <c r="E55" s="108"/>
      <c r="F55" s="109"/>
      <c r="G55" s="110">
        <f>G54</f>
        <v>20000000</v>
      </c>
      <c r="H55" s="99">
        <f>G55/$G$60</f>
        <v>0.00640368245663923</v>
      </c>
      <c r="I55" s="109"/>
      <c r="J55" s="103"/>
      <c r="K55" s="108"/>
      <c r="L55" s="109"/>
      <c r="M55" s="188"/>
      <c r="N55" s="188"/>
      <c r="O55" s="188"/>
      <c r="P55" s="188"/>
      <c r="Q55" s="188"/>
      <c r="R55" s="188"/>
      <c r="S55" s="189"/>
    </row>
    <row r="56" ht="14" customHeight="1">
      <c r="A56" s="101"/>
      <c r="B56" s="90"/>
      <c r="C56" s="106"/>
      <c r="D56" s="138"/>
      <c r="E56" s="108"/>
      <c r="F56" s="109"/>
      <c r="G56" s="141"/>
      <c r="H56" s="112"/>
      <c r="I56" s="109"/>
      <c r="J56" s="103"/>
      <c r="K56" s="108"/>
      <c r="L56" s="109"/>
      <c r="M56" s="188"/>
      <c r="N56" s="188"/>
      <c r="O56" s="188"/>
      <c r="P56" s="188"/>
      <c r="Q56" s="188"/>
      <c r="R56" s="188"/>
      <c r="S56" s="189"/>
    </row>
    <row r="57" ht="15" customHeight="1">
      <c r="A57" s="101"/>
      <c r="B57" t="s" s="125">
        <v>115</v>
      </c>
      <c r="C57" s="126"/>
      <c r="D57" s="126"/>
      <c r="E57" s="126"/>
      <c r="F57" s="126"/>
      <c r="G57" s="142">
        <f>G51</f>
        <v>3103202959.45723</v>
      </c>
      <c r="H57" s="99">
        <f>G57/$G$60</f>
        <v>0.993596317543361</v>
      </c>
      <c r="I57" s="107"/>
      <c r="J57" s="200"/>
      <c r="K57" s="188"/>
      <c r="L57" s="188"/>
      <c r="M57" s="188"/>
      <c r="N57" s="188"/>
      <c r="O57" s="188"/>
      <c r="P57" s="188"/>
      <c r="Q57" s="188"/>
      <c r="R57" s="188"/>
      <c r="S57" s="189"/>
    </row>
    <row r="58" ht="14" customHeight="1">
      <c r="A58" s="101"/>
      <c r="B58" s="126"/>
      <c r="C58" s="126"/>
      <c r="D58" s="126"/>
      <c r="E58" s="126"/>
      <c r="F58" s="126"/>
      <c r="G58" s="110"/>
      <c r="H58" s="99"/>
      <c r="I58" s="107"/>
      <c r="J58" s="205"/>
      <c r="K58" s="206"/>
      <c r="L58" s="188"/>
      <c r="M58" s="188"/>
      <c r="N58" s="188"/>
      <c r="O58" s="188"/>
      <c r="P58" s="188"/>
      <c r="Q58" s="188"/>
      <c r="R58" s="188"/>
      <c r="S58" s="189"/>
    </row>
    <row r="59" ht="13" customHeight="1">
      <c r="A59" s="101"/>
      <c r="B59" t="s" s="125">
        <v>104</v>
      </c>
      <c r="C59" s="126"/>
      <c r="D59" s="126"/>
      <c r="E59" s="126"/>
      <c r="F59" s="126"/>
      <c r="G59" s="141">
        <f>G55</f>
        <v>20000000</v>
      </c>
      <c r="H59" s="143">
        <f>G59/$G$60</f>
        <v>0.00640368245663923</v>
      </c>
      <c r="I59" s="107"/>
      <c r="J59" s="205"/>
      <c r="K59" s="206"/>
      <c r="L59" s="188"/>
      <c r="M59" s="188"/>
      <c r="N59" s="188"/>
      <c r="O59" s="188"/>
      <c r="P59" s="188"/>
      <c r="Q59" s="188"/>
      <c r="R59" s="188"/>
      <c r="S59" s="189"/>
    </row>
    <row r="60" ht="13" customHeight="1">
      <c r="A60" t="s" s="144">
        <v>105</v>
      </c>
      <c r="B60" t="s" s="139">
        <v>116</v>
      </c>
      <c r="C60" s="84"/>
      <c r="D60" s="84"/>
      <c r="E60" s="86"/>
      <c r="F60" s="93"/>
      <c r="G60" s="145">
        <f>SUM(G57:G59)</f>
        <v>3123202959.45723</v>
      </c>
      <c r="H60" s="146">
        <v>0.999989182396458</v>
      </c>
      <c r="I60" s="153"/>
      <c r="J60" s="200"/>
      <c r="K60" s="200"/>
      <c r="L60" s="188"/>
      <c r="M60" s="188"/>
      <c r="N60" s="188"/>
      <c r="O60" s="188"/>
      <c r="P60" s="188"/>
      <c r="Q60" s="188"/>
      <c r="R60" s="188"/>
      <c r="S60" s="189"/>
    </row>
    <row r="61" ht="13" customHeight="1">
      <c r="A61" s="149"/>
      <c r="B61" t="s" s="139">
        <v>106</v>
      </c>
      <c r="C61" s="84"/>
      <c r="D61" s="84"/>
      <c r="E61" s="86"/>
      <c r="F61" s="6"/>
      <c r="G61" s="145"/>
      <c r="H61" s="147">
        <v>1</v>
      </c>
      <c r="I61" s="207"/>
      <c r="J61" s="188"/>
      <c r="K61" s="200"/>
      <c r="L61" s="188"/>
      <c r="M61" s="188"/>
      <c r="N61" s="188"/>
      <c r="O61" s="188"/>
      <c r="P61" s="188"/>
      <c r="Q61" s="188"/>
      <c r="R61" s="188"/>
      <c r="S61" s="189"/>
    </row>
    <row r="62" ht="13" customHeight="1">
      <c r="A62" s="149"/>
      <c r="B62" t="s" s="57">
        <v>117</v>
      </c>
      <c r="C62" s="84"/>
      <c r="D62" s="84"/>
      <c r="E62" s="86"/>
      <c r="F62" s="152">
        <v>0</v>
      </c>
      <c r="G62" s="150">
        <f>G60</f>
        <v>3123202959.45723</v>
      </c>
      <c r="H62" s="147"/>
      <c r="I62" s="200">
        <f>G62/18.62</f>
        <v>167733778.703396</v>
      </c>
      <c r="J62" s="188"/>
      <c r="K62" s="188"/>
      <c r="L62" s="188"/>
      <c r="M62" s="188"/>
      <c r="N62" s="188"/>
      <c r="O62" s="188"/>
      <c r="P62" s="188"/>
      <c r="Q62" s="188"/>
      <c r="R62" s="188"/>
      <c r="S62" s="189"/>
    </row>
    <row r="63" ht="13" customHeight="1">
      <c r="A63" s="149"/>
      <c r="B63" t="s" s="208">
        <v>118</v>
      </c>
      <c r="C63" s="84"/>
      <c r="D63" s="84"/>
      <c r="E63" s="86"/>
      <c r="F63" s="152"/>
      <c r="G63" s="209"/>
      <c r="H63" s="147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9"/>
    </row>
    <row r="64" ht="13" customHeight="1">
      <c r="A64" s="149"/>
      <c r="B64" s="39"/>
      <c r="C64" s="84"/>
      <c r="D64" s="84"/>
      <c r="E64" s="86"/>
      <c r="F64" s="152"/>
      <c r="G64" s="209"/>
      <c r="H64" s="147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9"/>
    </row>
    <row r="65" ht="13" customHeight="1">
      <c r="A65" s="149"/>
      <c r="B65" s="151"/>
      <c r="C65" s="84"/>
      <c r="D65" s="84"/>
      <c r="E65" s="86"/>
      <c r="F65" s="6"/>
      <c r="G65" s="153"/>
      <c r="H65" s="147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9"/>
    </row>
    <row r="66" ht="13" customHeight="1">
      <c r="A66" s="149"/>
      <c r="B66" s="188"/>
      <c r="C66" s="84"/>
      <c r="D66" s="84"/>
      <c r="E66" s="84"/>
      <c r="F66" s="45"/>
      <c r="G66" s="210"/>
      <c r="H66" s="147"/>
      <c r="I66" s="188"/>
      <c r="J66" s="206"/>
      <c r="K66" s="206"/>
      <c r="L66" s="188"/>
      <c r="M66" s="188"/>
      <c r="N66" s="188"/>
      <c r="O66" s="188"/>
      <c r="P66" s="188"/>
      <c r="Q66" s="188"/>
      <c r="R66" s="188"/>
      <c r="S66" s="189"/>
    </row>
    <row r="67" ht="13" customHeight="1">
      <c r="A67" s="199"/>
      <c r="B67" s="188"/>
      <c r="C67" s="211"/>
      <c r="D67" s="212"/>
      <c r="E67" s="6"/>
      <c r="F67" s="6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9"/>
    </row>
    <row r="68" ht="12.75" customHeight="1">
      <c r="A68" s="199"/>
      <c r="B68" s="188"/>
      <c r="C68" s="188"/>
      <c r="D68" s="188"/>
      <c r="E68" s="6"/>
      <c r="F68" s="6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9"/>
    </row>
    <row r="69" ht="12.75" customHeight="1">
      <c r="A69" s="199"/>
      <c r="B69" s="188"/>
      <c r="C69" s="188"/>
      <c r="D69" s="188"/>
      <c r="E69" s="6"/>
      <c r="F69" s="6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9"/>
    </row>
    <row r="70" ht="12.75" customHeight="1">
      <c r="A70" s="199"/>
      <c r="B70" s="188"/>
      <c r="C70" s="188"/>
      <c r="D70" s="188"/>
      <c r="E70" s="213"/>
      <c r="F70" s="6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9"/>
    </row>
    <row r="71" ht="12.75" customHeight="1">
      <c r="A71" s="199"/>
      <c r="B71" s="188"/>
      <c r="C71" s="188"/>
      <c r="D71" s="188"/>
      <c r="E71" s="6"/>
      <c r="F71" s="6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9"/>
    </row>
    <row r="72" ht="12.75" customHeight="1">
      <c r="A72" s="199"/>
      <c r="B72" s="188"/>
      <c r="C72" s="188"/>
      <c r="D72" s="188"/>
      <c r="E72" s="6"/>
      <c r="F72" s="6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9"/>
    </row>
    <row r="73" ht="12.75" customHeight="1">
      <c r="A73" s="199"/>
      <c r="B73" s="188"/>
      <c r="C73" s="188"/>
      <c r="D73" s="188"/>
      <c r="E73" s="6"/>
      <c r="F73" s="6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9"/>
    </row>
    <row r="74" ht="12.75" customHeight="1">
      <c r="A74" s="199"/>
      <c r="B74" s="188"/>
      <c r="C74" s="188"/>
      <c r="D74" s="188"/>
      <c r="E74" s="6"/>
      <c r="F74" s="6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9"/>
    </row>
    <row r="75" ht="12.75" customHeight="1">
      <c r="A75" s="214"/>
      <c r="B75" s="215"/>
      <c r="C75" s="215"/>
      <c r="D75" s="215"/>
      <c r="E75" s="216"/>
      <c r="F75" s="20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7"/>
    </row>
  </sheetData>
  <mergeCells count="12">
    <mergeCell ref="C67:D67"/>
    <mergeCell ref="A20:H20"/>
    <mergeCell ref="A1:H2"/>
    <mergeCell ref="A5:E5"/>
    <mergeCell ref="A6:E6"/>
    <mergeCell ref="A13:D13"/>
    <mergeCell ref="A15:H15"/>
    <mergeCell ref="I37:J37"/>
    <mergeCell ref="B51:F51"/>
    <mergeCell ref="B57:F57"/>
    <mergeCell ref="B58:F58"/>
    <mergeCell ref="B59:F59"/>
  </mergeCells>
  <conditionalFormatting sqref="E70">
    <cfRule type="cellIs" dxfId="0" priority="1" operator="lessThan" stopIfTrue="1">
      <formula>0</formula>
    </cfRule>
  </conditionalFormatting>
  <pageMargins left="0.590551" right="0.23622" top="0.511811" bottom="0.590551" header="0.314961" footer="0.393701"/>
  <pageSetup firstPageNumber="1" fitToHeight="1" fitToWidth="1" scale="77" useFirstPageNumber="0" orientation="portrait" pageOrder="downThenOver"/>
  <headerFooter>
    <oddHeader>&amp;R&amp;"Arial,Regular"&amp;10&amp;K000000&amp;8&amp;P de 1</oddHeader>
    <oddFooter>&amp;C&amp;"Arial,Regular"&amp;8&amp;K000000JOSUE ALEXANDER BARRIOS GALINDO
ADMINISTRADOR UNICO
TRANSSHIPPING WORLD COMPANY, S.A.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S76"/>
  <sheetViews>
    <sheetView workbookViewId="0" showGridLines="0" defaultGridColor="1"/>
  </sheetViews>
  <sheetFormatPr defaultColWidth="11.5" defaultRowHeight="12.75" customHeight="1" outlineLevelRow="0" outlineLevelCol="0"/>
  <cols>
    <col min="1" max="1" width="11.6719" style="218" customWidth="1"/>
    <col min="2" max="2" width="30.6719" style="218" customWidth="1"/>
    <col min="3" max="3" width="6.67188" style="218" customWidth="1"/>
    <col min="4" max="4" width="12.8516" style="218" customWidth="1"/>
    <col min="5" max="5" width="16.5" style="218" customWidth="1"/>
    <col min="6" max="6" width="16" style="218" customWidth="1"/>
    <col min="7" max="7" width="20.3516" style="218" customWidth="1"/>
    <col min="8" max="8" width="7.85156" style="218" customWidth="1"/>
    <col min="9" max="9" width="16" style="218" customWidth="1"/>
    <col min="10" max="10" width="17.6719" style="218" customWidth="1"/>
    <col min="11" max="11" width="14.8516" style="218" customWidth="1"/>
    <col min="12" max="12" width="11.8516" style="218" customWidth="1"/>
    <col min="13" max="13" width="15.5" style="218" customWidth="1"/>
    <col min="14" max="18" width="11.5" style="218" customWidth="1"/>
    <col min="19" max="19" width="12.3516" style="218" customWidth="1"/>
    <col min="20" max="16384" width="11.5" style="218" customWidth="1"/>
  </cols>
  <sheetData>
    <row r="1" ht="15" customHeight="1">
      <c r="A1" t="s" s="28">
        <v>15</v>
      </c>
      <c r="B1" s="29"/>
      <c r="C1" s="29"/>
      <c r="D1" s="29"/>
      <c r="E1" s="29"/>
      <c r="F1" s="29"/>
      <c r="G1" s="29"/>
      <c r="H1" s="30"/>
      <c r="I1" s="184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ht="15" customHeight="1">
      <c r="A2" s="33"/>
      <c r="B2" s="34"/>
      <c r="C2" s="34"/>
      <c r="D2" s="34"/>
      <c r="E2" s="34"/>
      <c r="F2" s="34"/>
      <c r="G2" s="34"/>
      <c r="H2" s="35"/>
      <c r="I2" s="187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ht="12.75" customHeight="1">
      <c r="A3" s="36"/>
      <c r="B3" s="37">
        <v>0</v>
      </c>
      <c r="C3" s="38"/>
      <c r="D3" s="38"/>
      <c r="E3" s="38"/>
      <c r="F3" s="6"/>
      <c r="G3" s="39"/>
      <c r="H3" s="40"/>
      <c r="I3" s="187"/>
      <c r="J3" s="188"/>
      <c r="K3" s="188"/>
      <c r="L3" s="188"/>
      <c r="M3" s="188"/>
      <c r="N3" s="188"/>
      <c r="O3" s="188"/>
      <c r="P3" s="188"/>
      <c r="Q3" s="188"/>
      <c r="R3" s="188"/>
      <c r="S3" s="189"/>
    </row>
    <row r="4" ht="12.75" customHeight="1">
      <c r="A4" s="42"/>
      <c r="B4" s="38"/>
      <c r="C4" s="38"/>
      <c r="D4" s="38"/>
      <c r="E4" s="38"/>
      <c r="F4" s="6"/>
      <c r="G4" s="39"/>
      <c r="H4" s="40"/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9"/>
    </row>
    <row r="5" ht="12.75" customHeight="1">
      <c r="A5" t="s" s="43">
        <v>16</v>
      </c>
      <c r="B5" s="44"/>
      <c r="C5" s="44"/>
      <c r="D5" s="44"/>
      <c r="E5" s="45"/>
      <c r="F5" s="6"/>
      <c r="G5" s="39"/>
      <c r="H5" s="40"/>
      <c r="I5" s="187"/>
      <c r="J5" s="188"/>
      <c r="K5" s="188"/>
      <c r="L5" s="188"/>
      <c r="M5" s="188"/>
      <c r="N5" s="188"/>
      <c r="O5" s="188"/>
      <c r="P5" s="188"/>
      <c r="Q5" s="188"/>
      <c r="R5" s="188"/>
      <c r="S5" s="189"/>
    </row>
    <row r="6" ht="12.75" customHeight="1">
      <c r="A6" t="s" s="43">
        <v>119</v>
      </c>
      <c r="B6" s="44"/>
      <c r="C6" s="44"/>
      <c r="D6" s="44"/>
      <c r="E6" s="45"/>
      <c r="F6" t="s" s="46">
        <v>18</v>
      </c>
      <c r="G6" t="s" s="47">
        <v>19</v>
      </c>
      <c r="H6" s="40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ht="12.75" customHeight="1">
      <c r="A7" t="s" s="43">
        <v>20</v>
      </c>
      <c r="B7" s="38"/>
      <c r="C7" s="38"/>
      <c r="D7" s="38"/>
      <c r="E7" s="38"/>
      <c r="F7" t="s" s="48">
        <v>21</v>
      </c>
      <c r="G7" s="49">
        <v>44908</v>
      </c>
      <c r="H7" s="50"/>
      <c r="I7" s="187"/>
      <c r="J7" s="188"/>
      <c r="K7" s="188"/>
      <c r="L7" s="188"/>
      <c r="M7" s="188"/>
      <c r="N7" s="188"/>
      <c r="O7" s="188"/>
      <c r="P7" s="188"/>
      <c r="Q7" s="188"/>
      <c r="R7" s="188"/>
      <c r="S7" s="189"/>
    </row>
    <row r="8" ht="12.75" customHeight="1">
      <c r="A8" t="s" s="43">
        <v>22</v>
      </c>
      <c r="B8" s="38"/>
      <c r="C8" s="38"/>
      <c r="D8" s="38"/>
      <c r="E8" s="38"/>
      <c r="F8" s="6"/>
      <c r="G8" s="53"/>
      <c r="H8" s="54"/>
      <c r="I8" s="187"/>
      <c r="J8" s="188"/>
      <c r="K8" s="188"/>
      <c r="L8" s="188"/>
      <c r="M8" s="188"/>
      <c r="N8" s="188"/>
      <c r="O8" s="188"/>
      <c r="P8" s="188"/>
      <c r="Q8" s="188"/>
      <c r="R8" s="188"/>
      <c r="S8" s="189"/>
    </row>
    <row r="9" ht="12.75" customHeight="1">
      <c r="A9" s="42"/>
      <c r="B9" s="38"/>
      <c r="C9" s="38"/>
      <c r="D9" s="38"/>
      <c r="E9" s="38"/>
      <c r="F9" t="s" s="48">
        <v>23</v>
      </c>
      <c r="G9" t="s" s="56">
        <v>24</v>
      </c>
      <c r="H9" s="50"/>
      <c r="I9" s="187"/>
      <c r="J9" s="188"/>
      <c r="K9" s="188"/>
      <c r="L9" s="188"/>
      <c r="M9" s="188"/>
      <c r="N9" s="188"/>
      <c r="O9" s="188"/>
      <c r="P9" s="188"/>
      <c r="Q9" s="188"/>
      <c r="R9" s="188"/>
      <c r="S9" s="189"/>
    </row>
    <row r="10" ht="12.75" customHeight="1">
      <c r="A10" s="42"/>
      <c r="B10" s="38"/>
      <c r="C10" s="38"/>
      <c r="D10" s="38"/>
      <c r="E10" s="38"/>
      <c r="F10" t="s" s="48">
        <v>25</v>
      </c>
      <c r="G10" t="s" s="56">
        <v>26</v>
      </c>
      <c r="H10" s="50"/>
      <c r="I10" s="187"/>
      <c r="J10" s="188"/>
      <c r="K10" s="188"/>
      <c r="L10" s="188"/>
      <c r="M10" s="188"/>
      <c r="N10" s="188"/>
      <c r="O10" s="188"/>
      <c r="P10" s="188"/>
      <c r="Q10" s="188"/>
      <c r="R10" s="188"/>
      <c r="S10" s="189"/>
    </row>
    <row r="11" ht="12.75" customHeight="1">
      <c r="A11" s="42"/>
      <c r="B11" s="38"/>
      <c r="C11" s="38"/>
      <c r="D11" s="38"/>
      <c r="E11" s="38"/>
      <c r="F11" s="6"/>
      <c r="G11" t="s" s="57">
        <v>27</v>
      </c>
      <c r="H11" s="40"/>
      <c r="I11" s="187"/>
      <c r="J11" s="188"/>
      <c r="K11" s="188"/>
      <c r="L11" s="188"/>
      <c r="M11" s="188"/>
      <c r="N11" s="188"/>
      <c r="O11" s="188"/>
      <c r="P11" s="188"/>
      <c r="Q11" s="188"/>
      <c r="R11" s="188"/>
      <c r="S11" s="189"/>
    </row>
    <row r="12" ht="12.75" customHeight="1">
      <c r="A12" s="42"/>
      <c r="B12" s="38"/>
      <c r="C12" s="38"/>
      <c r="D12" s="38"/>
      <c r="E12" s="38"/>
      <c r="F12" s="6"/>
      <c r="G12" t="s" s="58">
        <v>28</v>
      </c>
      <c r="H12" s="40"/>
      <c r="I12" s="187"/>
      <c r="J12" s="188"/>
      <c r="K12" s="188"/>
      <c r="L12" s="188"/>
      <c r="M12" s="188"/>
      <c r="N12" s="188"/>
      <c r="O12" s="188"/>
      <c r="P12" s="188"/>
      <c r="Q12" s="188"/>
      <c r="R12" s="188"/>
      <c r="S12" s="189"/>
    </row>
    <row r="13" ht="12.75" customHeight="1">
      <c r="A13" t="s" s="59">
        <v>29</v>
      </c>
      <c r="B13" s="60"/>
      <c r="C13" s="60"/>
      <c r="D13" s="60"/>
      <c r="E13" s="61"/>
      <c r="F13" s="62"/>
      <c r="G13" s="63"/>
      <c r="H13" s="64"/>
      <c r="I13" s="187"/>
      <c r="J13" s="188"/>
      <c r="K13" s="188"/>
      <c r="L13" s="188"/>
      <c r="M13" s="188"/>
      <c r="N13" s="188"/>
      <c r="O13" s="188"/>
      <c r="P13" s="188"/>
      <c r="Q13" s="188"/>
      <c r="R13" s="188"/>
      <c r="S13" s="189"/>
    </row>
    <row r="14" ht="12.75" customHeight="1">
      <c r="A14" s="65"/>
      <c r="B14" s="66"/>
      <c r="C14" s="66"/>
      <c r="D14" s="66"/>
      <c r="E14" s="67"/>
      <c r="F14" s="190"/>
      <c r="G14" s="66"/>
      <c r="H14" s="191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</row>
    <row r="15" ht="12.75" customHeight="1">
      <c r="A15" t="s" s="68">
        <v>30</v>
      </c>
      <c r="B15" s="69"/>
      <c r="C15" s="69"/>
      <c r="D15" s="69"/>
      <c r="E15" s="70"/>
      <c r="F15" s="70"/>
      <c r="G15" s="69"/>
      <c r="H15" s="69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/>
    </row>
    <row r="16" ht="12.75" customHeight="1">
      <c r="A16" s="71"/>
      <c r="B16" s="63"/>
      <c r="C16" s="63"/>
      <c r="D16" s="63"/>
      <c r="E16" s="61"/>
      <c r="F16" s="192"/>
      <c r="G16" s="63"/>
      <c r="H16" s="63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</row>
    <row r="17" ht="12.75" customHeight="1">
      <c r="A17" t="s" s="72">
        <v>32</v>
      </c>
      <c r="B17" t="s" s="72">
        <v>33</v>
      </c>
      <c r="C17" t="s" s="72">
        <v>34</v>
      </c>
      <c r="D17" t="s" s="72">
        <v>35</v>
      </c>
      <c r="E17" t="s" s="72">
        <v>36</v>
      </c>
      <c r="F17" t="s" s="72">
        <v>37</v>
      </c>
      <c r="G17" t="s" s="72">
        <v>38</v>
      </c>
      <c r="H17" t="s" s="72">
        <v>39</v>
      </c>
      <c r="I17" s="187"/>
      <c r="J17" s="76"/>
      <c r="K17" s="76"/>
      <c r="L17" s="76"/>
      <c r="M17" s="188"/>
      <c r="N17" s="188"/>
      <c r="O17" s="188"/>
      <c r="P17" s="188"/>
      <c r="Q17" s="188"/>
      <c r="R17" s="188"/>
      <c r="S17" s="189"/>
    </row>
    <row r="18" ht="14" customHeight="1">
      <c r="A18" t="s" s="77">
        <v>42</v>
      </c>
      <c r="B18" t="s" s="78">
        <v>120</v>
      </c>
      <c r="C18" s="79"/>
      <c r="D18" t="s" s="80">
        <v>44</v>
      </c>
      <c r="E18" s="81"/>
      <c r="F18" t="s" s="82">
        <v>45</v>
      </c>
      <c r="G18" s="66"/>
      <c r="H18" s="66"/>
      <c r="I18" s="188"/>
      <c r="J18" s="188"/>
      <c r="K18" s="178"/>
      <c r="L18" s="178"/>
      <c r="M18" s="188"/>
      <c r="N18" s="188"/>
      <c r="O18" s="188"/>
      <c r="P18" s="188"/>
      <c r="Q18" s="188"/>
      <c r="R18" s="188"/>
      <c r="S18" s="189"/>
    </row>
    <row r="19" ht="13" customHeight="1">
      <c r="A19" s="83"/>
      <c r="B19" s="84"/>
      <c r="C19" s="39"/>
      <c r="D19" t="s" s="85">
        <v>46</v>
      </c>
      <c r="E19" s="86"/>
      <c r="F19" s="87">
        <v>1</v>
      </c>
      <c r="G19" s="88">
        <f>G61</f>
        <v>838929443.808717</v>
      </c>
      <c r="H19" s="39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9"/>
    </row>
    <row r="20" ht="13" customHeight="1">
      <c r="A20" t="s" s="89">
        <v>121</v>
      </c>
      <c r="B20" s="90"/>
      <c r="C20" s="90"/>
      <c r="D20" s="90"/>
      <c r="E20" s="90"/>
      <c r="F20" s="90"/>
      <c r="G20" s="90"/>
      <c r="H20" s="90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9"/>
    </row>
    <row r="21" ht="13" customHeight="1">
      <c r="A21" t="s" s="43">
        <v>119</v>
      </c>
      <c r="B21" s="44"/>
      <c r="C21" s="44"/>
      <c r="D21" s="44"/>
      <c r="E21" s="45"/>
      <c r="F21" s="93"/>
      <c r="G21" s="39"/>
      <c r="H21" s="39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9"/>
    </row>
    <row r="22" ht="13" customHeight="1">
      <c r="A22" s="94">
        <v>1</v>
      </c>
      <c r="B22" t="s" s="95">
        <v>49</v>
      </c>
      <c r="C22" t="s" s="96">
        <v>50</v>
      </c>
      <c r="D22" s="97">
        <v>25200</v>
      </c>
      <c r="E22" t="s" s="96">
        <v>51</v>
      </c>
      <c r="F22" s="98">
        <v>7500</v>
      </c>
      <c r="G22" s="98">
        <f>D22*F22</f>
        <v>189000000</v>
      </c>
      <c r="H22" s="99">
        <f>G22/$G$60</f>
        <v>0.225287122051582</v>
      </c>
      <c r="I22" s="107">
        <v>11787.58</v>
      </c>
      <c r="J22" s="103">
        <f>D22/I22</f>
        <v>2.13784339109469</v>
      </c>
      <c r="K22" s="108"/>
      <c r="L22" s="109"/>
      <c r="M22" s="188"/>
      <c r="N22" s="188"/>
      <c r="O22" s="188"/>
      <c r="P22" s="188"/>
      <c r="Q22" s="188"/>
      <c r="R22" s="188"/>
      <c r="S22" s="189"/>
    </row>
    <row r="23" ht="36" customHeight="1">
      <c r="A23" s="94">
        <f>A22+1</f>
        <v>2</v>
      </c>
      <c r="B23" t="s" s="95">
        <v>55</v>
      </c>
      <c r="C23" t="s" s="96">
        <v>50</v>
      </c>
      <c r="D23" s="97">
        <f>135.57*2*40</f>
        <v>10845.6</v>
      </c>
      <c r="E23" t="s" s="96">
        <v>51</v>
      </c>
      <c r="F23" s="98">
        <v>16644.47616</v>
      </c>
      <c r="G23" s="98">
        <f>D23*F23</f>
        <v>180519330.640896</v>
      </c>
      <c r="H23" s="99">
        <f>G23/$G$60</f>
        <v>0.215178203570187</v>
      </c>
      <c r="I23" s="107"/>
      <c r="J23" s="97">
        <v>1150.52</v>
      </c>
      <c r="K23" s="108"/>
      <c r="L23" s="109"/>
      <c r="M23" s="188"/>
      <c r="N23" s="188"/>
      <c r="O23" s="188"/>
      <c r="P23" s="188"/>
      <c r="Q23" s="188"/>
      <c r="R23" s="188"/>
      <c r="S23" s="189"/>
    </row>
    <row r="24" ht="24" customHeight="1">
      <c r="A24" s="94">
        <f>A23+1</f>
        <v>3</v>
      </c>
      <c r="B24" t="s" s="95">
        <v>57</v>
      </c>
      <c r="C24" t="s" s="96">
        <v>50</v>
      </c>
      <c r="D24" s="97">
        <v>94.83</v>
      </c>
      <c r="E24" t="s" s="96">
        <v>51</v>
      </c>
      <c r="F24" s="98">
        <v>16644.47616</v>
      </c>
      <c r="G24" s="98">
        <f>D24*F24</f>
        <v>1578395.6742528</v>
      </c>
      <c r="H24" s="99">
        <f>G24/$G$60</f>
        <v>0.00188144031169883</v>
      </c>
      <c r="I24" s="107"/>
      <c r="J24" s="103">
        <f>J22*J23</f>
        <v>2459.631578322260</v>
      </c>
      <c r="K24" s="108"/>
      <c r="L24" s="109"/>
      <c r="M24" s="188"/>
      <c r="N24" s="188"/>
      <c r="O24" s="188"/>
      <c r="P24" s="188"/>
      <c r="Q24" s="188"/>
      <c r="R24" s="188"/>
      <c r="S24" s="189"/>
    </row>
    <row r="25" ht="24" customHeight="1">
      <c r="A25" s="94">
        <f>A24+1</f>
        <v>4</v>
      </c>
      <c r="B25" t="s" s="95">
        <v>59</v>
      </c>
      <c r="C25" t="s" s="96">
        <v>50</v>
      </c>
      <c r="D25" s="97">
        <f>3401.97+503.17</f>
        <v>3905.14</v>
      </c>
      <c r="E25" t="s" s="96">
        <v>51</v>
      </c>
      <c r="F25" s="98">
        <v>1016.21988</v>
      </c>
      <c r="G25" s="98">
        <f>D25*F25</f>
        <v>3968480.9021832</v>
      </c>
      <c r="H25" s="99">
        <f>G25/$G$60</f>
        <v>0.00473041080089692</v>
      </c>
      <c r="I25" s="107"/>
      <c r="J25" s="103"/>
      <c r="K25" s="108"/>
      <c r="L25" s="109"/>
      <c r="M25" s="188"/>
      <c r="N25" s="188"/>
      <c r="O25" s="188"/>
      <c r="P25" s="188"/>
      <c r="Q25" s="188"/>
      <c r="R25" s="188"/>
      <c r="S25" s="189"/>
    </row>
    <row r="26" ht="13" customHeight="1">
      <c r="A26" s="94">
        <f>A25+1</f>
        <v>5</v>
      </c>
      <c r="B26" t="s" s="95">
        <v>61</v>
      </c>
      <c r="C26" t="s" s="96">
        <v>50</v>
      </c>
      <c r="D26" s="97">
        <v>50845.14</v>
      </c>
      <c r="E26" t="s" s="96">
        <v>51</v>
      </c>
      <c r="F26" s="98">
        <v>1016.21988</v>
      </c>
      <c r="G26" s="98">
        <f>D26*F26</f>
        <v>51669842.0693832</v>
      </c>
      <c r="H26" s="99">
        <f>G26/$G$60</f>
        <v>0.0615902117284184</v>
      </c>
      <c r="I26" s="107"/>
      <c r="J26" s="103"/>
      <c r="K26" s="108"/>
      <c r="L26" s="109"/>
      <c r="M26" s="188"/>
      <c r="N26" s="188"/>
      <c r="O26" s="188"/>
      <c r="P26" s="188"/>
      <c r="Q26" s="188"/>
      <c r="R26" s="188"/>
      <c r="S26" s="189"/>
    </row>
    <row r="27" ht="15" customHeight="1">
      <c r="A27" s="94">
        <f>A26+1</f>
        <v>6</v>
      </c>
      <c r="B27" t="s" s="95">
        <v>63</v>
      </c>
      <c r="C27" t="s" s="96">
        <v>50</v>
      </c>
      <c r="D27" s="97">
        <v>2137.54</v>
      </c>
      <c r="E27" t="s" s="96">
        <v>51</v>
      </c>
      <c r="F27" s="98">
        <v>954.954</v>
      </c>
      <c r="G27" s="98">
        <f>D27*F27</f>
        <v>2041252.37316</v>
      </c>
      <c r="H27" s="99">
        <f>G27/$G$60</f>
        <v>0.00243316334672052</v>
      </c>
      <c r="I27" s="107"/>
      <c r="J27" s="103"/>
      <c r="K27" s="108"/>
      <c r="L27" s="109"/>
      <c r="M27" s="188"/>
      <c r="N27" s="188"/>
      <c r="O27" s="188"/>
      <c r="P27" s="188"/>
      <c r="Q27" s="188"/>
      <c r="R27" s="188"/>
      <c r="S27" s="189"/>
    </row>
    <row r="28" ht="13" customHeight="1">
      <c r="A28" s="94">
        <f>A27+1</f>
        <v>7</v>
      </c>
      <c r="B28" t="s" s="95">
        <v>64</v>
      </c>
      <c r="C28" t="s" s="96">
        <v>50</v>
      </c>
      <c r="D28" s="97">
        <v>2030</v>
      </c>
      <c r="E28" t="s" s="96">
        <v>51</v>
      </c>
      <c r="F28" s="98">
        <v>289.53</v>
      </c>
      <c r="G28" s="98">
        <f>D28*F28</f>
        <v>587745.9</v>
      </c>
      <c r="H28" s="99">
        <f>G28/$G$60</f>
        <v>0.000700590382585274</v>
      </c>
      <c r="I28" s="107"/>
      <c r="J28" s="193"/>
      <c r="K28" s="140"/>
      <c r="L28" s="140"/>
      <c r="M28" s="194"/>
      <c r="N28" s="188"/>
      <c r="O28" s="188"/>
      <c r="P28" s="188"/>
      <c r="Q28" s="188"/>
      <c r="R28" s="188"/>
      <c r="S28" s="189"/>
    </row>
    <row r="29" ht="13" customHeight="1">
      <c r="A29" s="94">
        <f>A28+1</f>
        <v>8</v>
      </c>
      <c r="B29" t="s" s="95">
        <v>65</v>
      </c>
      <c r="C29" t="s" s="96">
        <v>50</v>
      </c>
      <c r="D29" s="97">
        <v>2666.49</v>
      </c>
      <c r="E29" t="s" s="96">
        <v>51</v>
      </c>
      <c r="F29" s="98">
        <v>878.446062</v>
      </c>
      <c r="G29" s="98">
        <f>D29*F29</f>
        <v>2342367.63986238</v>
      </c>
      <c r="H29" s="99">
        <f>G29/$G$60</f>
        <v>0.00279209134588017</v>
      </c>
      <c r="I29" s="107"/>
      <c r="J29" s="219">
        <v>219.3</v>
      </c>
      <c r="K29" s="138"/>
      <c r="L29" s="109"/>
      <c r="M29" s="194"/>
      <c r="N29" s="188"/>
      <c r="O29" s="188"/>
      <c r="P29" s="188"/>
      <c r="Q29" s="188"/>
      <c r="R29" s="188"/>
      <c r="S29" s="189"/>
    </row>
    <row r="30" ht="13" customHeight="1">
      <c r="A30" s="94">
        <f>A29+1</f>
        <v>9</v>
      </c>
      <c r="B30" t="s" s="95">
        <v>66</v>
      </c>
      <c r="C30" t="s" s="96">
        <v>50</v>
      </c>
      <c r="D30" s="97">
        <v>88491</v>
      </c>
      <c r="E30" t="s" s="96">
        <v>51</v>
      </c>
      <c r="F30" s="98">
        <v>42.1668</v>
      </c>
      <c r="G30" s="98">
        <f>D30*F30</f>
        <v>3731382.2988</v>
      </c>
      <c r="H30" s="99">
        <f>G30/$G$60</f>
        <v>0.00444779036704163</v>
      </c>
      <c r="I30" s="107"/>
      <c r="J30" s="219">
        <v>82.44</v>
      </c>
      <c r="K30" s="138"/>
      <c r="L30" s="109">
        <v>4.9</v>
      </c>
      <c r="M30" s="194">
        <v>7.86</v>
      </c>
      <c r="N30" s="188"/>
      <c r="O30" s="188"/>
      <c r="P30" s="188"/>
      <c r="Q30" s="188"/>
      <c r="R30" s="188"/>
      <c r="S30" s="189"/>
    </row>
    <row r="31" ht="13" customHeight="1">
      <c r="A31" s="94">
        <f>A30+1</f>
        <v>10</v>
      </c>
      <c r="B31" t="s" s="95">
        <v>67</v>
      </c>
      <c r="C31" t="s" s="96">
        <v>50</v>
      </c>
      <c r="D31" s="97">
        <v>88491</v>
      </c>
      <c r="E31" t="s" s="96">
        <v>51</v>
      </c>
      <c r="F31" s="98">
        <v>187.059366</v>
      </c>
      <c r="G31" s="98">
        <f>D31*F31</f>
        <v>16553070.356706</v>
      </c>
      <c r="H31" s="99">
        <f>G31/$G$60</f>
        <v>0.0197311829723791</v>
      </c>
      <c r="I31" s="107"/>
      <c r="J31" s="219">
        <v>20.609</v>
      </c>
      <c r="K31" s="138"/>
      <c r="L31" s="109">
        <v>1225</v>
      </c>
      <c r="M31" s="194">
        <f>(L31*M30)/L30</f>
        <v>1965</v>
      </c>
      <c r="N31" s="188"/>
      <c r="O31" s="188"/>
      <c r="P31" s="188"/>
      <c r="Q31" s="188"/>
      <c r="R31" s="188"/>
      <c r="S31" s="189"/>
    </row>
    <row r="32" ht="13" customHeight="1">
      <c r="A32" s="94">
        <f>A31+1</f>
        <v>11</v>
      </c>
      <c r="B32" t="s" s="95">
        <v>68</v>
      </c>
      <c r="C32" t="s" s="96">
        <v>69</v>
      </c>
      <c r="D32" s="97">
        <v>2</v>
      </c>
      <c r="E32" t="s" s="96">
        <v>51</v>
      </c>
      <c r="F32" s="98">
        <v>1190000</v>
      </c>
      <c r="G32" s="98">
        <f>D32*F32</f>
        <v>2380000</v>
      </c>
      <c r="H32" s="99">
        <f>G32/$G$60</f>
        <v>0.00283694894435325</v>
      </c>
      <c r="I32" s="107"/>
      <c r="J32" s="219">
        <v>53.549</v>
      </c>
      <c r="K32" s="138"/>
      <c r="L32" s="109"/>
      <c r="M32" s="194"/>
      <c r="N32" s="188"/>
      <c r="O32" s="188"/>
      <c r="P32" s="188"/>
      <c r="Q32" s="188"/>
      <c r="R32" s="188"/>
      <c r="S32" s="189"/>
    </row>
    <row r="33" ht="13" customHeight="1">
      <c r="A33" s="94">
        <f>A32+1</f>
        <v>12</v>
      </c>
      <c r="B33" t="s" s="95">
        <v>70</v>
      </c>
      <c r="C33" t="s" s="96">
        <v>69</v>
      </c>
      <c r="D33" s="97">
        <v>2</v>
      </c>
      <c r="E33" t="s" s="96">
        <v>51</v>
      </c>
      <c r="F33" s="98">
        <v>348780</v>
      </c>
      <c r="G33" s="98">
        <f>D33*F33</f>
        <v>697560</v>
      </c>
      <c r="H33" s="99">
        <f>G33/$G$60</f>
        <v>0.000831488279673552</v>
      </c>
      <c r="I33" s="107"/>
      <c r="J33" s="219">
        <v>25.488</v>
      </c>
      <c r="K33" s="109"/>
      <c r="L33" s="109"/>
      <c r="M33" s="195"/>
      <c r="N33" s="188"/>
      <c r="O33" s="188"/>
      <c r="P33" s="188"/>
      <c r="Q33" s="188"/>
      <c r="R33" s="188"/>
      <c r="S33" s="189"/>
    </row>
    <row r="34" ht="24" customHeight="1">
      <c r="A34" s="94">
        <f>A33+1</f>
        <v>13</v>
      </c>
      <c r="B34" t="s" s="95">
        <v>71</v>
      </c>
      <c r="C34" t="s" s="96">
        <v>72</v>
      </c>
      <c r="D34" s="97">
        <v>721.84</v>
      </c>
      <c r="E34" t="s" s="96">
        <v>51</v>
      </c>
      <c r="F34" s="98">
        <v>853.49</v>
      </c>
      <c r="G34" s="98">
        <f>D34*F34</f>
        <v>616083.2216</v>
      </c>
      <c r="H34" s="99">
        <f>G34/$G$60</f>
        <v>0.000734368338299105</v>
      </c>
      <c r="I34" s="107"/>
      <c r="J34" s="219">
        <v>17.768</v>
      </c>
      <c r="K34" s="109"/>
      <c r="L34" s="109"/>
      <c r="M34" s="195"/>
      <c r="N34" s="188"/>
      <c r="O34" s="188"/>
      <c r="P34" s="188"/>
      <c r="Q34" s="188"/>
      <c r="R34" s="188"/>
      <c r="S34" s="189"/>
    </row>
    <row r="35" ht="24" customHeight="1">
      <c r="A35" s="94">
        <f>A34+1</f>
        <v>14</v>
      </c>
      <c r="B35" t="s" s="95">
        <v>73</v>
      </c>
      <c r="C35" t="s" s="96">
        <v>50</v>
      </c>
      <c r="D35" s="97">
        <v>100</v>
      </c>
      <c r="E35" t="s" s="96">
        <v>51</v>
      </c>
      <c r="F35" s="98">
        <v>8322.238079999999</v>
      </c>
      <c r="G35" s="98">
        <f>D35*F35</f>
        <v>832223.808</v>
      </c>
      <c r="H35" s="99">
        <f>G35/$G$60</f>
        <v>0.0009920069132652279</v>
      </c>
      <c r="I35" s="107"/>
      <c r="J35" s="219">
        <v>58.091</v>
      </c>
      <c r="K35" s="108"/>
      <c r="L35" s="109"/>
      <c r="M35" s="194"/>
      <c r="N35" s="188"/>
      <c r="O35" s="188"/>
      <c r="P35" s="188"/>
      <c r="Q35" s="188"/>
      <c r="R35" s="188"/>
      <c r="S35" s="189"/>
    </row>
    <row r="36" ht="24" customHeight="1">
      <c r="A36" s="94">
        <f>A35+1</f>
        <v>15</v>
      </c>
      <c r="B36" t="s" s="95">
        <v>74</v>
      </c>
      <c r="C36" t="s" s="96">
        <v>72</v>
      </c>
      <c r="D36" s="97">
        <v>542.1799999999999</v>
      </c>
      <c r="E36" t="s" s="96">
        <v>51</v>
      </c>
      <c r="F36" s="98">
        <v>18540.43</v>
      </c>
      <c r="G36" s="98">
        <f>D36*F36</f>
        <v>10052250.3374</v>
      </c>
      <c r="H36" s="99">
        <f>G36/$G$60</f>
        <v>0.0119822357071687</v>
      </c>
      <c r="I36" s="107"/>
      <c r="J36" s="219">
        <v>5.288</v>
      </c>
      <c r="K36" s="108"/>
      <c r="L36" s="109"/>
      <c r="M36" s="194"/>
      <c r="N36" s="188"/>
      <c r="O36" s="188"/>
      <c r="P36" s="188"/>
      <c r="Q36" s="188"/>
      <c r="R36" s="188"/>
      <c r="S36" s="189"/>
    </row>
    <row r="37" ht="24" customHeight="1">
      <c r="A37" s="94">
        <f>A36+1</f>
        <v>16</v>
      </c>
      <c r="B37" t="s" s="95">
        <v>75</v>
      </c>
      <c r="C37" t="s" s="96">
        <v>76</v>
      </c>
      <c r="D37" s="97">
        <v>1965</v>
      </c>
      <c r="E37" t="s" s="96">
        <v>51</v>
      </c>
      <c r="F37" s="98">
        <v>18765.32</v>
      </c>
      <c r="G37" s="98">
        <f>D37*F37</f>
        <v>36873853.8</v>
      </c>
      <c r="H37" s="99">
        <f>G37/$G$60</f>
        <v>0.0439534624420782</v>
      </c>
      <c r="I37" s="107"/>
      <c r="J37" s="103">
        <v>131.61</v>
      </c>
      <c r="K37" s="108"/>
      <c r="L37" s="109"/>
      <c r="M37" s="188"/>
      <c r="N37" s="188"/>
      <c r="O37" s="188"/>
      <c r="P37" s="188"/>
      <c r="Q37" s="188"/>
      <c r="R37" s="188"/>
      <c r="S37" s="189"/>
    </row>
    <row r="38" ht="24" customHeight="1">
      <c r="A38" s="94">
        <f>A37+1</f>
        <v>17</v>
      </c>
      <c r="B38" t="s" s="95">
        <v>77</v>
      </c>
      <c r="C38" t="s" s="96">
        <v>50</v>
      </c>
      <c r="D38" s="97">
        <v>25200</v>
      </c>
      <c r="E38" t="s" s="96">
        <v>51</v>
      </c>
      <c r="F38" s="98">
        <v>2301.55</v>
      </c>
      <c r="G38" s="98">
        <f>D38*F38</f>
        <v>57999060</v>
      </c>
      <c r="H38" s="99">
        <f>G38/$G$60</f>
        <v>0.0691346101010424</v>
      </c>
      <c r="I38" s="107"/>
      <c r="J38" s="103"/>
      <c r="K38" s="108"/>
      <c r="L38" s="109"/>
      <c r="M38" s="188"/>
      <c r="N38" s="188"/>
      <c r="O38" s="188"/>
      <c r="P38" s="188"/>
      <c r="Q38" s="188"/>
      <c r="R38" s="188"/>
      <c r="S38" s="189"/>
    </row>
    <row r="39" ht="13" customHeight="1">
      <c r="A39" s="94">
        <f>A38+1</f>
        <v>18</v>
      </c>
      <c r="B39" t="s" s="95">
        <v>78</v>
      </c>
      <c r="C39" t="s" s="96">
        <v>50</v>
      </c>
      <c r="D39" s="97">
        <v>25200</v>
      </c>
      <c r="E39" t="s" s="96">
        <v>51</v>
      </c>
      <c r="F39" s="98">
        <v>1927.24</v>
      </c>
      <c r="G39" s="98">
        <f>D39*F39</f>
        <v>48566448</v>
      </c>
      <c r="H39" s="99">
        <f>G39/$G$60</f>
        <v>0.057890980413692</v>
      </c>
      <c r="I39" s="107"/>
      <c r="J39" s="103"/>
      <c r="K39" s="108"/>
      <c r="L39" s="109"/>
      <c r="M39" s="194"/>
      <c r="N39" s="188"/>
      <c r="O39" s="188"/>
      <c r="P39" s="188"/>
      <c r="Q39" s="188"/>
      <c r="R39" s="188"/>
      <c r="S39" s="189"/>
    </row>
    <row r="40" ht="24" customHeight="1">
      <c r="A40" s="94">
        <f>A39+1</f>
        <v>19</v>
      </c>
      <c r="B40" t="s" s="95">
        <v>79</v>
      </c>
      <c r="C40" t="s" s="96">
        <v>50</v>
      </c>
      <c r="D40" s="97">
        <f>D23+D24+D35</f>
        <v>11040.43</v>
      </c>
      <c r="E40" t="s" s="96">
        <v>51</v>
      </c>
      <c r="F40" s="98">
        <v>1081.163256546</v>
      </c>
      <c r="G40" s="98">
        <f>D40*F40</f>
        <v>11936507.2524682</v>
      </c>
      <c r="H40" s="99">
        <f>G40/$G$60</f>
        <v>0.0142282611971238</v>
      </c>
      <c r="I40" s="99"/>
      <c r="J40" s="188"/>
      <c r="K40" t="s" s="127">
        <v>96</v>
      </c>
      <c r="L40" t="s" s="128">
        <v>97</v>
      </c>
      <c r="M40" s="99"/>
      <c r="N40" s="99"/>
      <c r="O40" s="99"/>
      <c r="P40" s="99"/>
      <c r="Q40" s="188"/>
      <c r="R40" s="188"/>
      <c r="S40" s="189"/>
    </row>
    <row r="41" ht="13" customHeight="1">
      <c r="A41" s="94">
        <f>A40+1</f>
        <v>20</v>
      </c>
      <c r="B41" t="s" s="102">
        <v>80</v>
      </c>
      <c r="C41" t="s" s="96">
        <v>50</v>
      </c>
      <c r="D41" s="97">
        <f>D40</f>
        <v>11040.43</v>
      </c>
      <c r="E41" t="s" s="96">
        <v>51</v>
      </c>
      <c r="F41" s="103">
        <v>1729.8612104736</v>
      </c>
      <c r="G41" s="103">
        <f>D41*F41</f>
        <v>19098411.603949</v>
      </c>
      <c r="H41" s="99">
        <f>G41/$G$60</f>
        <v>0.0227652179153979</v>
      </c>
      <c r="I41" s="99"/>
      <c r="J41" t="s" s="127">
        <v>98</v>
      </c>
      <c r="K41" s="130">
        <v>24146</v>
      </c>
      <c r="L41" s="130">
        <v>289754</v>
      </c>
      <c r="M41" s="99"/>
      <c r="N41" s="97">
        <v>11787.58</v>
      </c>
      <c r="O41" s="97">
        <f>K41/N41</f>
        <v>2.04842724291161</v>
      </c>
      <c r="P41" s="97">
        <f>L41/N41</f>
        <v>24.5812965850497</v>
      </c>
      <c r="Q41" s="196">
        <v>25200</v>
      </c>
      <c r="R41" s="197">
        <f>O41*Q41</f>
        <v>51620.3665213726</v>
      </c>
      <c r="S41" s="198">
        <f>Q41*P41</f>
        <v>619448.673943252</v>
      </c>
    </row>
    <row r="42" ht="13" customHeight="1">
      <c r="A42" s="94">
        <f>A41+1</f>
        <v>21</v>
      </c>
      <c r="B42" t="s" s="95">
        <v>81</v>
      </c>
      <c r="C42" t="s" s="96">
        <v>50</v>
      </c>
      <c r="D42" s="97">
        <f>D41</f>
        <v>11040.43</v>
      </c>
      <c r="E42" t="s" s="96">
        <v>51</v>
      </c>
      <c r="F42" s="98">
        <v>1265.3</v>
      </c>
      <c r="G42" s="103">
        <f>D42*F42</f>
        <v>13969456.079</v>
      </c>
      <c r="H42" s="99">
        <f>G42/$G$60</f>
        <v>0.0166515267548354</v>
      </c>
      <c r="I42" t="s" s="127">
        <v>99</v>
      </c>
      <c r="J42" s="133"/>
      <c r="K42" s="130">
        <v>5723</v>
      </c>
      <c r="L42" s="130">
        <v>68678</v>
      </c>
      <c r="M42" s="99"/>
      <c r="N42" s="97">
        <v>1896</v>
      </c>
      <c r="O42" s="97">
        <f>K42/N42</f>
        <v>3.01845991561181</v>
      </c>
      <c r="P42" s="97">
        <f>L42/N42</f>
        <v>36.2225738396624</v>
      </c>
      <c r="Q42" s="188"/>
      <c r="R42" s="188"/>
      <c r="S42" s="189"/>
    </row>
    <row r="43" ht="14" customHeight="1">
      <c r="A43" s="94">
        <f>A42+1</f>
        <v>22</v>
      </c>
      <c r="B43" t="s" s="95">
        <v>82</v>
      </c>
      <c r="C43" t="s" s="96">
        <v>50</v>
      </c>
      <c r="D43" s="97">
        <f>D42</f>
        <v>11040.43</v>
      </c>
      <c r="E43" t="s" s="96">
        <v>51</v>
      </c>
      <c r="F43" s="98">
        <v>1470.95</v>
      </c>
      <c r="G43" s="104">
        <f>D43*F43</f>
        <v>16239920.5085</v>
      </c>
      <c r="H43" s="99">
        <f>G43/$G$60</f>
        <v>0.0193579098079705</v>
      </c>
      <c r="I43" s="107"/>
      <c r="J43" s="103"/>
      <c r="K43" s="108"/>
      <c r="L43" s="109"/>
      <c r="M43" s="194"/>
      <c r="N43" s="188"/>
      <c r="O43" s="188"/>
      <c r="P43" s="188"/>
      <c r="Q43" s="188"/>
      <c r="R43" s="188"/>
      <c r="S43" s="189"/>
    </row>
    <row r="44" ht="14" customHeight="1">
      <c r="A44" s="199"/>
      <c r="B44" s="90"/>
      <c r="C44" s="106"/>
      <c r="D44" s="107"/>
      <c r="E44" s="108"/>
      <c r="F44" s="109"/>
      <c r="G44" s="110">
        <f>SUM(G22:G43)</f>
        <v>671253642.466161</v>
      </c>
      <c r="H44" s="99">
        <f>G44/$G$60</f>
        <v>0.80013122369229</v>
      </c>
      <c r="I44" s="107"/>
      <c r="J44" s="200"/>
      <c r="K44" s="188"/>
      <c r="L44" s="109"/>
      <c r="M44" s="201"/>
      <c r="N44" s="188"/>
      <c r="O44" s="188"/>
      <c r="P44" s="188"/>
      <c r="Q44" s="188"/>
      <c r="R44" s="188"/>
      <c r="S44" s="189"/>
    </row>
    <row r="45" ht="13" customHeight="1">
      <c r="A45" s="199"/>
      <c r="B45" s="90"/>
      <c r="C45" s="106"/>
      <c r="D45" s="107"/>
      <c r="E45" s="108"/>
      <c r="F45" s="109"/>
      <c r="G45" s="88"/>
      <c r="H45" s="112"/>
      <c r="I45" s="107"/>
      <c r="J45" s="200"/>
      <c r="K45" s="200"/>
      <c r="L45" s="109"/>
      <c r="M45" s="202"/>
      <c r="N45" s="188"/>
      <c r="O45" s="188"/>
      <c r="P45" s="188"/>
      <c r="Q45" s="188"/>
      <c r="R45" s="188"/>
      <c r="S45" s="189"/>
    </row>
    <row r="46" ht="24" customHeight="1">
      <c r="A46" s="94">
        <f>A43+1</f>
        <v>23</v>
      </c>
      <c r="B46" t="s" s="102">
        <v>83</v>
      </c>
      <c r="C46" t="s" s="113">
        <v>69</v>
      </c>
      <c r="D46" s="114">
        <v>0.05</v>
      </c>
      <c r="E46" t="s" s="113">
        <v>51</v>
      </c>
      <c r="F46" s="103">
        <f>G44</f>
        <v>671253642.466161</v>
      </c>
      <c r="G46" s="103">
        <f>D46*F46</f>
        <v>33562682.1233081</v>
      </c>
      <c r="H46" s="99">
        <f>G46/$G$60</f>
        <v>0.0400065611846146</v>
      </c>
      <c r="I46" s="109"/>
      <c r="J46" s="103"/>
      <c r="K46" s="108"/>
      <c r="L46" s="109"/>
      <c r="M46" s="202"/>
      <c r="N46" s="188"/>
      <c r="O46" s="188"/>
      <c r="P46" s="188"/>
      <c r="Q46" s="188"/>
      <c r="R46" s="188"/>
      <c r="S46" s="189"/>
    </row>
    <row r="47" ht="24" customHeight="1">
      <c r="A47" s="220">
        <f>A46+1</f>
        <v>24</v>
      </c>
      <c r="B47" t="s" s="117">
        <v>84</v>
      </c>
      <c r="C47" t="s" s="118">
        <v>69</v>
      </c>
      <c r="D47" s="119">
        <v>0.05</v>
      </c>
      <c r="E47" t="s" s="118">
        <v>51</v>
      </c>
      <c r="F47" s="120">
        <f>G44</f>
        <v>671253642.466161</v>
      </c>
      <c r="G47" s="120">
        <f>D47*F47</f>
        <v>33562682.1233081</v>
      </c>
      <c r="H47" s="121">
        <f>G47/$G$60</f>
        <v>0.0400065611846146</v>
      </c>
      <c r="I47" s="109"/>
      <c r="J47" s="103"/>
      <c r="K47" s="108"/>
      <c r="L47" s="109"/>
      <c r="M47" s="188"/>
      <c r="N47" s="188"/>
      <c r="O47" s="188"/>
      <c r="P47" s="188"/>
      <c r="Q47" s="188"/>
      <c r="R47" s="188"/>
      <c r="S47" s="189"/>
    </row>
    <row r="48" ht="24" customHeight="1">
      <c r="A48" s="220">
        <f>A47+1</f>
        <v>25</v>
      </c>
      <c r="B48" t="s" s="117">
        <v>85</v>
      </c>
      <c r="C48" t="s" s="118">
        <v>69</v>
      </c>
      <c r="D48" s="119">
        <v>0.07000000000000001</v>
      </c>
      <c r="E48" t="s" s="118">
        <v>51</v>
      </c>
      <c r="F48" s="120">
        <f>G44</f>
        <v>671253642.466161</v>
      </c>
      <c r="G48" s="120">
        <f>D48*F48</f>
        <v>46987754.9726313</v>
      </c>
      <c r="H48" s="121">
        <f>G48/$G$60</f>
        <v>0.0560091856584603</v>
      </c>
      <c r="I48" s="109"/>
      <c r="J48" s="103"/>
      <c r="K48" s="108"/>
      <c r="L48" s="109"/>
      <c r="M48" s="188"/>
      <c r="N48" s="188"/>
      <c r="O48" s="188"/>
      <c r="P48" s="188"/>
      <c r="Q48" s="188"/>
      <c r="R48" s="188"/>
      <c r="S48" s="189"/>
    </row>
    <row r="49" ht="24" customHeight="1">
      <c r="A49" s="94">
        <f>A48+1</f>
        <v>26</v>
      </c>
      <c r="B49" t="s" s="102">
        <v>86</v>
      </c>
      <c r="C49" t="s" s="113">
        <v>69</v>
      </c>
      <c r="D49" s="114">
        <v>0.05</v>
      </c>
      <c r="E49" t="s" s="113">
        <v>51</v>
      </c>
      <c r="F49" s="103">
        <f>G44</f>
        <v>671253642.466161</v>
      </c>
      <c r="G49" s="103">
        <f>D49*F49</f>
        <v>33562682.1233081</v>
      </c>
      <c r="H49" s="99">
        <f>G49/$G$60</f>
        <v>0.0400065611846146</v>
      </c>
      <c r="I49" s="109"/>
      <c r="J49" s="103"/>
      <c r="K49" s="203"/>
      <c r="L49" s="109"/>
      <c r="M49" s="188"/>
      <c r="N49" s="188"/>
      <c r="O49" s="188"/>
      <c r="P49" s="188"/>
      <c r="Q49" s="188"/>
      <c r="R49" s="188"/>
      <c r="S49" s="189"/>
    </row>
    <row r="50" ht="14" customHeight="1">
      <c r="A50" s="101"/>
      <c r="B50" s="90"/>
      <c r="C50" s="106"/>
      <c r="D50" s="114"/>
      <c r="E50" s="108"/>
      <c r="F50" s="103"/>
      <c r="G50" s="122"/>
      <c r="H50" s="99"/>
      <c r="I50" s="109"/>
      <c r="J50" s="204"/>
      <c r="K50" s="108"/>
      <c r="L50" s="109"/>
      <c r="M50" s="188"/>
      <c r="N50" s="188"/>
      <c r="O50" s="188"/>
      <c r="P50" s="188"/>
      <c r="Q50" s="188"/>
      <c r="R50" s="188"/>
      <c r="S50" s="189"/>
    </row>
    <row r="51" ht="23.25" customHeight="1">
      <c r="A51" s="124"/>
      <c r="B51" t="s" s="125">
        <v>115</v>
      </c>
      <c r="C51" s="126"/>
      <c r="D51" s="126"/>
      <c r="E51" s="126"/>
      <c r="F51" s="126"/>
      <c r="G51" s="110">
        <f>SUM(G44:G50)</f>
        <v>818929443.808717</v>
      </c>
      <c r="H51" s="99">
        <f>G51/$G$60</f>
        <v>0.976160092904595</v>
      </c>
      <c r="I51" s="107"/>
      <c r="J51" s="200"/>
      <c r="K51" s="188"/>
      <c r="L51" s="188"/>
      <c r="M51" s="188"/>
      <c r="N51" s="188"/>
      <c r="O51" s="188"/>
      <c r="P51" s="188"/>
      <c r="Q51" s="188"/>
      <c r="R51" s="188"/>
      <c r="S51" s="189"/>
    </row>
    <row r="52" ht="13" customHeight="1">
      <c r="A52" s="101"/>
      <c r="B52" s="90"/>
      <c r="C52" s="106"/>
      <c r="D52" s="135"/>
      <c r="E52" s="108"/>
      <c r="F52" s="109"/>
      <c r="G52" s="103"/>
      <c r="H52" s="112"/>
      <c r="I52" s="109"/>
      <c r="J52" s="103"/>
      <c r="K52" s="108"/>
      <c r="L52" s="109"/>
      <c r="M52" s="188"/>
      <c r="N52" s="188"/>
      <c r="O52" s="188"/>
      <c r="P52" s="188"/>
      <c r="Q52" s="188"/>
      <c r="R52" s="188"/>
      <c r="S52" s="189"/>
    </row>
    <row r="53" ht="13" customHeight="1">
      <c r="A53" t="s" s="91">
        <v>102</v>
      </c>
      <c r="B53" s="84"/>
      <c r="C53" s="106"/>
      <c r="D53" s="135"/>
      <c r="E53" s="108"/>
      <c r="F53" s="109"/>
      <c r="G53" s="103"/>
      <c r="H53" s="112"/>
      <c r="I53" s="109"/>
      <c r="J53" s="103"/>
      <c r="K53" s="108"/>
      <c r="L53" s="109"/>
      <c r="M53" s="188"/>
      <c r="N53" s="188"/>
      <c r="O53" s="188"/>
      <c r="P53" s="188"/>
      <c r="Q53" s="188"/>
      <c r="R53" s="188"/>
      <c r="S53" s="189"/>
    </row>
    <row r="54" ht="25" customHeight="1">
      <c r="A54" s="94">
        <f>A49+1</f>
        <v>27</v>
      </c>
      <c r="B54" t="s" s="102">
        <v>103</v>
      </c>
      <c r="C54" t="s" s="113">
        <v>69</v>
      </c>
      <c r="D54" s="138">
        <v>1</v>
      </c>
      <c r="E54" t="s" s="113">
        <v>51</v>
      </c>
      <c r="F54" s="103">
        <v>20000000</v>
      </c>
      <c r="G54" s="122">
        <f>D54*F54</f>
        <v>20000000</v>
      </c>
      <c r="H54" s="99">
        <f>G54/$G$60</f>
        <v>0.0238399070954055</v>
      </c>
      <c r="I54" s="109"/>
      <c r="J54" s="103"/>
      <c r="K54" s="108"/>
      <c r="L54" s="109"/>
      <c r="M54" s="188"/>
      <c r="N54" s="188"/>
      <c r="O54" s="188"/>
      <c r="P54" s="188"/>
      <c r="Q54" s="188"/>
      <c r="R54" s="188"/>
      <c r="S54" s="189"/>
    </row>
    <row r="55" ht="14" customHeight="1">
      <c r="A55" s="101"/>
      <c r="B55" t="s" s="139">
        <v>104</v>
      </c>
      <c r="C55" s="106"/>
      <c r="D55" s="138"/>
      <c r="E55" s="108"/>
      <c r="F55" s="109"/>
      <c r="G55" s="110">
        <f>G54</f>
        <v>20000000</v>
      </c>
      <c r="H55" s="99">
        <f>G55/$G$60</f>
        <v>0.0238399070954055</v>
      </c>
      <c r="I55" s="109"/>
      <c r="J55" s="103"/>
      <c r="K55" s="108"/>
      <c r="L55" s="109"/>
      <c r="M55" s="188"/>
      <c r="N55" s="188"/>
      <c r="O55" s="188"/>
      <c r="P55" s="188"/>
      <c r="Q55" s="188"/>
      <c r="R55" s="188"/>
      <c r="S55" s="189"/>
    </row>
    <row r="56" ht="14" customHeight="1">
      <c r="A56" s="101"/>
      <c r="B56" s="90"/>
      <c r="C56" s="106"/>
      <c r="D56" s="138"/>
      <c r="E56" s="108"/>
      <c r="F56" s="109"/>
      <c r="G56" s="141"/>
      <c r="H56" s="112"/>
      <c r="I56" s="109"/>
      <c r="J56" s="103"/>
      <c r="K56" s="108"/>
      <c r="L56" s="109"/>
      <c r="M56" s="188"/>
      <c r="N56" s="188"/>
      <c r="O56" s="188"/>
      <c r="P56" s="188"/>
      <c r="Q56" s="188"/>
      <c r="R56" s="188"/>
      <c r="S56" s="189"/>
    </row>
    <row r="57" ht="15" customHeight="1">
      <c r="A57" s="101"/>
      <c r="B57" t="s" s="125">
        <v>115</v>
      </c>
      <c r="C57" s="126"/>
      <c r="D57" s="126"/>
      <c r="E57" s="126"/>
      <c r="F57" s="126"/>
      <c r="G57" s="142">
        <f>G51</f>
        <v>818929443.808717</v>
      </c>
      <c r="H57" s="99">
        <f>G57/$G$60</f>
        <v>0.976160092904595</v>
      </c>
      <c r="I57" s="107"/>
      <c r="J57" s="200"/>
      <c r="K57" s="188"/>
      <c r="L57" s="188"/>
      <c r="M57" s="188"/>
      <c r="N57" s="188"/>
      <c r="O57" s="188"/>
      <c r="P57" s="188"/>
      <c r="Q57" s="188"/>
      <c r="R57" s="188"/>
      <c r="S57" s="189"/>
    </row>
    <row r="58" ht="14" customHeight="1">
      <c r="A58" s="101"/>
      <c r="B58" s="126"/>
      <c r="C58" s="126"/>
      <c r="D58" s="126"/>
      <c r="E58" s="126"/>
      <c r="F58" s="126"/>
      <c r="G58" s="110"/>
      <c r="H58" s="99"/>
      <c r="I58" s="107"/>
      <c r="J58" s="205"/>
      <c r="K58" s="206"/>
      <c r="L58" s="188"/>
      <c r="M58" s="188"/>
      <c r="N58" s="188"/>
      <c r="O58" s="188"/>
      <c r="P58" s="188"/>
      <c r="Q58" s="188"/>
      <c r="R58" s="188"/>
      <c r="S58" s="189"/>
    </row>
    <row r="59" ht="13" customHeight="1">
      <c r="A59" s="101"/>
      <c r="B59" t="s" s="125">
        <v>104</v>
      </c>
      <c r="C59" s="126"/>
      <c r="D59" s="126"/>
      <c r="E59" s="126"/>
      <c r="F59" s="126"/>
      <c r="G59" s="141">
        <f>G55</f>
        <v>20000000</v>
      </c>
      <c r="H59" s="143">
        <f>G59/$G$60</f>
        <v>0.0238399070954055</v>
      </c>
      <c r="I59" s="107"/>
      <c r="J59" s="205"/>
      <c r="K59" s="206"/>
      <c r="L59" s="188"/>
      <c r="M59" s="188"/>
      <c r="N59" s="188"/>
      <c r="O59" s="188"/>
      <c r="P59" s="188"/>
      <c r="Q59" s="188"/>
      <c r="R59" s="188"/>
      <c r="S59" s="189"/>
    </row>
    <row r="60" ht="13" customHeight="1">
      <c r="A60" t="s" s="144">
        <v>105</v>
      </c>
      <c r="B60" t="s" s="139">
        <v>106</v>
      </c>
      <c r="C60" s="84"/>
      <c r="D60" s="84"/>
      <c r="E60" s="86"/>
      <c r="F60" s="93"/>
      <c r="G60" s="145">
        <f>SUM(G57:G59)</f>
        <v>838929443.808717</v>
      </c>
      <c r="H60" s="146">
        <v>0.999989182396458</v>
      </c>
      <c r="I60" s="153"/>
      <c r="J60" s="200"/>
      <c r="K60" s="200"/>
      <c r="L60" s="188"/>
      <c r="M60" s="188"/>
      <c r="N60" s="188"/>
      <c r="O60" s="188"/>
      <c r="P60" s="188"/>
      <c r="Q60" s="188"/>
      <c r="R60" s="188"/>
      <c r="S60" s="189"/>
    </row>
    <row r="61" ht="13" customHeight="1">
      <c r="A61" s="149"/>
      <c r="B61" t="s" s="57">
        <v>107</v>
      </c>
      <c r="C61" s="84"/>
      <c r="D61" s="84"/>
      <c r="E61" s="86"/>
      <c r="F61" s="6"/>
      <c r="G61" s="150">
        <f>G60</f>
        <v>838929443.808717</v>
      </c>
      <c r="H61" s="147">
        <v>1</v>
      </c>
      <c r="I61" s="207">
        <f>G61/18.62</f>
        <v>45055286.9929494</v>
      </c>
      <c r="J61" s="188"/>
      <c r="K61" s="200"/>
      <c r="L61" s="188"/>
      <c r="M61" s="188"/>
      <c r="N61" s="188"/>
      <c r="O61" s="188"/>
      <c r="P61" s="188"/>
      <c r="Q61" s="188"/>
      <c r="R61" s="188"/>
      <c r="S61" s="189"/>
    </row>
    <row r="62" ht="13" customHeight="1">
      <c r="A62" s="149"/>
      <c r="B62" s="151"/>
      <c r="C62" s="84"/>
      <c r="D62" s="84"/>
      <c r="E62" s="86"/>
      <c r="F62" s="152">
        <v>0</v>
      </c>
      <c r="G62" s="153"/>
      <c r="H62" s="147"/>
      <c r="I62" s="200"/>
      <c r="J62" s="188"/>
      <c r="K62" s="188"/>
      <c r="L62" s="188"/>
      <c r="M62" s="188"/>
      <c r="N62" s="188"/>
      <c r="O62" s="188"/>
      <c r="P62" s="188"/>
      <c r="Q62" s="188"/>
      <c r="R62" s="188"/>
      <c r="S62" s="189"/>
    </row>
    <row r="63" ht="13" customHeight="1">
      <c r="A63" s="149"/>
      <c r="B63" t="s" s="208">
        <v>122</v>
      </c>
      <c r="C63" s="84"/>
      <c r="D63" s="84"/>
      <c r="E63" s="86"/>
      <c r="F63" s="152"/>
      <c r="G63" s="209"/>
      <c r="H63" s="147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9"/>
    </row>
    <row r="64" ht="13" customHeight="1">
      <c r="A64" s="149"/>
      <c r="B64" s="39"/>
      <c r="C64" s="84"/>
      <c r="D64" s="84"/>
      <c r="E64" s="86"/>
      <c r="F64" s="152"/>
      <c r="G64" s="209"/>
      <c r="H64" s="147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9"/>
    </row>
    <row r="65" ht="13" customHeight="1">
      <c r="A65" s="149"/>
      <c r="B65" s="151"/>
      <c r="C65" s="84"/>
      <c r="D65" s="84"/>
      <c r="E65" s="86"/>
      <c r="F65" s="6"/>
      <c r="G65" s="153"/>
      <c r="H65" s="147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9"/>
    </row>
    <row r="66" ht="13" customHeight="1">
      <c r="A66" s="149"/>
      <c r="B66" s="188"/>
      <c r="C66" s="84"/>
      <c r="D66" s="84"/>
      <c r="E66" s="84"/>
      <c r="F66" s="45"/>
      <c r="G66" s="210"/>
      <c r="H66" s="147"/>
      <c r="I66" s="188"/>
      <c r="J66" s="206"/>
      <c r="K66" s="206"/>
      <c r="L66" s="188"/>
      <c r="M66" s="188"/>
      <c r="N66" s="188"/>
      <c r="O66" s="188"/>
      <c r="P66" s="188"/>
      <c r="Q66" s="188"/>
      <c r="R66" s="188"/>
      <c r="S66" s="189"/>
    </row>
    <row r="67" ht="13" customHeight="1">
      <c r="A67" s="199"/>
      <c r="B67" s="188"/>
      <c r="C67" s="211"/>
      <c r="D67" s="212"/>
      <c r="E67" s="6"/>
      <c r="F67" s="6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9"/>
    </row>
    <row r="68" ht="12.75" customHeight="1">
      <c r="A68" s="199"/>
      <c r="B68" s="188"/>
      <c r="C68" s="188"/>
      <c r="D68" s="188"/>
      <c r="E68" s="6"/>
      <c r="F68" s="6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9"/>
    </row>
    <row r="69" ht="12.75" customHeight="1">
      <c r="A69" s="199"/>
      <c r="B69" s="188"/>
      <c r="C69" s="188"/>
      <c r="D69" s="188"/>
      <c r="E69" s="6"/>
      <c r="F69" s="6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9"/>
    </row>
    <row r="70" ht="12.75" customHeight="1">
      <c r="A70" s="199"/>
      <c r="B70" s="188"/>
      <c r="C70" s="188"/>
      <c r="D70" s="188"/>
      <c r="E70" s="213"/>
      <c r="F70" s="6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9"/>
    </row>
    <row r="71" ht="12.75" customHeight="1">
      <c r="A71" s="199"/>
      <c r="B71" s="188"/>
      <c r="C71" s="188"/>
      <c r="D71" s="188"/>
      <c r="E71" s="6"/>
      <c r="F71" s="6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9"/>
    </row>
    <row r="72" ht="12.75" customHeight="1">
      <c r="A72" s="199"/>
      <c r="B72" s="188"/>
      <c r="C72" s="188"/>
      <c r="D72" s="188"/>
      <c r="E72" s="221">
        <v>318.99</v>
      </c>
      <c r="F72" s="6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9"/>
    </row>
    <row r="73" ht="12.75" customHeight="1">
      <c r="A73" s="199"/>
      <c r="B73" s="188"/>
      <c r="C73" s="188"/>
      <c r="D73" s="188"/>
      <c r="E73" s="221">
        <v>303.4017</v>
      </c>
      <c r="F73" s="6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9"/>
    </row>
    <row r="74" ht="12.75" customHeight="1">
      <c r="A74" s="199"/>
      <c r="B74" s="188"/>
      <c r="C74" s="188"/>
      <c r="D74" s="188"/>
      <c r="E74" s="221">
        <v>266.44</v>
      </c>
      <c r="F74" s="6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9"/>
    </row>
    <row r="75" ht="12.75" customHeight="1">
      <c r="A75" s="199"/>
      <c r="B75" s="188"/>
      <c r="C75" s="188"/>
      <c r="D75" s="188"/>
      <c r="E75" s="8">
        <f>SUM(E72:E74)</f>
        <v>888.8317</v>
      </c>
      <c r="F75" s="6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9"/>
    </row>
    <row r="76" ht="12.75" customHeight="1">
      <c r="A76" s="214"/>
      <c r="B76" s="215"/>
      <c r="C76" s="215"/>
      <c r="D76" s="215"/>
      <c r="E76" s="222">
        <f>E75*3</f>
        <v>2666.4951</v>
      </c>
      <c r="F76" s="20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7"/>
    </row>
  </sheetData>
  <mergeCells count="13">
    <mergeCell ref="C67:D67"/>
    <mergeCell ref="A21:E21"/>
    <mergeCell ref="A1:H2"/>
    <mergeCell ref="A5:E5"/>
    <mergeCell ref="A6:E6"/>
    <mergeCell ref="A13:D13"/>
    <mergeCell ref="A15:H15"/>
    <mergeCell ref="A20:H20"/>
    <mergeCell ref="I42:J42"/>
    <mergeCell ref="B51:F51"/>
    <mergeCell ref="B57:F57"/>
    <mergeCell ref="B58:F58"/>
    <mergeCell ref="B59:F59"/>
  </mergeCells>
  <conditionalFormatting sqref="E70">
    <cfRule type="cellIs" dxfId="1" priority="1" operator="lessThan" stopIfTrue="1">
      <formula>0</formula>
    </cfRule>
  </conditionalFormatting>
  <pageMargins left="0.590551" right="0.23622" top="0.511811" bottom="0.590551" header="0.314961" footer="0.393701"/>
  <pageSetup firstPageNumber="1" fitToHeight="1" fitToWidth="1" scale="77" useFirstPageNumber="0" orientation="portrait" pageOrder="downThenOver"/>
  <headerFooter>
    <oddHeader>&amp;R&amp;"Arial,Regular"&amp;10&amp;K000000&amp;8&amp;P de 1</oddHeader>
    <oddFooter>&amp;C&amp;"Arial,Regular"&amp;8&amp;K000000JOSUE ALEXANDER BARRIOS GALINDO
ADMINISTRADOR UNICO
TRANSSHIPPING WORLD COMPANY, S.A.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S75"/>
  <sheetViews>
    <sheetView workbookViewId="0" showGridLines="0" defaultGridColor="1"/>
  </sheetViews>
  <sheetFormatPr defaultColWidth="11.5" defaultRowHeight="12.75" customHeight="1" outlineLevelRow="0" outlineLevelCol="0"/>
  <cols>
    <col min="1" max="1" width="11.6719" style="223" customWidth="1"/>
    <col min="2" max="2" width="30.6719" style="223" customWidth="1"/>
    <col min="3" max="3" width="6.67188" style="223" customWidth="1"/>
    <col min="4" max="4" width="12.8516" style="223" customWidth="1"/>
    <col min="5" max="5" width="16.5" style="223" customWidth="1"/>
    <col min="6" max="6" width="16" style="223" customWidth="1"/>
    <col min="7" max="7" width="20.3516" style="223" customWidth="1"/>
    <col min="8" max="8" width="7.85156" style="223" customWidth="1"/>
    <col min="9" max="9" width="16" style="223" customWidth="1"/>
    <col min="10" max="10" width="17.6719" style="223" customWidth="1"/>
    <col min="11" max="11" width="14.8516" style="223" customWidth="1"/>
    <col min="12" max="12" width="11.8516" style="223" customWidth="1"/>
    <col min="13" max="13" width="15.5" style="223" customWidth="1"/>
    <col min="14" max="18" width="11.5" style="223" customWidth="1"/>
    <col min="19" max="19" width="12.6719" style="223" customWidth="1"/>
    <col min="20" max="16384" width="11.5" style="223" customWidth="1"/>
  </cols>
  <sheetData>
    <row r="1" ht="15" customHeight="1">
      <c r="A1" t="s" s="28">
        <v>15</v>
      </c>
      <c r="B1" s="29"/>
      <c r="C1" s="29"/>
      <c r="D1" s="29"/>
      <c r="E1" s="29"/>
      <c r="F1" s="29"/>
      <c r="G1" s="29"/>
      <c r="H1" s="30"/>
      <c r="I1" s="184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ht="15" customHeight="1">
      <c r="A2" s="33"/>
      <c r="B2" s="34"/>
      <c r="C2" s="34"/>
      <c r="D2" s="34"/>
      <c r="E2" s="34"/>
      <c r="F2" s="34"/>
      <c r="G2" s="34"/>
      <c r="H2" s="35"/>
      <c r="I2" s="187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ht="12.75" customHeight="1">
      <c r="A3" s="36"/>
      <c r="B3" s="37">
        <v>0</v>
      </c>
      <c r="C3" s="38"/>
      <c r="D3" s="38"/>
      <c r="E3" s="38"/>
      <c r="F3" s="6"/>
      <c r="G3" s="39"/>
      <c r="H3" s="40"/>
      <c r="I3" s="187"/>
      <c r="J3" s="188"/>
      <c r="K3" s="188"/>
      <c r="L3" s="188"/>
      <c r="M3" s="188"/>
      <c r="N3" s="188"/>
      <c r="O3" s="188"/>
      <c r="P3" s="188"/>
      <c r="Q3" s="188"/>
      <c r="R3" s="188"/>
      <c r="S3" s="189"/>
    </row>
    <row r="4" ht="12.75" customHeight="1">
      <c r="A4" s="42"/>
      <c r="B4" s="38"/>
      <c r="C4" s="38"/>
      <c r="D4" s="38"/>
      <c r="E4" s="38"/>
      <c r="F4" s="6"/>
      <c r="G4" s="39"/>
      <c r="H4" s="40"/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9"/>
    </row>
    <row r="5" ht="12.75" customHeight="1">
      <c r="A5" t="s" s="43">
        <v>16</v>
      </c>
      <c r="B5" s="44"/>
      <c r="C5" s="44"/>
      <c r="D5" s="44"/>
      <c r="E5" s="45"/>
      <c r="F5" s="6"/>
      <c r="G5" s="39"/>
      <c r="H5" s="40"/>
      <c r="I5" s="187"/>
      <c r="J5" s="188"/>
      <c r="K5" s="188"/>
      <c r="L5" s="188"/>
      <c r="M5" s="188"/>
      <c r="N5" s="188"/>
      <c r="O5" s="188"/>
      <c r="P5" s="188"/>
      <c r="Q5" s="188"/>
      <c r="R5" s="188"/>
      <c r="S5" s="189"/>
    </row>
    <row r="6" ht="12.75" customHeight="1">
      <c r="A6" t="s" s="43">
        <v>123</v>
      </c>
      <c r="B6" s="44"/>
      <c r="C6" s="44"/>
      <c r="D6" s="44"/>
      <c r="E6" s="45"/>
      <c r="F6" t="s" s="46">
        <v>18</v>
      </c>
      <c r="G6" t="s" s="47">
        <v>19</v>
      </c>
      <c r="H6" s="40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ht="12.75" customHeight="1">
      <c r="A7" t="s" s="43">
        <v>20</v>
      </c>
      <c r="B7" s="38"/>
      <c r="C7" s="38"/>
      <c r="D7" s="38"/>
      <c r="E7" s="38"/>
      <c r="F7" t="s" s="48">
        <v>21</v>
      </c>
      <c r="G7" s="49">
        <v>44908</v>
      </c>
      <c r="H7" s="50"/>
      <c r="I7" s="187"/>
      <c r="J7" s="188"/>
      <c r="K7" s="188"/>
      <c r="L7" s="188"/>
      <c r="M7" s="188"/>
      <c r="N7" s="188"/>
      <c r="O7" s="188"/>
      <c r="P7" s="188"/>
      <c r="Q7" s="188"/>
      <c r="R7" s="188"/>
      <c r="S7" s="189"/>
    </row>
    <row r="8" ht="12.75" customHeight="1">
      <c r="A8" t="s" s="43">
        <v>22</v>
      </c>
      <c r="B8" s="38"/>
      <c r="C8" s="38"/>
      <c r="D8" s="38"/>
      <c r="E8" s="38"/>
      <c r="F8" s="6"/>
      <c r="G8" s="53"/>
      <c r="H8" s="54"/>
      <c r="I8" s="187"/>
      <c r="J8" s="188"/>
      <c r="K8" s="188"/>
      <c r="L8" s="188"/>
      <c r="M8" s="188"/>
      <c r="N8" s="188"/>
      <c r="O8" s="188"/>
      <c r="P8" s="188"/>
      <c r="Q8" s="188"/>
      <c r="R8" s="188"/>
      <c r="S8" s="189"/>
    </row>
    <row r="9" ht="12.75" customHeight="1">
      <c r="A9" s="42"/>
      <c r="B9" s="38"/>
      <c r="C9" s="38"/>
      <c r="D9" s="38"/>
      <c r="E9" s="38"/>
      <c r="F9" t="s" s="48">
        <v>23</v>
      </c>
      <c r="G9" t="s" s="56">
        <v>24</v>
      </c>
      <c r="H9" s="50"/>
      <c r="I9" s="187"/>
      <c r="J9" s="188"/>
      <c r="K9" s="188"/>
      <c r="L9" s="188"/>
      <c r="M9" s="188"/>
      <c r="N9" s="188"/>
      <c r="O9" s="188"/>
      <c r="P9" s="188"/>
      <c r="Q9" s="188"/>
      <c r="R9" s="188"/>
      <c r="S9" s="189"/>
    </row>
    <row r="10" ht="12.75" customHeight="1">
      <c r="A10" s="42"/>
      <c r="B10" s="38"/>
      <c r="C10" s="38"/>
      <c r="D10" s="38"/>
      <c r="E10" s="38"/>
      <c r="F10" t="s" s="48">
        <v>25</v>
      </c>
      <c r="G10" t="s" s="56">
        <v>26</v>
      </c>
      <c r="H10" s="50"/>
      <c r="I10" s="187"/>
      <c r="J10" s="188"/>
      <c r="K10" s="188"/>
      <c r="L10" s="188"/>
      <c r="M10" s="188"/>
      <c r="N10" s="188"/>
      <c r="O10" s="188"/>
      <c r="P10" s="188"/>
      <c r="Q10" s="188"/>
      <c r="R10" s="188"/>
      <c r="S10" s="189"/>
    </row>
    <row r="11" ht="12.75" customHeight="1">
      <c r="A11" s="42"/>
      <c r="B11" s="38"/>
      <c r="C11" s="38"/>
      <c r="D11" s="38"/>
      <c r="E11" s="38"/>
      <c r="F11" s="6"/>
      <c r="G11" t="s" s="57">
        <v>27</v>
      </c>
      <c r="H11" s="40"/>
      <c r="I11" s="187"/>
      <c r="J11" s="188"/>
      <c r="K11" s="188"/>
      <c r="L11" s="188"/>
      <c r="M11" s="188"/>
      <c r="N11" s="188"/>
      <c r="O11" s="188"/>
      <c r="P11" s="188"/>
      <c r="Q11" s="188"/>
      <c r="R11" s="188"/>
      <c r="S11" s="189"/>
    </row>
    <row r="12" ht="12.75" customHeight="1">
      <c r="A12" s="42"/>
      <c r="B12" s="38"/>
      <c r="C12" s="38"/>
      <c r="D12" s="38"/>
      <c r="E12" s="38"/>
      <c r="F12" s="6"/>
      <c r="G12" t="s" s="58">
        <v>28</v>
      </c>
      <c r="H12" s="40"/>
      <c r="I12" s="187"/>
      <c r="J12" s="188"/>
      <c r="K12" s="188"/>
      <c r="L12" s="188"/>
      <c r="M12" s="188"/>
      <c r="N12" s="188"/>
      <c r="O12" s="188"/>
      <c r="P12" s="188"/>
      <c r="Q12" s="188"/>
      <c r="R12" s="188"/>
      <c r="S12" s="189"/>
    </row>
    <row r="13" ht="12.75" customHeight="1">
      <c r="A13" t="s" s="59">
        <v>29</v>
      </c>
      <c r="B13" s="60"/>
      <c r="C13" s="60"/>
      <c r="D13" s="60"/>
      <c r="E13" s="61"/>
      <c r="F13" s="62"/>
      <c r="G13" s="63"/>
      <c r="H13" s="64"/>
      <c r="I13" s="187"/>
      <c r="J13" s="188"/>
      <c r="K13" s="188"/>
      <c r="L13" s="188"/>
      <c r="M13" s="188"/>
      <c r="N13" s="188"/>
      <c r="O13" s="188"/>
      <c r="P13" s="188"/>
      <c r="Q13" s="188"/>
      <c r="R13" s="188"/>
      <c r="S13" s="189"/>
    </row>
    <row r="14" ht="12.75" customHeight="1">
      <c r="A14" s="65"/>
      <c r="B14" s="66"/>
      <c r="C14" s="66"/>
      <c r="D14" s="66"/>
      <c r="E14" s="67"/>
      <c r="F14" s="190"/>
      <c r="G14" s="66"/>
      <c r="H14" s="191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</row>
    <row r="15" ht="12.75" customHeight="1">
      <c r="A15" t="s" s="68">
        <v>30</v>
      </c>
      <c r="B15" s="69"/>
      <c r="C15" s="69"/>
      <c r="D15" s="69"/>
      <c r="E15" s="70"/>
      <c r="F15" s="70"/>
      <c r="G15" s="69"/>
      <c r="H15" s="69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/>
    </row>
    <row r="16" ht="12.75" customHeight="1">
      <c r="A16" s="71"/>
      <c r="B16" s="63"/>
      <c r="C16" s="63"/>
      <c r="D16" s="63"/>
      <c r="E16" s="61"/>
      <c r="F16" s="192"/>
      <c r="G16" s="63"/>
      <c r="H16" s="63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</row>
    <row r="17" ht="12.75" customHeight="1">
      <c r="A17" t="s" s="72">
        <v>32</v>
      </c>
      <c r="B17" t="s" s="72">
        <v>33</v>
      </c>
      <c r="C17" t="s" s="72">
        <v>34</v>
      </c>
      <c r="D17" t="s" s="72">
        <v>35</v>
      </c>
      <c r="E17" t="s" s="72">
        <v>36</v>
      </c>
      <c r="F17" t="s" s="72">
        <v>37</v>
      </c>
      <c r="G17" t="s" s="72">
        <v>38</v>
      </c>
      <c r="H17" t="s" s="72">
        <v>39</v>
      </c>
      <c r="I17" s="187"/>
      <c r="J17" s="76"/>
      <c r="K17" s="76"/>
      <c r="L17" s="76"/>
      <c r="M17" s="188"/>
      <c r="N17" s="188"/>
      <c r="O17" s="188"/>
      <c r="P17" s="188"/>
      <c r="Q17" s="188"/>
      <c r="R17" s="188"/>
      <c r="S17" s="189"/>
    </row>
    <row r="18" ht="14" customHeight="1">
      <c r="A18" t="s" s="77">
        <v>42</v>
      </c>
      <c r="B18" t="s" s="78">
        <v>124</v>
      </c>
      <c r="C18" s="79"/>
      <c r="D18" t="s" s="80">
        <v>44</v>
      </c>
      <c r="E18" s="81"/>
      <c r="F18" t="s" s="82">
        <v>45</v>
      </c>
      <c r="G18" s="66"/>
      <c r="H18" s="66"/>
      <c r="I18" s="188"/>
      <c r="J18" s="188"/>
      <c r="K18" s="178"/>
      <c r="L18" s="178"/>
      <c r="M18" s="188"/>
      <c r="N18" s="188"/>
      <c r="O18" s="188"/>
      <c r="P18" s="188"/>
      <c r="Q18" s="188"/>
      <c r="R18" s="188"/>
      <c r="S18" s="189"/>
    </row>
    <row r="19" ht="13" customHeight="1">
      <c r="A19" s="83"/>
      <c r="B19" s="84"/>
      <c r="C19" s="39"/>
      <c r="D19" t="s" s="85">
        <v>46</v>
      </c>
      <c r="E19" s="86"/>
      <c r="F19" s="87">
        <v>1</v>
      </c>
      <c r="G19" s="88">
        <f>G61</f>
        <v>735305773.123771</v>
      </c>
      <c r="H19" s="39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9"/>
    </row>
    <row r="20" ht="13" customHeight="1">
      <c r="A20" t="s" s="89">
        <v>125</v>
      </c>
      <c r="B20" s="90"/>
      <c r="C20" s="90"/>
      <c r="D20" s="90"/>
      <c r="E20" s="90"/>
      <c r="F20" s="90"/>
      <c r="G20" s="90"/>
      <c r="H20" s="90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9"/>
    </row>
    <row r="21" ht="13" customHeight="1">
      <c r="A21" t="s" s="91">
        <v>126</v>
      </c>
      <c r="B21" s="84"/>
      <c r="C21" s="84"/>
      <c r="D21" s="39"/>
      <c r="E21" s="92"/>
      <c r="F21" s="93"/>
      <c r="G21" s="39"/>
      <c r="H21" s="39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9"/>
    </row>
    <row r="22" ht="13" customHeight="1">
      <c r="A22" s="94">
        <v>1</v>
      </c>
      <c r="B22" t="s" s="95">
        <v>49</v>
      </c>
      <c r="C22" t="s" s="96">
        <v>50</v>
      </c>
      <c r="D22" s="97">
        <v>33445.38</v>
      </c>
      <c r="E22" t="s" s="96">
        <v>51</v>
      </c>
      <c r="F22" s="98">
        <v>7500</v>
      </c>
      <c r="G22" s="98">
        <f>D22*F22</f>
        <v>250840350</v>
      </c>
      <c r="H22" s="99">
        <f>G22/$G$60</f>
        <v>0.341137468477046</v>
      </c>
      <c r="I22" s="107">
        <v>11787.58</v>
      </c>
      <c r="J22" s="103">
        <f>D22/I22</f>
        <v>2.83734065855757</v>
      </c>
      <c r="K22" s="108"/>
      <c r="L22" s="109"/>
      <c r="M22" s="188"/>
      <c r="N22" s="188"/>
      <c r="O22" s="188"/>
      <c r="P22" s="188"/>
      <c r="Q22" s="188"/>
      <c r="R22" s="188"/>
      <c r="S22" s="189"/>
    </row>
    <row r="23" ht="36" customHeight="1">
      <c r="A23" s="94">
        <v>4</v>
      </c>
      <c r="B23" t="s" s="95">
        <v>55</v>
      </c>
      <c r="C23" t="s" s="96">
        <v>50</v>
      </c>
      <c r="D23" s="97">
        <v>3264.42</v>
      </c>
      <c r="E23" t="s" s="96">
        <v>51</v>
      </c>
      <c r="F23" s="98">
        <v>16644.47616</v>
      </c>
      <c r="G23" s="98">
        <f>D23*F23</f>
        <v>54334560.8662272</v>
      </c>
      <c r="H23" s="99">
        <f>G23/$G$60</f>
        <v>0.07389383145381789</v>
      </c>
      <c r="I23" s="107"/>
      <c r="J23" s="97">
        <v>1150.52</v>
      </c>
      <c r="K23" s="108"/>
      <c r="L23" s="109"/>
      <c r="M23" s="188"/>
      <c r="N23" s="188"/>
      <c r="O23" s="188"/>
      <c r="P23" s="188"/>
      <c r="Q23" s="188"/>
      <c r="R23" s="188"/>
      <c r="S23" s="189"/>
    </row>
    <row r="24" ht="24" customHeight="1">
      <c r="A24" s="94">
        <v>6</v>
      </c>
      <c r="B24" t="s" s="95">
        <v>57</v>
      </c>
      <c r="C24" t="s" s="96">
        <v>50</v>
      </c>
      <c r="D24" s="97">
        <v>94.83</v>
      </c>
      <c r="E24" t="s" s="96">
        <v>51</v>
      </c>
      <c r="F24" s="98">
        <v>16644.47616</v>
      </c>
      <c r="G24" s="98">
        <f>D24*F24</f>
        <v>1578395.6742528</v>
      </c>
      <c r="H24" s="99">
        <f>G24/$G$60</f>
        <v>0.00214658409051701</v>
      </c>
      <c r="I24" s="107"/>
      <c r="J24" s="103">
        <f>J22*J23</f>
        <v>3264.417174483660</v>
      </c>
      <c r="K24" s="108"/>
      <c r="L24" s="109"/>
      <c r="M24" s="188"/>
      <c r="N24" s="188"/>
      <c r="O24" s="188"/>
      <c r="P24" s="188"/>
      <c r="Q24" s="188"/>
      <c r="R24" s="188"/>
      <c r="S24" s="189"/>
    </row>
    <row r="25" ht="24" customHeight="1">
      <c r="A25" s="94">
        <v>7</v>
      </c>
      <c r="B25" t="s" s="95">
        <v>59</v>
      </c>
      <c r="C25" t="s" s="96">
        <v>50</v>
      </c>
      <c r="D25" s="97">
        <v>7351.96</v>
      </c>
      <c r="E25" t="s" s="96">
        <v>51</v>
      </c>
      <c r="F25" s="98">
        <v>1016.21988</v>
      </c>
      <c r="G25" s="98">
        <f>D25*F25</f>
        <v>7471207.9089648</v>
      </c>
      <c r="H25" s="99">
        <f>G25/$G$60</f>
        <v>0.0101606816946713</v>
      </c>
      <c r="I25" s="107"/>
      <c r="J25" s="103"/>
      <c r="K25" s="108"/>
      <c r="L25" s="109"/>
      <c r="M25" s="188"/>
      <c r="N25" s="188"/>
      <c r="O25" s="188"/>
      <c r="P25" s="188"/>
      <c r="Q25" s="188"/>
      <c r="R25" s="188"/>
      <c r="S25" s="189"/>
    </row>
    <row r="26" ht="13" customHeight="1">
      <c r="A26" s="94">
        <v>9</v>
      </c>
      <c r="B26" t="s" s="95">
        <v>61</v>
      </c>
      <c r="C26" t="s" s="96">
        <v>50</v>
      </c>
      <c r="D26" s="97">
        <v>22864.3</v>
      </c>
      <c r="E26" t="s" s="96">
        <v>51</v>
      </c>
      <c r="F26" s="98">
        <v>1016.21988</v>
      </c>
      <c r="G26" s="98">
        <f>D26*F26</f>
        <v>23235156.202284</v>
      </c>
      <c r="H26" s="99">
        <f>G26/$G$60</f>
        <v>0.0315993115402521</v>
      </c>
      <c r="I26" s="107"/>
      <c r="J26" s="103"/>
      <c r="K26" s="108"/>
      <c r="L26" s="109"/>
      <c r="M26" s="188"/>
      <c r="N26" s="188"/>
      <c r="O26" s="188"/>
      <c r="P26" s="188"/>
      <c r="Q26" s="188"/>
      <c r="R26" s="188"/>
      <c r="S26" s="189"/>
    </row>
    <row r="27" ht="15" customHeight="1">
      <c r="A27" s="94">
        <v>12</v>
      </c>
      <c r="B27" t="s" s="95">
        <v>63</v>
      </c>
      <c r="C27" t="s" s="96">
        <v>50</v>
      </c>
      <c r="D27" s="97">
        <v>2386.6</v>
      </c>
      <c r="E27" t="s" s="96">
        <v>51</v>
      </c>
      <c r="F27" s="98">
        <v>954.954</v>
      </c>
      <c r="G27" s="98">
        <f>D27*F27</f>
        <v>2279093.2164</v>
      </c>
      <c r="H27" s="99">
        <f>G27/$G$60</f>
        <v>0.00309951764246025</v>
      </c>
      <c r="I27" s="107"/>
      <c r="J27" s="103"/>
      <c r="K27" s="108"/>
      <c r="L27" s="109"/>
      <c r="M27" s="188"/>
      <c r="N27" s="188"/>
      <c r="O27" s="188"/>
      <c r="P27" s="188"/>
      <c r="Q27" s="188"/>
      <c r="R27" s="188"/>
      <c r="S27" s="189"/>
    </row>
    <row r="28" ht="13" customHeight="1">
      <c r="A28" s="94">
        <v>13</v>
      </c>
      <c r="B28" t="s" s="95">
        <v>64</v>
      </c>
      <c r="C28" t="s" s="96">
        <v>50</v>
      </c>
      <c r="D28" s="97">
        <v>5529.42</v>
      </c>
      <c r="E28" t="s" s="96">
        <v>51</v>
      </c>
      <c r="F28" s="98">
        <v>289.53</v>
      </c>
      <c r="G28" s="98">
        <f>D28*F28</f>
        <v>1600932.9726</v>
      </c>
      <c r="H28" s="99">
        <f>G28/$G$60</f>
        <v>0.00217723433041851</v>
      </c>
      <c r="I28" s="107"/>
      <c r="J28" s="193"/>
      <c r="K28" s="140"/>
      <c r="L28" s="140"/>
      <c r="M28" s="194"/>
      <c r="N28" s="188"/>
      <c r="O28" s="188"/>
      <c r="P28" s="188"/>
      <c r="Q28" s="188"/>
      <c r="R28" s="188"/>
      <c r="S28" s="189"/>
    </row>
    <row r="29" ht="13" customHeight="1">
      <c r="A29" s="94">
        <v>14</v>
      </c>
      <c r="B29" t="s" s="95">
        <v>65</v>
      </c>
      <c r="C29" t="s" s="96">
        <v>50</v>
      </c>
      <c r="D29" s="97">
        <f>1203*3</f>
        <v>3609</v>
      </c>
      <c r="E29" t="s" s="96">
        <v>51</v>
      </c>
      <c r="F29" s="98">
        <v>878.446062</v>
      </c>
      <c r="G29" s="98">
        <f>D29*F29</f>
        <v>3170311.837758</v>
      </c>
      <c r="H29" s="99">
        <f>G29/$G$60</f>
        <v>0.00431155575494761</v>
      </c>
      <c r="I29" s="107"/>
      <c r="J29" s="219">
        <v>219.3</v>
      </c>
      <c r="K29" s="138"/>
      <c r="L29" s="109"/>
      <c r="M29" s="194"/>
      <c r="N29" s="188"/>
      <c r="O29" s="188"/>
      <c r="P29" s="188"/>
      <c r="Q29" s="188"/>
      <c r="R29" s="188"/>
      <c r="S29" s="189"/>
    </row>
    <row r="30" ht="13" customHeight="1">
      <c r="A30" s="94">
        <v>15</v>
      </c>
      <c r="B30" t="s" s="95">
        <v>66</v>
      </c>
      <c r="C30" t="s" s="96">
        <v>50</v>
      </c>
      <c r="D30" s="97">
        <v>78512.03</v>
      </c>
      <c r="E30" t="s" s="96">
        <v>51</v>
      </c>
      <c r="F30" s="98">
        <v>42.1668</v>
      </c>
      <c r="G30" s="98">
        <f>D30*F30</f>
        <v>3310601.066604</v>
      </c>
      <c r="H30" s="99">
        <f>G30/$G$60</f>
        <v>0.00450234608187517</v>
      </c>
      <c r="I30" s="107"/>
      <c r="J30" s="219">
        <v>82.44</v>
      </c>
      <c r="K30" s="138"/>
      <c r="L30" s="109"/>
      <c r="M30" s="194"/>
      <c r="N30" s="188"/>
      <c r="O30" s="188"/>
      <c r="P30" s="188"/>
      <c r="Q30" s="188"/>
      <c r="R30" s="188"/>
      <c r="S30" s="189"/>
    </row>
    <row r="31" ht="13" customHeight="1">
      <c r="A31" s="94">
        <v>16</v>
      </c>
      <c r="B31" t="s" s="95">
        <v>67</v>
      </c>
      <c r="C31" t="s" s="96">
        <v>50</v>
      </c>
      <c r="D31" s="97">
        <v>78512.03</v>
      </c>
      <c r="E31" t="s" s="96">
        <v>51</v>
      </c>
      <c r="F31" s="98">
        <v>187.059366</v>
      </c>
      <c r="G31" s="98">
        <f>D31*F31</f>
        <v>14686410.555173</v>
      </c>
      <c r="H31" s="99">
        <f>G31/$G$60</f>
        <v>0.0199732017508598</v>
      </c>
      <c r="I31" s="107"/>
      <c r="J31" s="219">
        <v>20.609</v>
      </c>
      <c r="K31" s="138"/>
      <c r="L31" s="109"/>
      <c r="M31" s="194"/>
      <c r="N31" s="188"/>
      <c r="O31" s="188"/>
      <c r="P31" s="188"/>
      <c r="Q31" s="188"/>
      <c r="R31" s="188"/>
      <c r="S31" s="189"/>
    </row>
    <row r="32" ht="13" customHeight="1">
      <c r="A32" s="94">
        <v>17</v>
      </c>
      <c r="B32" t="s" s="95">
        <v>68</v>
      </c>
      <c r="C32" t="s" s="96">
        <v>69</v>
      </c>
      <c r="D32" s="97">
        <v>2</v>
      </c>
      <c r="E32" t="s" s="96">
        <v>51</v>
      </c>
      <c r="F32" s="98">
        <v>1190000</v>
      </c>
      <c r="G32" s="98">
        <f>D32*F32</f>
        <v>2380000</v>
      </c>
      <c r="H32" s="99">
        <f>G32/$G$60</f>
        <v>0.00323674869284534</v>
      </c>
      <c r="I32" s="107"/>
      <c r="J32" s="219">
        <v>53.549</v>
      </c>
      <c r="K32" s="138"/>
      <c r="L32" s="109"/>
      <c r="M32" s="194"/>
      <c r="N32" s="188"/>
      <c r="O32" s="188"/>
      <c r="P32" s="188"/>
      <c r="Q32" s="188"/>
      <c r="R32" s="188"/>
      <c r="S32" s="189"/>
    </row>
    <row r="33" ht="13" customHeight="1">
      <c r="A33" s="94">
        <v>18</v>
      </c>
      <c r="B33" t="s" s="95">
        <v>70</v>
      </c>
      <c r="C33" t="s" s="96">
        <v>69</v>
      </c>
      <c r="D33" s="97">
        <v>2</v>
      </c>
      <c r="E33" t="s" s="96">
        <v>51</v>
      </c>
      <c r="F33" s="98">
        <v>348780</v>
      </c>
      <c r="G33" s="98">
        <f>D33*F33</f>
        <v>697560</v>
      </c>
      <c r="H33" s="99">
        <f>G33/$G$60</f>
        <v>0.000948666562261007</v>
      </c>
      <c r="I33" s="107"/>
      <c r="J33" s="219">
        <v>25.488</v>
      </c>
      <c r="K33" s="109"/>
      <c r="L33" s="109"/>
      <c r="M33" s="195"/>
      <c r="N33" s="188"/>
      <c r="O33" s="188"/>
      <c r="P33" s="188"/>
      <c r="Q33" s="188"/>
      <c r="R33" s="188"/>
      <c r="S33" s="189"/>
    </row>
    <row r="34" ht="24" customHeight="1">
      <c r="A34" s="101">
        <v>20</v>
      </c>
      <c r="B34" t="s" s="95">
        <v>71</v>
      </c>
      <c r="C34" t="s" s="96">
        <v>72</v>
      </c>
      <c r="D34" s="97">
        <v>900</v>
      </c>
      <c r="E34" t="s" s="96">
        <v>51</v>
      </c>
      <c r="F34" s="98">
        <v>853.49</v>
      </c>
      <c r="G34" s="98">
        <f>D34*F34</f>
        <v>768141</v>
      </c>
      <c r="H34" s="99">
        <f>G34/$G$60</f>
        <v>0.00104465520070206</v>
      </c>
      <c r="I34" s="107"/>
      <c r="J34" s="219">
        <v>17.768</v>
      </c>
      <c r="K34" s="109"/>
      <c r="L34" s="109"/>
      <c r="M34" s="195"/>
      <c r="N34" s="188"/>
      <c r="O34" s="188"/>
      <c r="P34" s="188"/>
      <c r="Q34" s="188"/>
      <c r="R34" s="188"/>
      <c r="S34" s="189"/>
    </row>
    <row r="35" ht="24" customHeight="1">
      <c r="A35" s="94">
        <v>21</v>
      </c>
      <c r="B35" t="s" s="95">
        <v>73</v>
      </c>
      <c r="C35" t="s" s="96">
        <v>50</v>
      </c>
      <c r="D35" s="97">
        <v>100</v>
      </c>
      <c r="E35" t="s" s="96">
        <v>51</v>
      </c>
      <c r="F35" s="98">
        <v>8322.238079999999</v>
      </c>
      <c r="G35" s="98">
        <f>D35*F35</f>
        <v>832223.808</v>
      </c>
      <c r="H35" s="99">
        <f>G35/$G$60</f>
        <v>0.00113180643810873</v>
      </c>
      <c r="I35" s="107"/>
      <c r="J35" s="219">
        <v>58.091</v>
      </c>
      <c r="K35" s="108"/>
      <c r="L35" s="109"/>
      <c r="M35" s="194"/>
      <c r="N35" s="188"/>
      <c r="O35" s="188"/>
      <c r="P35" s="188"/>
      <c r="Q35" s="188"/>
      <c r="R35" s="188"/>
      <c r="S35" s="189"/>
    </row>
    <row r="36" ht="24" customHeight="1">
      <c r="A36" s="94">
        <v>22</v>
      </c>
      <c r="B36" t="s" s="95">
        <v>74</v>
      </c>
      <c r="C36" t="s" s="96">
        <v>72</v>
      </c>
      <c r="D36" s="97">
        <f>338*2</f>
        <v>676</v>
      </c>
      <c r="E36" t="s" s="96">
        <v>51</v>
      </c>
      <c r="F36" s="98">
        <v>18540.43</v>
      </c>
      <c r="G36" s="98">
        <f>D36*F36</f>
        <v>12533330.68</v>
      </c>
      <c r="H36" s="99">
        <f>G36/$G$60</f>
        <v>0.0170450595359195</v>
      </c>
      <c r="I36" s="107"/>
      <c r="J36" s="219">
        <v>5.288</v>
      </c>
      <c r="K36" s="108"/>
      <c r="L36" s="109"/>
      <c r="M36" s="194"/>
      <c r="N36" s="188"/>
      <c r="O36" s="188"/>
      <c r="P36" s="188"/>
      <c r="Q36" s="188"/>
      <c r="R36" s="188"/>
      <c r="S36" s="189"/>
    </row>
    <row r="37" ht="24" customHeight="1">
      <c r="A37" s="101">
        <v>23</v>
      </c>
      <c r="B37" t="s" s="95">
        <v>75</v>
      </c>
      <c r="C37" t="s" s="96">
        <v>76</v>
      </c>
      <c r="D37" s="97">
        <f>1225*2</f>
        <v>2450</v>
      </c>
      <c r="E37" t="s" s="96">
        <v>51</v>
      </c>
      <c r="F37" s="98">
        <v>18765.32</v>
      </c>
      <c r="G37" s="98">
        <f>D37*F37</f>
        <v>45975034</v>
      </c>
      <c r="H37" s="99">
        <f>G37/$G$60</f>
        <v>0.0625250551273194</v>
      </c>
      <c r="I37" s="107"/>
      <c r="J37" s="103">
        <v>131.61</v>
      </c>
      <c r="K37" s="108"/>
      <c r="L37" s="109"/>
      <c r="M37" s="188"/>
      <c r="N37" s="188"/>
      <c r="O37" s="188"/>
      <c r="P37" s="188"/>
      <c r="Q37" s="188"/>
      <c r="R37" s="188"/>
      <c r="S37" s="189"/>
    </row>
    <row r="38" ht="24" customHeight="1">
      <c r="A38" s="101">
        <v>28</v>
      </c>
      <c r="B38" t="s" s="95">
        <v>77</v>
      </c>
      <c r="C38" t="s" s="96">
        <v>50</v>
      </c>
      <c r="D38" s="97">
        <v>33445.38</v>
      </c>
      <c r="E38" t="s" s="96">
        <v>51</v>
      </c>
      <c r="F38" s="98">
        <v>2301.55</v>
      </c>
      <c r="G38" s="98">
        <f>D38*F38</f>
        <v>76976214.339</v>
      </c>
      <c r="H38" s="99">
        <f>G38/$G$60</f>
        <v>0.104685992076446</v>
      </c>
      <c r="I38" s="107"/>
      <c r="J38" s="103"/>
      <c r="K38" s="108"/>
      <c r="L38" s="109"/>
      <c r="M38" s="188"/>
      <c r="N38" s="188"/>
      <c r="O38" s="188"/>
      <c r="P38" s="188"/>
      <c r="Q38" s="188"/>
      <c r="R38" s="188"/>
      <c r="S38" s="189"/>
    </row>
    <row r="39" ht="13" customHeight="1">
      <c r="A39" s="101">
        <v>29</v>
      </c>
      <c r="B39" t="s" s="95">
        <v>78</v>
      </c>
      <c r="C39" t="s" s="96">
        <v>50</v>
      </c>
      <c r="D39" s="97">
        <v>33445.38</v>
      </c>
      <c r="E39" t="s" s="96">
        <v>51</v>
      </c>
      <c r="F39" s="98">
        <v>1927.24</v>
      </c>
      <c r="G39" s="98">
        <f>D39*F39</f>
        <v>64457274.1512</v>
      </c>
      <c r="H39" s="99">
        <f>G39/$G$60</f>
        <v>0.08766050329969351</v>
      </c>
      <c r="I39" s="107"/>
      <c r="J39" s="103"/>
      <c r="K39" s="108"/>
      <c r="L39" s="109"/>
      <c r="M39" s="194"/>
      <c r="N39" s="188"/>
      <c r="O39" s="188"/>
      <c r="P39" s="188"/>
      <c r="Q39" s="188"/>
      <c r="R39" s="188"/>
      <c r="S39" s="189"/>
    </row>
    <row r="40" ht="24" customHeight="1">
      <c r="A40" s="101">
        <v>30</v>
      </c>
      <c r="B40" t="s" s="95">
        <v>79</v>
      </c>
      <c r="C40" t="s" s="96">
        <v>50</v>
      </c>
      <c r="D40" s="97">
        <f>D23+D24+D35</f>
        <v>3459.25</v>
      </c>
      <c r="E40" t="s" s="96">
        <v>51</v>
      </c>
      <c r="F40" s="98">
        <v>1081.163256546</v>
      </c>
      <c r="G40" s="98">
        <f>D40*F40</f>
        <v>3740013.99520675</v>
      </c>
      <c r="H40" s="99">
        <f>G40/$G$60</f>
        <v>0.00508633840765073</v>
      </c>
      <c r="I40" s="99"/>
      <c r="J40" s="188"/>
      <c r="K40" t="s" s="127">
        <v>96</v>
      </c>
      <c r="L40" t="s" s="128">
        <v>97</v>
      </c>
      <c r="M40" s="99"/>
      <c r="N40" s="99"/>
      <c r="O40" s="99"/>
      <c r="P40" s="99"/>
      <c r="Q40" s="188"/>
      <c r="R40" s="188"/>
      <c r="S40" s="189"/>
    </row>
    <row r="41" ht="13" customHeight="1">
      <c r="A41" s="101">
        <v>31</v>
      </c>
      <c r="B41" t="s" s="102">
        <v>80</v>
      </c>
      <c r="C41" t="s" s="96">
        <v>50</v>
      </c>
      <c r="D41" s="97">
        <f>D40</f>
        <v>3459.25</v>
      </c>
      <c r="E41" t="s" s="96">
        <v>51</v>
      </c>
      <c r="F41" s="103">
        <v>1729.8612104736</v>
      </c>
      <c r="G41" s="103">
        <f>D41*F41</f>
        <v>5984022.3923308</v>
      </c>
      <c r="H41" s="99">
        <f>G41/$G$60</f>
        <v>0.00813814145224117</v>
      </c>
      <c r="I41" s="99"/>
      <c r="J41" t="s" s="127">
        <v>98</v>
      </c>
      <c r="K41" s="130">
        <v>24146</v>
      </c>
      <c r="L41" s="130">
        <v>289754</v>
      </c>
      <c r="M41" s="99"/>
      <c r="N41" s="97">
        <v>11787.58</v>
      </c>
      <c r="O41" s="97">
        <f>K41/N41</f>
        <v>2.04842724291161</v>
      </c>
      <c r="P41" s="97">
        <f>L41/N41</f>
        <v>24.5812965850497</v>
      </c>
      <c r="Q41" s="196">
        <v>33445.38</v>
      </c>
      <c r="R41" s="197">
        <f>O41*Q41</f>
        <v>68510.4275415311</v>
      </c>
      <c r="S41" s="198">
        <f>Q41*P41</f>
        <v>822130.80517969</v>
      </c>
    </row>
    <row r="42" ht="13" customHeight="1">
      <c r="A42" s="101">
        <v>32</v>
      </c>
      <c r="B42" t="s" s="95">
        <v>81</v>
      </c>
      <c r="C42" t="s" s="96">
        <v>50</v>
      </c>
      <c r="D42" s="97">
        <f>D41</f>
        <v>3459.25</v>
      </c>
      <c r="E42" t="s" s="96">
        <v>51</v>
      </c>
      <c r="F42" s="98">
        <v>1265.3</v>
      </c>
      <c r="G42" s="103">
        <f>D42*F42</f>
        <v>4376989.025</v>
      </c>
      <c r="H42" s="99">
        <f>G42/$G$60</f>
        <v>0.00595261071649881</v>
      </c>
      <c r="I42" t="s" s="127">
        <v>99</v>
      </c>
      <c r="J42" s="133"/>
      <c r="K42" s="130">
        <v>5723</v>
      </c>
      <c r="L42" s="130">
        <v>68678</v>
      </c>
      <c r="M42" s="99"/>
      <c r="N42" s="97">
        <v>1896</v>
      </c>
      <c r="O42" s="97">
        <f>K42/N42</f>
        <v>3.01845991561181</v>
      </c>
      <c r="P42" s="97">
        <f>L42/N42</f>
        <v>36.2225738396624</v>
      </c>
      <c r="Q42" s="188"/>
      <c r="R42" s="188"/>
      <c r="S42" s="189"/>
    </row>
    <row r="43" ht="14" customHeight="1">
      <c r="A43" s="101">
        <v>33</v>
      </c>
      <c r="B43" t="s" s="95">
        <v>82</v>
      </c>
      <c r="C43" t="s" s="96">
        <v>50</v>
      </c>
      <c r="D43" s="97">
        <f>D42</f>
        <v>3459.25</v>
      </c>
      <c r="E43" t="s" s="96">
        <v>51</v>
      </c>
      <c r="F43" s="98">
        <v>1470.95</v>
      </c>
      <c r="G43" s="104">
        <f>D43*F43</f>
        <v>5088383.7875</v>
      </c>
      <c r="H43" s="99">
        <f>G43/$G$60</f>
        <v>0.00692009225751515</v>
      </c>
      <c r="I43" s="107"/>
      <c r="J43" s="103"/>
      <c r="K43" s="108"/>
      <c r="L43" s="109"/>
      <c r="M43" s="194"/>
      <c r="N43" s="188"/>
      <c r="O43" s="188"/>
      <c r="P43" s="188"/>
      <c r="Q43" s="188"/>
      <c r="R43" s="188"/>
      <c r="S43" s="189"/>
    </row>
    <row r="44" ht="14" customHeight="1">
      <c r="A44" s="199"/>
      <c r="B44" s="90"/>
      <c r="C44" s="106"/>
      <c r="D44" s="107"/>
      <c r="E44" s="108"/>
      <c r="F44" s="109"/>
      <c r="G44" s="110">
        <f>SUM(G22:G43)</f>
        <v>586316207.478501</v>
      </c>
      <c r="H44" s="99">
        <f>G44/$G$60</f>
        <v>0.797377402584066</v>
      </c>
      <c r="I44" s="107"/>
      <c r="J44" s="200"/>
      <c r="K44" s="188"/>
      <c r="L44" s="109"/>
      <c r="M44" s="201"/>
      <c r="N44" s="188"/>
      <c r="O44" s="188"/>
      <c r="P44" s="188"/>
      <c r="Q44" s="188"/>
      <c r="R44" s="188"/>
      <c r="S44" s="189"/>
    </row>
    <row r="45" ht="13" customHeight="1">
      <c r="A45" s="199"/>
      <c r="B45" s="90"/>
      <c r="C45" s="106"/>
      <c r="D45" s="107"/>
      <c r="E45" s="108"/>
      <c r="F45" s="109"/>
      <c r="G45" s="88"/>
      <c r="H45" s="112"/>
      <c r="I45" s="107"/>
      <c r="J45" s="200"/>
      <c r="K45" s="200"/>
      <c r="L45" s="109"/>
      <c r="M45" s="202"/>
      <c r="N45" s="188"/>
      <c r="O45" s="188"/>
      <c r="P45" s="188"/>
      <c r="Q45" s="188"/>
      <c r="R45" s="188"/>
      <c r="S45" s="189"/>
    </row>
    <row r="46" ht="24" customHeight="1">
      <c r="A46" s="101">
        <v>33</v>
      </c>
      <c r="B46" t="s" s="102">
        <v>83</v>
      </c>
      <c r="C46" t="s" s="113">
        <v>69</v>
      </c>
      <c r="D46" s="114">
        <v>0.05</v>
      </c>
      <c r="E46" t="s" s="113">
        <v>51</v>
      </c>
      <c r="F46" s="103">
        <f>G44</f>
        <v>586316207.478501</v>
      </c>
      <c r="G46" s="103">
        <f>D46*F46</f>
        <v>29315810.3739251</v>
      </c>
      <c r="H46" s="99">
        <f>G46/$G$60</f>
        <v>0.0398688701292034</v>
      </c>
      <c r="I46" s="109"/>
      <c r="J46" s="103"/>
      <c r="K46" s="108"/>
      <c r="L46" s="109"/>
      <c r="M46" s="202"/>
      <c r="N46" s="188"/>
      <c r="O46" s="188"/>
      <c r="P46" s="188"/>
      <c r="Q46" s="188"/>
      <c r="R46" s="188"/>
      <c r="S46" s="189"/>
    </row>
    <row r="47" ht="24" customHeight="1">
      <c r="A47" s="116">
        <v>34</v>
      </c>
      <c r="B47" t="s" s="117">
        <v>84</v>
      </c>
      <c r="C47" t="s" s="118">
        <v>69</v>
      </c>
      <c r="D47" s="119">
        <v>0.05</v>
      </c>
      <c r="E47" t="s" s="118">
        <v>51</v>
      </c>
      <c r="F47" s="120">
        <f>G44</f>
        <v>586316207.478501</v>
      </c>
      <c r="G47" s="120">
        <f>D47*F47</f>
        <v>29315810.3739251</v>
      </c>
      <c r="H47" s="121">
        <f>G47/$G$60</f>
        <v>0.0398688701292034</v>
      </c>
      <c r="I47" s="109"/>
      <c r="J47" s="103"/>
      <c r="K47" s="108"/>
      <c r="L47" s="109"/>
      <c r="M47" s="188"/>
      <c r="N47" s="188"/>
      <c r="O47" s="188"/>
      <c r="P47" s="188"/>
      <c r="Q47" s="188"/>
      <c r="R47" s="188"/>
      <c r="S47" s="189"/>
    </row>
    <row r="48" ht="24" customHeight="1">
      <c r="A48" s="116">
        <v>35</v>
      </c>
      <c r="B48" t="s" s="117">
        <v>85</v>
      </c>
      <c r="C48" t="s" s="118">
        <v>69</v>
      </c>
      <c r="D48" s="119">
        <v>0.07000000000000001</v>
      </c>
      <c r="E48" t="s" s="118">
        <v>51</v>
      </c>
      <c r="F48" s="120">
        <f>G44</f>
        <v>586316207.478501</v>
      </c>
      <c r="G48" s="120">
        <f>D48*F48</f>
        <v>41042134.5234951</v>
      </c>
      <c r="H48" s="121">
        <f>G48/$G$60</f>
        <v>0.0558164181808847</v>
      </c>
      <c r="I48" s="109"/>
      <c r="J48" s="103"/>
      <c r="K48" s="108"/>
      <c r="L48" s="109"/>
      <c r="M48" s="188"/>
      <c r="N48" s="188"/>
      <c r="O48" s="188"/>
      <c r="P48" s="188"/>
      <c r="Q48" s="188"/>
      <c r="R48" s="188"/>
      <c r="S48" s="189"/>
    </row>
    <row r="49" ht="24" customHeight="1">
      <c r="A49" s="101">
        <v>36</v>
      </c>
      <c r="B49" t="s" s="102">
        <v>86</v>
      </c>
      <c r="C49" t="s" s="113">
        <v>69</v>
      </c>
      <c r="D49" s="114">
        <v>0.05</v>
      </c>
      <c r="E49" t="s" s="113">
        <v>51</v>
      </c>
      <c r="F49" s="103">
        <f>G44</f>
        <v>586316207.478501</v>
      </c>
      <c r="G49" s="103">
        <f>D49*F49</f>
        <v>29315810.3739251</v>
      </c>
      <c r="H49" s="99">
        <f>G49/$G$60</f>
        <v>0.0398688701292034</v>
      </c>
      <c r="I49" s="109"/>
      <c r="J49" s="103"/>
      <c r="K49" s="203"/>
      <c r="L49" s="109"/>
      <c r="M49" s="188"/>
      <c r="N49" s="188"/>
      <c r="O49" s="188"/>
      <c r="P49" s="188"/>
      <c r="Q49" s="188"/>
      <c r="R49" s="188"/>
      <c r="S49" s="189"/>
    </row>
    <row r="50" ht="14" customHeight="1">
      <c r="A50" s="101"/>
      <c r="B50" s="90"/>
      <c r="C50" s="106"/>
      <c r="D50" s="114"/>
      <c r="E50" s="108"/>
      <c r="F50" s="103"/>
      <c r="G50" s="122"/>
      <c r="H50" s="99"/>
      <c r="I50" s="109"/>
      <c r="J50" s="204"/>
      <c r="K50" s="108"/>
      <c r="L50" s="109"/>
      <c r="M50" s="188"/>
      <c r="N50" s="188"/>
      <c r="O50" s="188"/>
      <c r="P50" s="188"/>
      <c r="Q50" s="188"/>
      <c r="R50" s="188"/>
      <c r="S50" s="189"/>
    </row>
    <row r="51" ht="23.25" customHeight="1">
      <c r="A51" s="124"/>
      <c r="B51" t="s" s="125">
        <v>115</v>
      </c>
      <c r="C51" s="126"/>
      <c r="D51" s="126"/>
      <c r="E51" s="126"/>
      <c r="F51" s="126"/>
      <c r="G51" s="110">
        <f>SUM(G44:G50)</f>
        <v>715305773.123771</v>
      </c>
      <c r="H51" s="99">
        <f>G51/$G$60</f>
        <v>0.97280043115256</v>
      </c>
      <c r="I51" s="107"/>
      <c r="J51" s="200"/>
      <c r="K51" s="188"/>
      <c r="L51" s="188"/>
      <c r="M51" s="188"/>
      <c r="N51" s="188"/>
      <c r="O51" s="188"/>
      <c r="P51" s="188"/>
      <c r="Q51" s="188"/>
      <c r="R51" s="188"/>
      <c r="S51" s="189"/>
    </row>
    <row r="52" ht="13" customHeight="1">
      <c r="A52" s="101"/>
      <c r="B52" s="90"/>
      <c r="C52" s="106"/>
      <c r="D52" s="135"/>
      <c r="E52" s="108"/>
      <c r="F52" s="109"/>
      <c r="G52" s="103"/>
      <c r="H52" s="112"/>
      <c r="I52" s="109"/>
      <c r="J52" s="103"/>
      <c r="K52" s="108"/>
      <c r="L52" s="109"/>
      <c r="M52" s="188"/>
      <c r="N52" s="188"/>
      <c r="O52" s="188"/>
      <c r="P52" s="188"/>
      <c r="Q52" s="188"/>
      <c r="R52" s="188"/>
      <c r="S52" s="189"/>
    </row>
    <row r="53" ht="13" customHeight="1">
      <c r="A53" t="s" s="91">
        <v>102</v>
      </c>
      <c r="B53" s="84"/>
      <c r="C53" s="106"/>
      <c r="D53" s="135"/>
      <c r="E53" s="108"/>
      <c r="F53" s="109"/>
      <c r="G53" s="103"/>
      <c r="H53" s="112"/>
      <c r="I53" s="109"/>
      <c r="J53" s="103"/>
      <c r="K53" s="108"/>
      <c r="L53" s="109"/>
      <c r="M53" s="188"/>
      <c r="N53" s="188"/>
      <c r="O53" s="188"/>
      <c r="P53" s="188"/>
      <c r="Q53" s="188"/>
      <c r="R53" s="188"/>
      <c r="S53" s="189"/>
    </row>
    <row r="54" ht="25" customHeight="1">
      <c r="A54" s="101">
        <v>12</v>
      </c>
      <c r="B54" t="s" s="102">
        <v>103</v>
      </c>
      <c r="C54" t="s" s="113">
        <v>69</v>
      </c>
      <c r="D54" s="138">
        <v>1</v>
      </c>
      <c r="E54" t="s" s="113">
        <v>51</v>
      </c>
      <c r="F54" s="103">
        <v>20000000</v>
      </c>
      <c r="G54" s="122">
        <f>D54*F54</f>
        <v>20000000</v>
      </c>
      <c r="H54" s="99">
        <f>G54/$G$60</f>
        <v>0.0271995688474399</v>
      </c>
      <c r="I54" s="109"/>
      <c r="J54" s="103"/>
      <c r="K54" s="108"/>
      <c r="L54" s="109"/>
      <c r="M54" s="188"/>
      <c r="N54" s="188"/>
      <c r="O54" s="188"/>
      <c r="P54" s="188"/>
      <c r="Q54" s="188"/>
      <c r="R54" s="188"/>
      <c r="S54" s="189"/>
    </row>
    <row r="55" ht="14" customHeight="1">
      <c r="A55" s="101"/>
      <c r="B55" t="s" s="139">
        <v>104</v>
      </c>
      <c r="C55" s="106"/>
      <c r="D55" s="138"/>
      <c r="E55" s="108"/>
      <c r="F55" s="109"/>
      <c r="G55" s="110">
        <f>G54</f>
        <v>20000000</v>
      </c>
      <c r="H55" s="99">
        <f>G55/$G$60</f>
        <v>0.0271995688474399</v>
      </c>
      <c r="I55" s="109"/>
      <c r="J55" s="103"/>
      <c r="K55" s="108"/>
      <c r="L55" s="109"/>
      <c r="M55" s="188"/>
      <c r="N55" s="188"/>
      <c r="O55" s="188"/>
      <c r="P55" s="188"/>
      <c r="Q55" s="188"/>
      <c r="R55" s="188"/>
      <c r="S55" s="189"/>
    </row>
    <row r="56" ht="14" customHeight="1">
      <c r="A56" s="101"/>
      <c r="B56" s="90"/>
      <c r="C56" s="106"/>
      <c r="D56" s="138"/>
      <c r="E56" s="108"/>
      <c r="F56" s="109"/>
      <c r="G56" s="141"/>
      <c r="H56" s="112"/>
      <c r="I56" s="109"/>
      <c r="J56" s="103"/>
      <c r="K56" s="108"/>
      <c r="L56" s="109"/>
      <c r="M56" s="188"/>
      <c r="N56" s="188"/>
      <c r="O56" s="188"/>
      <c r="P56" s="188"/>
      <c r="Q56" s="188"/>
      <c r="R56" s="188"/>
      <c r="S56" s="189"/>
    </row>
    <row r="57" ht="15" customHeight="1">
      <c r="A57" s="101"/>
      <c r="B57" t="s" s="125">
        <v>115</v>
      </c>
      <c r="C57" s="126"/>
      <c r="D57" s="126"/>
      <c r="E57" s="126"/>
      <c r="F57" s="126"/>
      <c r="G57" s="142">
        <f>G51</f>
        <v>715305773.123771</v>
      </c>
      <c r="H57" s="99">
        <f>G57/$G$60</f>
        <v>0.97280043115256</v>
      </c>
      <c r="I57" s="107"/>
      <c r="J57" s="200"/>
      <c r="K57" s="188"/>
      <c r="L57" s="188"/>
      <c r="M57" s="188"/>
      <c r="N57" s="188"/>
      <c r="O57" s="188"/>
      <c r="P57" s="188"/>
      <c r="Q57" s="188"/>
      <c r="R57" s="188"/>
      <c r="S57" s="189"/>
    </row>
    <row r="58" ht="14" customHeight="1">
      <c r="A58" s="101"/>
      <c r="B58" s="126"/>
      <c r="C58" s="126"/>
      <c r="D58" s="126"/>
      <c r="E58" s="126"/>
      <c r="F58" s="126"/>
      <c r="G58" s="110"/>
      <c r="H58" s="99"/>
      <c r="I58" s="107"/>
      <c r="J58" s="205"/>
      <c r="K58" s="206"/>
      <c r="L58" s="188"/>
      <c r="M58" s="188"/>
      <c r="N58" s="188"/>
      <c r="O58" s="188"/>
      <c r="P58" s="188"/>
      <c r="Q58" s="188"/>
      <c r="R58" s="188"/>
      <c r="S58" s="189"/>
    </row>
    <row r="59" ht="13" customHeight="1">
      <c r="A59" s="101"/>
      <c r="B59" t="s" s="125">
        <v>104</v>
      </c>
      <c r="C59" s="126"/>
      <c r="D59" s="126"/>
      <c r="E59" s="126"/>
      <c r="F59" s="126"/>
      <c r="G59" s="141">
        <f>G55</f>
        <v>20000000</v>
      </c>
      <c r="H59" s="143">
        <f>G59/$G$60</f>
        <v>0.0271995688474399</v>
      </c>
      <c r="I59" s="107"/>
      <c r="J59" s="205"/>
      <c r="K59" s="206"/>
      <c r="L59" s="188"/>
      <c r="M59" s="188"/>
      <c r="N59" s="188"/>
      <c r="O59" s="188"/>
      <c r="P59" s="188"/>
      <c r="Q59" s="188"/>
      <c r="R59" s="188"/>
      <c r="S59" s="189"/>
    </row>
    <row r="60" ht="13" customHeight="1">
      <c r="A60" t="s" s="144">
        <v>105</v>
      </c>
      <c r="B60" t="s" s="139">
        <v>106</v>
      </c>
      <c r="C60" s="84"/>
      <c r="D60" s="84"/>
      <c r="E60" s="86"/>
      <c r="F60" s="93"/>
      <c r="G60" s="145">
        <f>SUM(G57:G59)</f>
        <v>735305773.123771</v>
      </c>
      <c r="H60" s="146">
        <v>0.999989182396458</v>
      </c>
      <c r="I60" s="153"/>
      <c r="J60" s="200"/>
      <c r="K60" s="200"/>
      <c r="L60" s="188"/>
      <c r="M60" s="188"/>
      <c r="N60" s="188"/>
      <c r="O60" s="188"/>
      <c r="P60" s="188"/>
      <c r="Q60" s="188"/>
      <c r="R60" s="188"/>
      <c r="S60" s="189"/>
    </row>
    <row r="61" ht="13" customHeight="1">
      <c r="A61" s="149"/>
      <c r="B61" t="s" s="57">
        <v>107</v>
      </c>
      <c r="C61" s="84"/>
      <c r="D61" s="84"/>
      <c r="E61" s="86"/>
      <c r="F61" s="6"/>
      <c r="G61" s="150">
        <f>G60</f>
        <v>735305773.123771</v>
      </c>
      <c r="H61" s="147">
        <v>1</v>
      </c>
      <c r="I61" s="207">
        <f>G61/18.62</f>
        <v>39490105.9679791</v>
      </c>
      <c r="J61" s="188"/>
      <c r="K61" s="200"/>
      <c r="L61" s="188"/>
      <c r="M61" s="188"/>
      <c r="N61" s="188"/>
      <c r="O61" s="188"/>
      <c r="P61" s="188"/>
      <c r="Q61" s="188"/>
      <c r="R61" s="188"/>
      <c r="S61" s="189"/>
    </row>
    <row r="62" ht="13" customHeight="1">
      <c r="A62" s="149"/>
      <c r="B62" s="151"/>
      <c r="C62" s="84"/>
      <c r="D62" s="84"/>
      <c r="E62" s="86"/>
      <c r="F62" s="152">
        <v>0</v>
      </c>
      <c r="G62" s="153"/>
      <c r="H62" s="147"/>
      <c r="I62" s="200"/>
      <c r="J62" s="188"/>
      <c r="K62" s="188"/>
      <c r="L62" s="188"/>
      <c r="M62" s="188"/>
      <c r="N62" s="188"/>
      <c r="O62" s="188"/>
      <c r="P62" s="188"/>
      <c r="Q62" s="188"/>
      <c r="R62" s="188"/>
      <c r="S62" s="189"/>
    </row>
    <row r="63" ht="13" customHeight="1">
      <c r="A63" s="149"/>
      <c r="B63" t="s" s="208">
        <v>127</v>
      </c>
      <c r="C63" s="84"/>
      <c r="D63" s="84"/>
      <c r="E63" s="86"/>
      <c r="F63" s="152"/>
      <c r="G63" s="209"/>
      <c r="H63" s="147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9"/>
    </row>
    <row r="64" ht="13" customHeight="1">
      <c r="A64" s="149"/>
      <c r="B64" s="39"/>
      <c r="C64" s="84"/>
      <c r="D64" s="84"/>
      <c r="E64" s="86"/>
      <c r="F64" s="152"/>
      <c r="G64" s="209"/>
      <c r="H64" s="147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9"/>
    </row>
    <row r="65" ht="13" customHeight="1">
      <c r="A65" s="149"/>
      <c r="B65" s="151"/>
      <c r="C65" s="84"/>
      <c r="D65" s="84"/>
      <c r="E65" s="86"/>
      <c r="F65" s="6"/>
      <c r="G65" s="153"/>
      <c r="H65" s="147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9"/>
    </row>
    <row r="66" ht="13" customHeight="1">
      <c r="A66" s="149"/>
      <c r="B66" s="188"/>
      <c r="C66" s="84"/>
      <c r="D66" s="84"/>
      <c r="E66" s="84"/>
      <c r="F66" s="45"/>
      <c r="G66" s="210"/>
      <c r="H66" s="147"/>
      <c r="I66" s="188"/>
      <c r="J66" s="206"/>
      <c r="K66" s="206"/>
      <c r="L66" s="188"/>
      <c r="M66" s="188"/>
      <c r="N66" s="188"/>
      <c r="O66" s="188"/>
      <c r="P66" s="188"/>
      <c r="Q66" s="188"/>
      <c r="R66" s="188"/>
      <c r="S66" s="189"/>
    </row>
    <row r="67" ht="13" customHeight="1">
      <c r="A67" s="199"/>
      <c r="B67" s="188"/>
      <c r="C67" s="211"/>
      <c r="D67" s="212"/>
      <c r="E67" s="6"/>
      <c r="F67" s="6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9"/>
    </row>
    <row r="68" ht="12.75" customHeight="1">
      <c r="A68" s="199"/>
      <c r="B68" s="188"/>
      <c r="C68" s="188"/>
      <c r="D68" s="188"/>
      <c r="E68" s="6"/>
      <c r="F68" s="6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9"/>
    </row>
    <row r="69" ht="12.75" customHeight="1">
      <c r="A69" s="199"/>
      <c r="B69" s="188"/>
      <c r="C69" s="188"/>
      <c r="D69" s="188"/>
      <c r="E69" s="6"/>
      <c r="F69" s="6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9"/>
    </row>
    <row r="70" ht="12.75" customHeight="1">
      <c r="A70" s="199"/>
      <c r="B70" s="188"/>
      <c r="C70" s="188"/>
      <c r="D70" s="188"/>
      <c r="E70" s="213"/>
      <c r="F70" s="6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9"/>
    </row>
    <row r="71" ht="12.75" customHeight="1">
      <c r="A71" s="199"/>
      <c r="B71" s="188"/>
      <c r="C71" s="188"/>
      <c r="D71" s="188"/>
      <c r="E71" s="6"/>
      <c r="F71" s="6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9"/>
    </row>
    <row r="72" ht="12.75" customHeight="1">
      <c r="A72" s="199"/>
      <c r="B72" s="188"/>
      <c r="C72" s="188"/>
      <c r="D72" s="188"/>
      <c r="E72" s="6"/>
      <c r="F72" s="6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9"/>
    </row>
    <row r="73" ht="12.75" customHeight="1">
      <c r="A73" s="199"/>
      <c r="B73" s="188"/>
      <c r="C73" s="188"/>
      <c r="D73" s="188"/>
      <c r="E73" s="6"/>
      <c r="F73" s="6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9"/>
    </row>
    <row r="74" ht="12.75" customHeight="1">
      <c r="A74" s="199"/>
      <c r="B74" s="188"/>
      <c r="C74" s="188"/>
      <c r="D74" s="188"/>
      <c r="E74" s="6"/>
      <c r="F74" s="6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9"/>
    </row>
    <row r="75" ht="12.75" customHeight="1">
      <c r="A75" s="214"/>
      <c r="B75" s="215"/>
      <c r="C75" s="215"/>
      <c r="D75" s="215"/>
      <c r="E75" s="216"/>
      <c r="F75" s="20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7"/>
    </row>
  </sheetData>
  <mergeCells count="12">
    <mergeCell ref="C67:D67"/>
    <mergeCell ref="A20:H20"/>
    <mergeCell ref="A1:H2"/>
    <mergeCell ref="A5:E5"/>
    <mergeCell ref="A6:E6"/>
    <mergeCell ref="A13:D13"/>
    <mergeCell ref="A15:H15"/>
    <mergeCell ref="I42:J42"/>
    <mergeCell ref="B51:F51"/>
    <mergeCell ref="B57:F57"/>
    <mergeCell ref="B58:F58"/>
    <mergeCell ref="B59:F59"/>
  </mergeCells>
  <conditionalFormatting sqref="E70">
    <cfRule type="cellIs" dxfId="2" priority="1" operator="lessThan" stopIfTrue="1">
      <formula>0</formula>
    </cfRule>
  </conditionalFormatting>
  <pageMargins left="0.590551" right="0.23622" top="0.511811" bottom="0.590551" header="0.314961" footer="0.393701"/>
  <pageSetup firstPageNumber="1" fitToHeight="1" fitToWidth="1" scale="77" useFirstPageNumber="0" orientation="portrait" pageOrder="downThenOver"/>
  <headerFooter>
    <oddHeader>&amp;R&amp;"Arial,Regular"&amp;10&amp;K000000&amp;8&amp;P de 1</oddHeader>
    <oddFooter>&amp;C&amp;"Arial,Regular"&amp;8&amp;K000000JOSUE ALEXANDER BARRIOS GALINDO
ADMINISTRADOR UNICO
TRANSSHIPPING WORLD COMPANY, S.A.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Z99"/>
  <sheetViews>
    <sheetView workbookViewId="0" showGridLines="0" defaultGridColor="1"/>
  </sheetViews>
  <sheetFormatPr defaultColWidth="11.5" defaultRowHeight="12.75" customHeight="1" outlineLevelRow="0" outlineLevelCol="0"/>
  <cols>
    <col min="1" max="1" width="11.6719" style="224" customWidth="1"/>
    <col min="2" max="2" width="30.6719" style="224" customWidth="1"/>
    <col min="3" max="3" width="10.6719" style="224" customWidth="1"/>
    <col min="4" max="4" width="12.8516" style="224" customWidth="1"/>
    <col min="5" max="5" width="16.5" style="224" customWidth="1"/>
    <col min="6" max="6" width="16.3516" style="224" customWidth="1"/>
    <col min="7" max="7" width="20.3516" style="224" customWidth="1"/>
    <col min="8" max="15" width="7.85156" style="224" customWidth="1"/>
    <col min="16" max="16" width="16" style="224" customWidth="1"/>
    <col min="17" max="17" width="17.6719" style="224" customWidth="1"/>
    <col min="18" max="18" width="14.8516" style="224" customWidth="1"/>
    <col min="19" max="26" width="11.5" style="224" customWidth="1"/>
    <col min="27" max="16384" width="11.5" style="224" customWidth="1"/>
  </cols>
  <sheetData>
    <row r="1" ht="15" customHeight="1">
      <c r="A1" t="s" s="28">
        <v>15</v>
      </c>
      <c r="B1" s="29"/>
      <c r="C1" s="29"/>
      <c r="D1" s="29"/>
      <c r="E1" s="29"/>
      <c r="F1" s="29"/>
      <c r="G1" s="29"/>
      <c r="H1" s="30"/>
      <c r="I1" s="31"/>
      <c r="J1" s="32"/>
      <c r="K1" s="32"/>
      <c r="L1" s="32"/>
      <c r="M1" s="32"/>
      <c r="N1" s="32"/>
      <c r="O1" s="32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ht="15" customHeight="1">
      <c r="A2" s="33"/>
      <c r="B2" s="34"/>
      <c r="C2" s="34"/>
      <c r="D2" s="34"/>
      <c r="E2" s="34"/>
      <c r="F2" s="34"/>
      <c r="G2" s="34"/>
      <c r="H2" s="35"/>
      <c r="I2" s="33"/>
      <c r="J2" s="34"/>
      <c r="K2" s="34"/>
      <c r="L2" s="34"/>
      <c r="M2" s="34"/>
      <c r="N2" s="34"/>
      <c r="O2" s="34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9"/>
    </row>
    <row r="3" ht="12.75" customHeight="1">
      <c r="A3" s="36"/>
      <c r="B3" s="37">
        <v>0</v>
      </c>
      <c r="C3" s="38"/>
      <c r="D3" s="38"/>
      <c r="E3" s="38"/>
      <c r="F3" s="6"/>
      <c r="G3" s="39"/>
      <c r="H3" s="40"/>
      <c r="I3" s="41"/>
      <c r="J3" s="39"/>
      <c r="K3" s="39"/>
      <c r="L3" s="39"/>
      <c r="M3" s="39"/>
      <c r="N3" s="39"/>
      <c r="O3" s="39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9"/>
    </row>
    <row r="4" ht="12.75" customHeight="1">
      <c r="A4" s="42"/>
      <c r="B4" s="38"/>
      <c r="C4" s="38"/>
      <c r="D4" s="38"/>
      <c r="E4" s="38"/>
      <c r="F4" s="6"/>
      <c r="G4" s="39"/>
      <c r="H4" s="40"/>
      <c r="I4" s="41"/>
      <c r="J4" s="39"/>
      <c r="K4" s="39"/>
      <c r="L4" s="39"/>
      <c r="M4" s="39"/>
      <c r="N4" s="39"/>
      <c r="O4" s="39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9"/>
    </row>
    <row r="5" ht="12.75" customHeight="1">
      <c r="A5" t="s" s="43">
        <v>128</v>
      </c>
      <c r="B5" s="44"/>
      <c r="C5" s="44"/>
      <c r="D5" s="44"/>
      <c r="E5" s="45"/>
      <c r="F5" s="6"/>
      <c r="G5" s="39"/>
      <c r="H5" s="40"/>
      <c r="I5" s="41"/>
      <c r="J5" s="39"/>
      <c r="K5" s="39"/>
      <c r="L5" s="39"/>
      <c r="M5" s="39"/>
      <c r="N5" s="39"/>
      <c r="O5" s="39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9"/>
    </row>
    <row r="6" ht="12.75" customHeight="1">
      <c r="A6" t="s" s="43">
        <v>129</v>
      </c>
      <c r="B6" s="44"/>
      <c r="C6" s="44"/>
      <c r="D6" s="44"/>
      <c r="E6" s="45"/>
      <c r="F6" t="s" s="46">
        <v>18</v>
      </c>
      <c r="G6" t="s" s="47">
        <v>19</v>
      </c>
      <c r="H6" s="40"/>
      <c r="I6" s="41"/>
      <c r="J6" s="39"/>
      <c r="K6" s="39"/>
      <c r="L6" s="39"/>
      <c r="M6" s="39"/>
      <c r="N6" s="39"/>
      <c r="O6" s="39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9"/>
    </row>
    <row r="7" ht="12.75" customHeight="1">
      <c r="A7" t="s" s="43">
        <v>20</v>
      </c>
      <c r="B7" s="38"/>
      <c r="C7" s="38"/>
      <c r="D7" s="38"/>
      <c r="E7" s="38"/>
      <c r="F7" t="s" s="48">
        <v>21</v>
      </c>
      <c r="G7" s="49">
        <v>44908</v>
      </c>
      <c r="H7" s="50"/>
      <c r="I7" s="51"/>
      <c r="J7" s="52"/>
      <c r="K7" s="52"/>
      <c r="L7" s="52"/>
      <c r="M7" s="52"/>
      <c r="N7" s="52"/>
      <c r="O7" s="52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9"/>
    </row>
    <row r="8" ht="12.75" customHeight="1">
      <c r="A8" t="s" s="43">
        <v>22</v>
      </c>
      <c r="B8" s="38"/>
      <c r="C8" s="38"/>
      <c r="D8" s="38"/>
      <c r="E8" s="38"/>
      <c r="F8" s="6"/>
      <c r="G8" s="53"/>
      <c r="H8" s="54"/>
      <c r="I8" s="55"/>
      <c r="J8" s="53"/>
      <c r="K8" s="53"/>
      <c r="L8" s="53"/>
      <c r="M8" s="53"/>
      <c r="N8" s="53"/>
      <c r="O8" s="53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9"/>
    </row>
    <row r="9" ht="12.75" customHeight="1">
      <c r="A9" s="42"/>
      <c r="B9" s="38"/>
      <c r="C9" s="38"/>
      <c r="D9" s="38"/>
      <c r="E9" s="38"/>
      <c r="F9" t="s" s="48">
        <v>23</v>
      </c>
      <c r="G9" t="s" s="56">
        <v>24</v>
      </c>
      <c r="H9" s="50"/>
      <c r="I9" s="51"/>
      <c r="J9" s="52"/>
      <c r="K9" s="52"/>
      <c r="L9" s="52"/>
      <c r="M9" s="52"/>
      <c r="N9" s="52"/>
      <c r="O9" s="52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9"/>
    </row>
    <row r="10" ht="12.75" customHeight="1">
      <c r="A10" s="42"/>
      <c r="B10" s="38"/>
      <c r="C10" s="38"/>
      <c r="D10" s="38"/>
      <c r="E10" s="38"/>
      <c r="F10" t="s" s="48">
        <v>25</v>
      </c>
      <c r="G10" t="s" s="56">
        <v>26</v>
      </c>
      <c r="H10" s="50"/>
      <c r="I10" s="51"/>
      <c r="J10" s="52"/>
      <c r="K10" s="52"/>
      <c r="L10" s="52"/>
      <c r="M10" s="52"/>
      <c r="N10" s="52"/>
      <c r="O10" s="52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9"/>
    </row>
    <row r="11" ht="12.75" customHeight="1">
      <c r="A11" s="42"/>
      <c r="B11" s="38"/>
      <c r="C11" s="38"/>
      <c r="D11" s="38"/>
      <c r="E11" s="38"/>
      <c r="F11" s="6"/>
      <c r="G11" t="s" s="57">
        <v>27</v>
      </c>
      <c r="H11" s="40"/>
      <c r="I11" s="41"/>
      <c r="J11" s="39"/>
      <c r="K11" s="39"/>
      <c r="L11" s="39"/>
      <c r="M11" s="39"/>
      <c r="N11" s="39"/>
      <c r="O11" s="39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9"/>
    </row>
    <row r="12" ht="12.75" customHeight="1">
      <c r="A12" s="42"/>
      <c r="B12" s="38"/>
      <c r="C12" s="38"/>
      <c r="D12" s="38"/>
      <c r="E12" s="38"/>
      <c r="F12" s="6"/>
      <c r="G12" t="s" s="58">
        <v>28</v>
      </c>
      <c r="H12" s="40"/>
      <c r="I12" s="41"/>
      <c r="J12" s="39"/>
      <c r="K12" s="39"/>
      <c r="L12" s="39"/>
      <c r="M12" s="39"/>
      <c r="N12" s="39"/>
      <c r="O12" s="39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</row>
    <row r="13" ht="12.75" customHeight="1">
      <c r="A13" t="s" s="59">
        <v>29</v>
      </c>
      <c r="B13" s="60"/>
      <c r="C13" s="60"/>
      <c r="D13" s="60"/>
      <c r="E13" s="61"/>
      <c r="F13" s="62"/>
      <c r="G13" s="63"/>
      <c r="H13" s="64"/>
      <c r="I13" s="41"/>
      <c r="J13" s="39"/>
      <c r="K13" s="39"/>
      <c r="L13" s="39"/>
      <c r="M13" s="39"/>
      <c r="N13" s="39"/>
      <c r="O13" s="39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9"/>
    </row>
    <row r="14" ht="12.75" customHeight="1">
      <c r="A14" s="65"/>
      <c r="B14" s="66"/>
      <c r="C14" s="66"/>
      <c r="D14" s="66"/>
      <c r="E14" s="67"/>
      <c r="F14" s="190"/>
      <c r="G14" s="66"/>
      <c r="H14" s="191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9"/>
    </row>
    <row r="15" ht="12.75" customHeight="1">
      <c r="A15" t="s" s="68">
        <v>30</v>
      </c>
      <c r="B15" s="69"/>
      <c r="C15" s="69"/>
      <c r="D15" s="69"/>
      <c r="E15" s="70"/>
      <c r="F15" s="70"/>
      <c r="G15" s="69"/>
      <c r="H15" s="69"/>
      <c r="I15" s="69"/>
      <c r="J15" s="69"/>
      <c r="K15" s="69"/>
      <c r="L15" s="69"/>
      <c r="M15" s="69"/>
      <c r="N15" s="69"/>
      <c r="O15" s="69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9"/>
    </row>
    <row r="16" ht="12.75" customHeight="1">
      <c r="A16" s="71"/>
      <c r="B16" s="63"/>
      <c r="C16" s="63"/>
      <c r="D16" s="63"/>
      <c r="E16" s="61"/>
      <c r="F16" s="192"/>
      <c r="G16" s="63"/>
      <c r="H16" s="63"/>
      <c r="I16" s="39"/>
      <c r="J16" s="39"/>
      <c r="K16" s="39"/>
      <c r="L16" s="39"/>
      <c r="M16" s="39"/>
      <c r="N16" s="39"/>
      <c r="O16" s="39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9"/>
    </row>
    <row r="17" ht="12.75" customHeight="1">
      <c r="A17" t="s" s="72">
        <v>32</v>
      </c>
      <c r="B17" t="s" s="72">
        <v>33</v>
      </c>
      <c r="C17" t="s" s="72">
        <v>34</v>
      </c>
      <c r="D17" t="s" s="72">
        <v>35</v>
      </c>
      <c r="E17" t="s" s="72">
        <v>36</v>
      </c>
      <c r="F17" t="s" s="72">
        <v>37</v>
      </c>
      <c r="G17" t="s" s="72">
        <v>38</v>
      </c>
      <c r="H17" t="s" s="72">
        <v>39</v>
      </c>
      <c r="I17" s="73"/>
      <c r="J17" s="76"/>
      <c r="K17" s="76"/>
      <c r="L17" s="76"/>
      <c r="M17" s="76"/>
      <c r="N17" s="76"/>
      <c r="O17" s="76"/>
      <c r="P17" s="188"/>
      <c r="Q17" s="76"/>
      <c r="R17" s="76"/>
      <c r="S17" s="76"/>
      <c r="T17" s="188"/>
      <c r="U17" s="188"/>
      <c r="V17" s="188"/>
      <c r="W17" s="188"/>
      <c r="X17" s="188"/>
      <c r="Y17" s="188"/>
      <c r="Z17" s="189"/>
    </row>
    <row r="18" ht="14" customHeight="1">
      <c r="A18" t="s" s="77">
        <v>42</v>
      </c>
      <c r="B18" t="s" s="78">
        <v>130</v>
      </c>
      <c r="C18" s="79"/>
      <c r="D18" t="s" s="80">
        <v>44</v>
      </c>
      <c r="E18" s="81"/>
      <c r="F18" t="s" s="82">
        <v>45</v>
      </c>
      <c r="G18" s="66"/>
      <c r="H18" s="66"/>
      <c r="I18" s="39"/>
      <c r="J18" s="39"/>
      <c r="K18" s="39"/>
      <c r="L18" s="39"/>
      <c r="M18" s="39"/>
      <c r="N18" s="39"/>
      <c r="O18" s="39"/>
      <c r="P18" s="188"/>
      <c r="Q18" s="188"/>
      <c r="R18" s="178"/>
      <c r="S18" s="178"/>
      <c r="T18" s="188"/>
      <c r="U18" s="188"/>
      <c r="V18" s="188"/>
      <c r="W18" s="188"/>
      <c r="X18" s="188"/>
      <c r="Y18" s="188"/>
      <c r="Z18" s="189"/>
    </row>
    <row r="19" ht="13" customHeight="1">
      <c r="A19" s="83"/>
      <c r="B19" s="84"/>
      <c r="C19" s="39"/>
      <c r="D19" t="s" s="85">
        <v>46</v>
      </c>
      <c r="E19" s="86"/>
      <c r="F19" s="87">
        <v>1</v>
      </c>
      <c r="G19" s="88">
        <f>G85</f>
        <v>4003237759.62132</v>
      </c>
      <c r="H19" s="39"/>
      <c r="I19" s="39"/>
      <c r="J19" s="39"/>
      <c r="K19" s="39"/>
      <c r="L19" s="39"/>
      <c r="M19" s="39"/>
      <c r="N19" s="39"/>
      <c r="O19" s="39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9"/>
    </row>
    <row r="20" ht="13" customHeight="1">
      <c r="A20" t="s" s="89">
        <v>131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9"/>
    </row>
    <row r="21" ht="13" customHeight="1">
      <c r="A21" t="s" s="91">
        <v>132</v>
      </c>
      <c r="B21" s="84"/>
      <c r="C21" s="84"/>
      <c r="D21" s="39"/>
      <c r="E21" s="92"/>
      <c r="F21" s="93"/>
      <c r="G21" s="39"/>
      <c r="H21" s="39"/>
      <c r="I21" s="39"/>
      <c r="J21" s="39"/>
      <c r="K21" s="39"/>
      <c r="L21" s="39"/>
      <c r="M21" s="39"/>
      <c r="N21" s="39"/>
      <c r="O21" s="39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9"/>
    </row>
    <row r="22" ht="24" customHeight="1">
      <c r="A22" s="94">
        <v>1</v>
      </c>
      <c r="B22" t="s" s="95">
        <v>133</v>
      </c>
      <c r="C22" t="s" s="96">
        <v>50</v>
      </c>
      <c r="D22" s="97">
        <v>2040</v>
      </c>
      <c r="E22" t="s" s="96">
        <v>51</v>
      </c>
      <c r="F22" s="98">
        <f>25000*1.23</f>
        <v>30750</v>
      </c>
      <c r="G22" s="98">
        <f>D22*F22</f>
        <v>62730000</v>
      </c>
      <c r="H22" s="99">
        <f>G22/$G$84</f>
        <v>0.0156698162254379</v>
      </c>
      <c r="I22" s="225"/>
      <c r="J22" s="225"/>
      <c r="K22" s="225"/>
      <c r="L22" s="225"/>
      <c r="M22" s="225"/>
      <c r="N22" s="225"/>
      <c r="O22" s="225"/>
      <c r="P22" s="226"/>
      <c r="Q22" s="227"/>
      <c r="R22" s="228"/>
      <c r="S22" s="229"/>
      <c r="T22" s="188"/>
      <c r="U22" s="188"/>
      <c r="V22" s="188"/>
      <c r="W22" s="188"/>
      <c r="X22" s="188"/>
      <c r="Y22" s="188"/>
      <c r="Z22" s="189"/>
    </row>
    <row r="23" ht="13" customHeight="1">
      <c r="A23" s="94">
        <f>A22+1</f>
        <v>2</v>
      </c>
      <c r="B23" t="s" s="95">
        <v>58</v>
      </c>
      <c r="C23" t="s" s="96">
        <v>50</v>
      </c>
      <c r="D23" s="97">
        <v>2482.64</v>
      </c>
      <c r="E23" t="s" s="96">
        <v>51</v>
      </c>
      <c r="F23" s="98">
        <v>1016.21988</v>
      </c>
      <c r="G23" s="98">
        <f>D23*F23</f>
        <v>2522908.1228832</v>
      </c>
      <c r="H23" s="99">
        <f>G23/$G$84</f>
        <v>0.000630216908006446</v>
      </c>
      <c r="I23" s="225"/>
      <c r="J23" s="225"/>
      <c r="K23" s="225"/>
      <c r="L23" s="225"/>
      <c r="M23" s="225"/>
      <c r="N23" s="225"/>
      <c r="O23" s="225"/>
      <c r="P23" s="226"/>
      <c r="Q23" s="227"/>
      <c r="R23" s="228"/>
      <c r="S23" s="229"/>
      <c r="T23" s="188"/>
      <c r="U23" s="188"/>
      <c r="V23" s="188"/>
      <c r="W23" s="188"/>
      <c r="X23" s="188"/>
      <c r="Y23" s="188"/>
      <c r="Z23" s="189"/>
    </row>
    <row r="24" ht="24" customHeight="1">
      <c r="A24" s="94">
        <v>7</v>
      </c>
      <c r="B24" t="s" s="95">
        <v>59</v>
      </c>
      <c r="C24" t="s" s="96">
        <v>50</v>
      </c>
      <c r="D24" s="97">
        <f>11363.13+5696.54</f>
        <v>17059.67</v>
      </c>
      <c r="E24" t="s" s="96">
        <v>51</v>
      </c>
      <c r="F24" s="98">
        <v>1016.21988</v>
      </c>
      <c r="G24" s="98">
        <f>D24*F24</f>
        <v>17336375.8002396</v>
      </c>
      <c r="H24" s="99">
        <f>G24/$G$84</f>
        <v>0.00433058859883444</v>
      </c>
      <c r="I24" s="225"/>
      <c r="J24" s="225"/>
      <c r="K24" s="225"/>
      <c r="L24" s="225"/>
      <c r="M24" s="225"/>
      <c r="N24" s="225"/>
      <c r="O24" s="225"/>
      <c r="P24" s="226"/>
      <c r="Q24" s="227">
        <v>4.9</v>
      </c>
      <c r="R24" s="228">
        <v>11.27</v>
      </c>
      <c r="S24" s="229"/>
      <c r="T24" s="230">
        <v>320</v>
      </c>
      <c r="U24" s="188"/>
      <c r="V24" s="188"/>
      <c r="W24" s="188"/>
      <c r="X24" s="188"/>
      <c r="Y24" s="188"/>
      <c r="Z24" s="189"/>
    </row>
    <row r="25" ht="15" customHeight="1">
      <c r="A25" s="94">
        <v>12</v>
      </c>
      <c r="B25" t="s" s="95">
        <v>63</v>
      </c>
      <c r="C25" t="s" s="96">
        <v>50</v>
      </c>
      <c r="D25" s="97">
        <f>1082.98+1005.46</f>
        <v>2088.44</v>
      </c>
      <c r="E25" t="s" s="96">
        <v>51</v>
      </c>
      <c r="F25" s="98">
        <v>954.954</v>
      </c>
      <c r="G25" s="98">
        <f>D25*F25</f>
        <v>1994364.13176</v>
      </c>
      <c r="H25" s="99">
        <f>G25/$G$84</f>
        <v>0.000498187779870625</v>
      </c>
      <c r="I25" s="225"/>
      <c r="J25" s="225"/>
      <c r="K25" s="225"/>
      <c r="L25" s="225"/>
      <c r="M25" s="225"/>
      <c r="N25" s="225"/>
      <c r="O25" s="225"/>
      <c r="P25" s="226"/>
      <c r="Q25" s="227">
        <v>338</v>
      </c>
      <c r="R25" s="228">
        <f>(Q25*R24)/Q24</f>
        <v>777.4</v>
      </c>
      <c r="S25" s="229"/>
      <c r="T25" s="230">
        <v>772.1900000000001</v>
      </c>
      <c r="U25" s="188"/>
      <c r="V25" s="188"/>
      <c r="W25" s="188"/>
      <c r="X25" s="188"/>
      <c r="Y25" s="188"/>
      <c r="Z25" s="189"/>
    </row>
    <row r="26" ht="13" customHeight="1">
      <c r="A26" s="94">
        <v>13</v>
      </c>
      <c r="B26" t="s" s="95">
        <v>64</v>
      </c>
      <c r="C26" t="s" s="96">
        <v>50</v>
      </c>
      <c r="D26" s="97">
        <f>26778.06+919.99</f>
        <v>27698.05</v>
      </c>
      <c r="E26" t="s" s="96">
        <v>51</v>
      </c>
      <c r="F26" s="98">
        <v>289.53</v>
      </c>
      <c r="G26" s="98">
        <f>D26*F26</f>
        <v>8019416.4165</v>
      </c>
      <c r="H26" s="99">
        <f>G26/$G$84</f>
        <v>0.00200323260771266</v>
      </c>
      <c r="I26" s="225"/>
      <c r="J26" s="225"/>
      <c r="K26" s="225"/>
      <c r="L26" s="225"/>
      <c r="M26" s="225"/>
      <c r="N26" s="225"/>
      <c r="O26" s="225"/>
      <c r="P26" s="226"/>
      <c r="Q26" s="227"/>
      <c r="R26" s="228"/>
      <c r="S26" s="229"/>
      <c r="T26" s="230">
        <v>500</v>
      </c>
      <c r="U26" s="188"/>
      <c r="V26" s="188"/>
      <c r="W26" s="188"/>
      <c r="X26" s="188"/>
      <c r="Y26" s="188"/>
      <c r="Z26" s="189"/>
    </row>
    <row r="27" ht="13" customHeight="1">
      <c r="A27" s="94">
        <v>14</v>
      </c>
      <c r="B27" t="s" s="95">
        <v>65</v>
      </c>
      <c r="C27" t="s" s="96">
        <v>50</v>
      </c>
      <c r="D27" s="97">
        <f>1400*3</f>
        <v>4200</v>
      </c>
      <c r="E27" t="s" s="96">
        <v>51</v>
      </c>
      <c r="F27" s="98">
        <v>878.446062</v>
      </c>
      <c r="G27" s="98">
        <f>D27*F27</f>
        <v>3689473.4604</v>
      </c>
      <c r="H27" s="99">
        <f>G27/$G$84</f>
        <v>0.000921622367178361</v>
      </c>
      <c r="I27" s="225"/>
      <c r="J27" s="225"/>
      <c r="K27" s="225"/>
      <c r="L27" s="225"/>
      <c r="M27" s="225"/>
      <c r="N27" s="225"/>
      <c r="O27" s="225"/>
      <c r="P27" s="226"/>
      <c r="Q27" s="227"/>
      <c r="R27" s="228"/>
      <c r="S27" s="229"/>
      <c r="T27" s="230">
        <v>115.14</v>
      </c>
      <c r="U27" s="188"/>
      <c r="V27" s="188"/>
      <c r="W27" s="188"/>
      <c r="X27" s="188"/>
      <c r="Y27" s="188"/>
      <c r="Z27" s="189"/>
    </row>
    <row r="28" ht="13" customHeight="1">
      <c r="A28" s="94">
        <v>15</v>
      </c>
      <c r="B28" t="s" s="95">
        <v>66</v>
      </c>
      <c r="C28" t="s" s="96">
        <v>50</v>
      </c>
      <c r="D28" s="97">
        <v>112776.2</v>
      </c>
      <c r="E28" t="s" s="96">
        <v>51</v>
      </c>
      <c r="F28" s="98">
        <v>42.1668</v>
      </c>
      <c r="G28" s="98">
        <f>D28*F28</f>
        <v>4755411.47016</v>
      </c>
      <c r="H28" s="99">
        <f>G28/$G$84</f>
        <v>0.00118789134088549</v>
      </c>
      <c r="I28" s="225"/>
      <c r="J28" s="225"/>
      <c r="K28" s="225"/>
      <c r="L28" s="225"/>
      <c r="M28" s="225"/>
      <c r="N28" s="225"/>
      <c r="O28" s="225"/>
      <c r="P28" s="226"/>
      <c r="Q28" s="227"/>
      <c r="R28" s="228"/>
      <c r="S28" s="229"/>
      <c r="T28" s="230">
        <v>315.91</v>
      </c>
      <c r="U28" s="188"/>
      <c r="V28" s="188"/>
      <c r="W28" s="188"/>
      <c r="X28" s="188"/>
      <c r="Y28" s="188"/>
      <c r="Z28" s="189"/>
    </row>
    <row r="29" ht="13" customHeight="1">
      <c r="A29" s="94">
        <v>16</v>
      </c>
      <c r="B29" t="s" s="95">
        <v>67</v>
      </c>
      <c r="C29" t="s" s="96">
        <v>50</v>
      </c>
      <c r="D29" s="97">
        <v>112776.2</v>
      </c>
      <c r="E29" t="s" s="96">
        <v>51</v>
      </c>
      <c r="F29" s="98">
        <v>187.059366</v>
      </c>
      <c r="G29" s="98">
        <f>D29*F29</f>
        <v>21095844.4718892</v>
      </c>
      <c r="H29" s="99">
        <f>G29/$G$84</f>
        <v>0.00526969561605173</v>
      </c>
      <c r="I29" s="225"/>
      <c r="J29" s="225"/>
      <c r="K29" s="225"/>
      <c r="L29" s="225"/>
      <c r="M29" s="225"/>
      <c r="N29" s="225"/>
      <c r="O29" s="225"/>
      <c r="P29" s="226"/>
      <c r="Q29" s="227">
        <v>11.3</v>
      </c>
      <c r="R29" s="228"/>
      <c r="S29" s="229"/>
      <c r="T29" s="230">
        <v>232.27</v>
      </c>
      <c r="U29" s="188"/>
      <c r="V29" s="188"/>
      <c r="W29" s="188"/>
      <c r="X29" s="188"/>
      <c r="Y29" s="188"/>
      <c r="Z29" s="189"/>
    </row>
    <row r="30" ht="13" customHeight="1">
      <c r="A30" s="94">
        <v>17</v>
      </c>
      <c r="B30" t="s" s="95">
        <v>68</v>
      </c>
      <c r="C30" t="s" s="96">
        <v>69</v>
      </c>
      <c r="D30" s="97">
        <v>3</v>
      </c>
      <c r="E30" t="s" s="96">
        <v>51</v>
      </c>
      <c r="F30" s="98">
        <v>1190000</v>
      </c>
      <c r="G30" s="98">
        <f>D30*F30</f>
        <v>3570000</v>
      </c>
      <c r="H30" s="99">
        <f>G30/$G$84</f>
        <v>0.000891778159171265</v>
      </c>
      <c r="I30" s="99"/>
      <c r="J30" s="99"/>
      <c r="K30" s="99"/>
      <c r="L30" s="99"/>
      <c r="M30" s="99"/>
      <c r="N30" s="99"/>
      <c r="O30" s="99"/>
      <c r="P30" s="107"/>
      <c r="Q30" s="103">
        <f>Q29/Q24</f>
        <v>2.30612244897959</v>
      </c>
      <c r="R30" s="108"/>
      <c r="S30" s="109"/>
      <c r="T30" s="230">
        <v>356.16</v>
      </c>
      <c r="U30" s="188"/>
      <c r="V30" s="188"/>
      <c r="W30" s="188"/>
      <c r="X30" s="188"/>
      <c r="Y30" s="188"/>
      <c r="Z30" s="189"/>
    </row>
    <row r="31" ht="13" customHeight="1">
      <c r="A31" s="94">
        <v>18</v>
      </c>
      <c r="B31" t="s" s="95">
        <v>70</v>
      </c>
      <c r="C31" t="s" s="96">
        <v>69</v>
      </c>
      <c r="D31" s="97">
        <v>3</v>
      </c>
      <c r="E31" t="s" s="96">
        <v>51</v>
      </c>
      <c r="F31" s="98">
        <v>348780</v>
      </c>
      <c r="G31" s="98">
        <f>D31*F31</f>
        <v>1046340</v>
      </c>
      <c r="H31" s="99">
        <f>G31/$G$84</f>
        <v>0.000261373433912398</v>
      </c>
      <c r="I31" s="99"/>
      <c r="J31" s="99"/>
      <c r="K31" s="99"/>
      <c r="L31" s="99"/>
      <c r="M31" s="99"/>
      <c r="N31" s="99"/>
      <c r="O31" s="99"/>
      <c r="P31" s="107"/>
      <c r="Q31" s="103"/>
      <c r="R31" s="108"/>
      <c r="S31" s="109"/>
      <c r="T31" s="230">
        <v>1245.99</v>
      </c>
      <c r="U31" s="188"/>
      <c r="V31" s="188"/>
      <c r="W31" s="188"/>
      <c r="X31" s="188"/>
      <c r="Y31" s="188"/>
      <c r="Z31" s="189"/>
    </row>
    <row r="32" ht="24" customHeight="1">
      <c r="A32" s="101">
        <v>20</v>
      </c>
      <c r="B32" t="s" s="95">
        <v>71</v>
      </c>
      <c r="C32" t="s" s="96">
        <v>72</v>
      </c>
      <c r="D32" s="97">
        <v>1035</v>
      </c>
      <c r="E32" t="s" s="96">
        <v>51</v>
      </c>
      <c r="F32" s="98">
        <v>853.49</v>
      </c>
      <c r="G32" s="98">
        <f>D32*F32</f>
        <v>883362.15</v>
      </c>
      <c r="H32" s="99">
        <f>G32/$G$84</f>
        <v>0.000220661924932373</v>
      </c>
      <c r="I32" s="99"/>
      <c r="J32" s="99"/>
      <c r="K32" s="99"/>
      <c r="L32" s="99"/>
      <c r="M32" s="99"/>
      <c r="N32" s="99"/>
      <c r="O32" s="99"/>
      <c r="P32" s="107"/>
      <c r="Q32" s="103"/>
      <c r="R32" s="108"/>
      <c r="S32" s="109"/>
      <c r="T32" s="230">
        <v>180</v>
      </c>
      <c r="U32" s="188"/>
      <c r="V32" s="188"/>
      <c r="W32" s="188"/>
      <c r="X32" s="188"/>
      <c r="Y32" s="188"/>
      <c r="Z32" s="189"/>
    </row>
    <row r="33" ht="24" customHeight="1">
      <c r="A33" s="94">
        <v>21</v>
      </c>
      <c r="B33" t="s" s="95">
        <v>73</v>
      </c>
      <c r="C33" t="s" s="96">
        <v>50</v>
      </c>
      <c r="D33" s="97">
        <v>100</v>
      </c>
      <c r="E33" t="s" s="96">
        <v>51</v>
      </c>
      <c r="F33" s="98">
        <v>8322.238079999999</v>
      </c>
      <c r="G33" s="98">
        <f>D33*F33</f>
        <v>832223.808</v>
      </c>
      <c r="H33" s="99">
        <f>G33/$G$84</f>
        <v>0.000207887679416454</v>
      </c>
      <c r="I33" s="99"/>
      <c r="J33" s="99"/>
      <c r="K33" s="99"/>
      <c r="L33" s="99"/>
      <c r="M33" s="99"/>
      <c r="N33" s="99"/>
      <c r="O33" s="99"/>
      <c r="P33" s="107"/>
      <c r="Q33" s="103"/>
      <c r="R33" s="108"/>
      <c r="S33" s="109"/>
      <c r="T33" s="230">
        <f>SUM(T24:T32)</f>
        <v>4037.66</v>
      </c>
      <c r="U33" s="188"/>
      <c r="V33" s="188"/>
      <c r="W33" s="188"/>
      <c r="X33" s="188"/>
      <c r="Y33" s="188"/>
      <c r="Z33" s="189"/>
    </row>
    <row r="34" ht="24" customHeight="1">
      <c r="A34" s="94">
        <v>22</v>
      </c>
      <c r="B34" t="s" s="95">
        <v>74</v>
      </c>
      <c r="C34" t="s" s="96">
        <v>72</v>
      </c>
      <c r="D34" s="97">
        <v>777.4</v>
      </c>
      <c r="E34" t="s" s="96">
        <v>51</v>
      </c>
      <c r="F34" s="98">
        <v>18540.43</v>
      </c>
      <c r="G34" s="98">
        <f>D34*F34</f>
        <v>14413330.282</v>
      </c>
      <c r="H34" s="99">
        <f>G34/$G$84</f>
        <v>0.00360041824829395</v>
      </c>
      <c r="I34" s="99"/>
      <c r="J34" s="99"/>
      <c r="K34" s="99"/>
      <c r="L34" s="99"/>
      <c r="M34" s="99"/>
      <c r="N34" s="99"/>
      <c r="O34" s="99"/>
      <c r="P34" s="107"/>
      <c r="Q34" t="s" s="231">
        <v>134</v>
      </c>
      <c r="R34" s="179">
        <v>1825</v>
      </c>
      <c r="S34" s="97">
        <v>1</v>
      </c>
      <c r="T34" s="232">
        <f>R34*S34</f>
        <v>1825</v>
      </c>
      <c r="U34" s="188"/>
      <c r="V34" s="188"/>
      <c r="W34" s="188"/>
      <c r="X34" s="188"/>
      <c r="Y34" s="188"/>
      <c r="Z34" s="189"/>
    </row>
    <row r="35" ht="13" customHeight="1">
      <c r="A35" s="101">
        <v>23</v>
      </c>
      <c r="B35" s="131"/>
      <c r="C35" s="178"/>
      <c r="D35" s="97"/>
      <c r="E35" s="179"/>
      <c r="F35" s="98"/>
      <c r="G35" s="98"/>
      <c r="H35" s="99"/>
      <c r="I35" s="99"/>
      <c r="J35" s="99"/>
      <c r="K35" s="99"/>
      <c r="L35" s="99"/>
      <c r="M35" s="99"/>
      <c r="N35" s="99"/>
      <c r="O35" s="99"/>
      <c r="P35" s="107"/>
      <c r="Q35" s="103"/>
      <c r="R35" s="179"/>
      <c r="S35" s="97"/>
      <c r="T35" s="232"/>
      <c r="U35" s="188"/>
      <c r="V35" s="188"/>
      <c r="W35" s="188"/>
      <c r="X35" s="188"/>
      <c r="Y35" s="188"/>
      <c r="Z35" s="189"/>
    </row>
    <row r="36" ht="24" customHeight="1">
      <c r="A36" s="101"/>
      <c r="B36" t="s" s="95">
        <v>75</v>
      </c>
      <c r="C36" t="s" s="96">
        <v>76</v>
      </c>
      <c r="D36" s="97">
        <v>2817.5</v>
      </c>
      <c r="E36" t="s" s="96">
        <v>51</v>
      </c>
      <c r="F36" s="98">
        <v>18765.32</v>
      </c>
      <c r="G36" s="98">
        <f>D36*F36</f>
        <v>52871289.1</v>
      </c>
      <c r="H36" s="99">
        <f>G36/$G$84</f>
        <v>0.0132071318954089</v>
      </c>
      <c r="I36" s="99"/>
      <c r="J36" s="99"/>
      <c r="K36" s="99"/>
      <c r="L36" s="99"/>
      <c r="M36" s="99"/>
      <c r="N36" s="99"/>
      <c r="O36" s="99"/>
      <c r="P36" s="107"/>
      <c r="Q36" t="s" s="231">
        <v>135</v>
      </c>
      <c r="R36" s="179">
        <v>900</v>
      </c>
      <c r="S36" s="97">
        <v>1</v>
      </c>
      <c r="T36" s="232">
        <f>R36*S36</f>
        <v>900</v>
      </c>
      <c r="U36" s="188"/>
      <c r="V36" s="188"/>
      <c r="W36" s="188"/>
      <c r="X36" s="188"/>
      <c r="Y36" s="188"/>
      <c r="Z36" s="189"/>
    </row>
    <row r="37" ht="24" customHeight="1">
      <c r="A37" s="101">
        <v>29</v>
      </c>
      <c r="B37" t="s" s="95">
        <v>136</v>
      </c>
      <c r="C37" t="s" s="96">
        <v>72</v>
      </c>
      <c r="D37" s="97">
        <f>D34*2</f>
        <v>1554.8</v>
      </c>
      <c r="E37" t="s" s="96">
        <v>51</v>
      </c>
      <c r="F37" s="98">
        <v>18540.43</v>
      </c>
      <c r="G37" s="98">
        <f>D37*F37</f>
        <v>28826660.564</v>
      </c>
      <c r="H37" s="99"/>
      <c r="I37" s="99"/>
      <c r="J37" s="99"/>
      <c r="K37" s="99"/>
      <c r="L37" s="99"/>
      <c r="M37" s="99"/>
      <c r="N37" s="99"/>
      <c r="O37" s="99"/>
      <c r="P37" s="107"/>
      <c r="Q37" t="s" s="231">
        <v>137</v>
      </c>
      <c r="R37" s="179">
        <v>483</v>
      </c>
      <c r="S37" s="97">
        <v>1</v>
      </c>
      <c r="T37" s="232">
        <f>R37*S37</f>
        <v>483</v>
      </c>
      <c r="U37" s="188"/>
      <c r="V37" s="188"/>
      <c r="W37" s="188"/>
      <c r="X37" s="188"/>
      <c r="Y37" s="188"/>
      <c r="Z37" s="189"/>
    </row>
    <row r="38" ht="13" customHeight="1">
      <c r="A38" s="101">
        <v>30</v>
      </c>
      <c r="B38" t="s" s="95">
        <v>78</v>
      </c>
      <c r="C38" t="s" s="96">
        <v>50</v>
      </c>
      <c r="D38" s="97">
        <v>1788</v>
      </c>
      <c r="E38" t="s" s="96">
        <v>51</v>
      </c>
      <c r="F38" s="98">
        <v>1896.91</v>
      </c>
      <c r="G38" s="98">
        <f>D38*F38</f>
        <v>3391675.08</v>
      </c>
      <c r="H38" s="99">
        <f>G38/$G$84</f>
        <v>0.000847232985812172</v>
      </c>
      <c r="I38" s="99"/>
      <c r="J38" s="99"/>
      <c r="K38" s="99"/>
      <c r="L38" s="99"/>
      <c r="M38" s="99"/>
      <c r="N38" s="99"/>
      <c r="O38" s="99"/>
      <c r="P38" s="107"/>
      <c r="Q38" t="s" s="231">
        <v>137</v>
      </c>
      <c r="R38" s="179">
        <v>210</v>
      </c>
      <c r="S38" s="97">
        <v>1</v>
      </c>
      <c r="T38" s="232">
        <f>R38*S38</f>
        <v>210</v>
      </c>
      <c r="U38" s="188"/>
      <c r="V38" s="188"/>
      <c r="W38" s="188"/>
      <c r="X38" s="188"/>
      <c r="Y38" s="188"/>
      <c r="Z38" s="189"/>
    </row>
    <row r="39" ht="24" customHeight="1">
      <c r="A39" s="101">
        <v>31</v>
      </c>
      <c r="B39" t="s" s="95">
        <v>79</v>
      </c>
      <c r="C39" t="s" s="96">
        <v>50</v>
      </c>
      <c r="D39" s="97">
        <f>D22</f>
        <v>2040</v>
      </c>
      <c r="E39" t="s" s="96">
        <v>51</v>
      </c>
      <c r="F39" s="98">
        <v>1081.163256546</v>
      </c>
      <c r="G39" s="98">
        <f>D39*F39</f>
        <v>2205573.04335384</v>
      </c>
      <c r="H39" s="99">
        <f>G39/$G$84</f>
        <v>0.000550947302106401</v>
      </c>
      <c r="I39" s="99"/>
      <c r="J39" s="99"/>
      <c r="K39" s="99"/>
      <c r="L39" s="99"/>
      <c r="M39" s="99"/>
      <c r="N39" s="99"/>
      <c r="O39" s="99"/>
      <c r="P39" s="107"/>
      <c r="Q39" t="s" s="231">
        <v>138</v>
      </c>
      <c r="R39" s="108">
        <v>1006</v>
      </c>
      <c r="S39" s="109">
        <v>1</v>
      </c>
      <c r="T39" s="188"/>
      <c r="U39" s="188"/>
      <c r="V39" s="188"/>
      <c r="W39" s="188"/>
      <c r="X39" s="188"/>
      <c r="Y39" s="188"/>
      <c r="Z39" s="189"/>
    </row>
    <row r="40" ht="13" customHeight="1">
      <c r="A40" s="101">
        <v>32</v>
      </c>
      <c r="B40" t="s" s="102">
        <v>80</v>
      </c>
      <c r="C40" t="s" s="96">
        <v>50</v>
      </c>
      <c r="D40" s="97">
        <f>D39</f>
        <v>2040</v>
      </c>
      <c r="E40" t="s" s="96">
        <v>51</v>
      </c>
      <c r="F40" s="103">
        <v>1729.8612104736</v>
      </c>
      <c r="G40" s="103">
        <f>D40*F40</f>
        <v>3528916.86936614</v>
      </c>
      <c r="H40" s="99">
        <f>G40/$G$84</f>
        <v>0.000881515683370241</v>
      </c>
      <c r="I40" s="99"/>
      <c r="J40" s="99"/>
      <c r="K40" s="99"/>
      <c r="L40" s="99"/>
      <c r="M40" s="99"/>
      <c r="N40" s="99"/>
      <c r="O40" s="99"/>
      <c r="P40" s="107"/>
      <c r="Q40" t="s" s="231">
        <v>139</v>
      </c>
      <c r="R40" s="108">
        <v>69.5384615384615</v>
      </c>
      <c r="S40" s="109">
        <v>1</v>
      </c>
      <c r="T40" s="188"/>
      <c r="U40" s="188"/>
      <c r="V40" s="188"/>
      <c r="W40" s="188"/>
      <c r="X40" s="188"/>
      <c r="Y40" s="188"/>
      <c r="Z40" s="189"/>
    </row>
    <row r="41" ht="13" customHeight="1">
      <c r="A41" s="101">
        <v>33</v>
      </c>
      <c r="B41" t="s" s="95">
        <v>81</v>
      </c>
      <c r="C41" t="s" s="96">
        <v>50</v>
      </c>
      <c r="D41" s="97">
        <f>D40</f>
        <v>2040</v>
      </c>
      <c r="E41" t="s" s="96">
        <v>51</v>
      </c>
      <c r="F41" s="98">
        <v>1265.3</v>
      </c>
      <c r="G41" s="103">
        <f>D41*F41</f>
        <v>2581212</v>
      </c>
      <c r="H41" s="99">
        <f>G41/$G$84</f>
        <v>0.000644781088456801</v>
      </c>
      <c r="I41" s="99"/>
      <c r="J41" s="99"/>
      <c r="K41" s="99"/>
      <c r="L41" s="99"/>
      <c r="M41" s="99"/>
      <c r="N41" s="99"/>
      <c r="O41" s="99"/>
      <c r="P41" s="107"/>
      <c r="Q41" t="s" s="231">
        <v>140</v>
      </c>
      <c r="R41" s="108">
        <v>608</v>
      </c>
      <c r="S41" s="109">
        <v>1</v>
      </c>
      <c r="T41" s="188"/>
      <c r="U41" s="188"/>
      <c r="V41" s="188"/>
      <c r="W41" s="188"/>
      <c r="X41" s="188"/>
      <c r="Y41" s="188"/>
      <c r="Z41" s="189"/>
    </row>
    <row r="42" ht="14" customHeight="1">
      <c r="A42" s="199"/>
      <c r="B42" t="s" s="95">
        <v>82</v>
      </c>
      <c r="C42" t="s" s="96">
        <v>50</v>
      </c>
      <c r="D42" s="97">
        <f>D41</f>
        <v>2040</v>
      </c>
      <c r="E42" t="s" s="96">
        <v>51</v>
      </c>
      <c r="F42" s="98">
        <v>1470.95</v>
      </c>
      <c r="G42" s="104">
        <f>D42*F42</f>
        <v>3000738</v>
      </c>
      <c r="H42" s="99">
        <f>G42/$G$84</f>
        <v>0.000749577761847413</v>
      </c>
      <c r="I42" s="99"/>
      <c r="J42" s="99"/>
      <c r="K42" s="99"/>
      <c r="L42" s="99"/>
      <c r="M42" s="99"/>
      <c r="N42" s="99"/>
      <c r="O42" s="99"/>
      <c r="P42" s="107"/>
      <c r="Q42" s="103"/>
      <c r="R42" s="108"/>
      <c r="S42" s="109"/>
      <c r="T42" s="206">
        <f>SUM(T34:T41)</f>
        <v>3418</v>
      </c>
      <c r="U42" s="188"/>
      <c r="V42" s="188"/>
      <c r="W42" s="188"/>
      <c r="X42" s="188"/>
      <c r="Y42" s="188"/>
      <c r="Z42" s="189"/>
    </row>
    <row r="43" ht="14" customHeight="1">
      <c r="A43" s="101">
        <v>33</v>
      </c>
      <c r="B43" s="90"/>
      <c r="C43" s="106"/>
      <c r="D43" s="107"/>
      <c r="E43" s="108"/>
      <c r="F43" s="109"/>
      <c r="G43" s="110">
        <f>SUM(G22:G42)</f>
        <v>239295114.770552</v>
      </c>
      <c r="H43" s="99">
        <f>G43/$G$84</f>
        <v>0.059775394103294</v>
      </c>
      <c r="I43" s="99"/>
      <c r="J43" s="99"/>
      <c r="K43" s="99"/>
      <c r="L43" s="99"/>
      <c r="M43" s="99"/>
      <c r="N43" s="99"/>
      <c r="O43" s="99"/>
      <c r="P43" s="107"/>
      <c r="Q43" s="200"/>
      <c r="R43" s="108"/>
      <c r="S43" s="109"/>
      <c r="T43" s="188"/>
      <c r="U43" s="188"/>
      <c r="V43" s="188"/>
      <c r="W43" s="188"/>
      <c r="X43" s="188"/>
      <c r="Y43" s="188"/>
      <c r="Z43" s="189"/>
    </row>
    <row r="44" ht="13" customHeight="1">
      <c r="A44" s="101"/>
      <c r="B44" s="90"/>
      <c r="C44" s="106"/>
      <c r="D44" s="107"/>
      <c r="E44" s="108"/>
      <c r="F44" s="109"/>
      <c r="G44" s="148"/>
      <c r="H44" s="99"/>
      <c r="I44" s="99"/>
      <c r="J44" s="99"/>
      <c r="K44" s="99"/>
      <c r="L44" s="99"/>
      <c r="M44" s="99"/>
      <c r="N44" s="99"/>
      <c r="O44" s="99"/>
      <c r="P44" s="107"/>
      <c r="Q44" s="200"/>
      <c r="R44" s="108"/>
      <c r="S44" s="109"/>
      <c r="T44" s="188"/>
      <c r="U44" s="188"/>
      <c r="V44" s="188"/>
      <c r="W44" s="188"/>
      <c r="X44" s="188"/>
      <c r="Y44" s="188"/>
      <c r="Z44" s="189"/>
    </row>
    <row r="45" ht="24" customHeight="1">
      <c r="A45" s="101">
        <v>34</v>
      </c>
      <c r="B45" t="s" s="102">
        <v>83</v>
      </c>
      <c r="C45" t="s" s="113">
        <v>69</v>
      </c>
      <c r="D45" s="114">
        <v>0.68</v>
      </c>
      <c r="E45" t="s" s="113">
        <v>51</v>
      </c>
      <c r="F45" s="103">
        <v>42532568.5448266</v>
      </c>
      <c r="G45" s="103">
        <f>D45*F45</f>
        <v>28922146.6104821</v>
      </c>
      <c r="H45" s="99">
        <f>G45/$G$84</f>
        <v>0.00722468870128212</v>
      </c>
      <c r="I45" s="99"/>
      <c r="J45" s="99"/>
      <c r="K45" s="99"/>
      <c r="L45" s="99"/>
      <c r="M45" s="99"/>
      <c r="N45" s="99"/>
      <c r="O45" s="99"/>
      <c r="P45" s="109"/>
      <c r="Q45" s="103"/>
      <c r="R45" s="108">
        <v>10775.48</v>
      </c>
      <c r="S45" s="109"/>
      <c r="T45" s="206">
        <f>SUM(T34:T43)</f>
        <v>6836</v>
      </c>
      <c r="U45" s="188"/>
      <c r="V45" s="188"/>
      <c r="W45" s="188"/>
      <c r="X45" s="188"/>
      <c r="Y45" s="188"/>
      <c r="Z45" s="189"/>
    </row>
    <row r="46" ht="24" customHeight="1">
      <c r="A46" s="116">
        <v>35</v>
      </c>
      <c r="B46" t="s" s="117">
        <v>84</v>
      </c>
      <c r="C46" t="s" s="118">
        <v>69</v>
      </c>
      <c r="D46" s="119">
        <v>0.06</v>
      </c>
      <c r="E46" t="s" s="118">
        <v>51</v>
      </c>
      <c r="F46" s="120">
        <f>G43</f>
        <v>239295114.770552</v>
      </c>
      <c r="G46" s="120">
        <f>D46*F46</f>
        <v>14357706.8862331</v>
      </c>
      <c r="H46" s="121">
        <f>G46/$G$84</f>
        <v>0.00358652364619763</v>
      </c>
      <c r="I46" s="99"/>
      <c r="J46" s="99"/>
      <c r="K46" s="99"/>
      <c r="L46" s="99"/>
      <c r="M46" s="99"/>
      <c r="N46" s="99"/>
      <c r="O46" s="99"/>
      <c r="P46" s="109"/>
      <c r="Q46" s="103"/>
      <c r="R46" s="108">
        <f>SUM(R34:R41)</f>
        <v>5101.538461538460</v>
      </c>
      <c r="S46" s="109"/>
      <c r="T46" s="188"/>
      <c r="U46" s="188"/>
      <c r="V46" s="188"/>
      <c r="W46" s="188"/>
      <c r="X46" s="188"/>
      <c r="Y46" s="188"/>
      <c r="Z46" s="189"/>
    </row>
    <row r="47" ht="24" customHeight="1">
      <c r="A47" s="116">
        <v>36</v>
      </c>
      <c r="B47" t="s" s="117">
        <v>85</v>
      </c>
      <c r="C47" t="s" s="118">
        <v>69</v>
      </c>
      <c r="D47" s="119">
        <v>0.07000000000000001</v>
      </c>
      <c r="E47" t="s" s="118">
        <v>51</v>
      </c>
      <c r="F47" s="120">
        <f>G43</f>
        <v>239295114.770552</v>
      </c>
      <c r="G47" s="120">
        <f>D47*F47</f>
        <v>16750658.0339386</v>
      </c>
      <c r="H47" s="121">
        <f>G47/$G$84</f>
        <v>0.00418427758723057</v>
      </c>
      <c r="I47" s="99"/>
      <c r="J47" s="99"/>
      <c r="K47" s="99"/>
      <c r="L47" s="99"/>
      <c r="M47" s="99"/>
      <c r="N47" s="99"/>
      <c r="O47" s="99"/>
      <c r="P47" s="109"/>
      <c r="Q47" t="s" s="231">
        <v>141</v>
      </c>
      <c r="R47" s="108">
        <f>R45-R46</f>
        <v>5673.941538461540</v>
      </c>
      <c r="S47" s="109"/>
      <c r="T47" s="188"/>
      <c r="U47" s="188"/>
      <c r="V47" s="188"/>
      <c r="W47" s="188"/>
      <c r="X47" s="188"/>
      <c r="Y47" s="188"/>
      <c r="Z47" s="189"/>
    </row>
    <row r="48" ht="24" customHeight="1">
      <c r="A48" s="101">
        <v>37</v>
      </c>
      <c r="B48" t="s" s="102">
        <v>86</v>
      </c>
      <c r="C48" t="s" s="113">
        <v>69</v>
      </c>
      <c r="D48" s="114">
        <v>0.06</v>
      </c>
      <c r="E48" t="s" s="113">
        <v>51</v>
      </c>
      <c r="F48" s="103">
        <f>G43</f>
        <v>239295114.770552</v>
      </c>
      <c r="G48" s="103">
        <f>D48*F48</f>
        <v>14357706.8862331</v>
      </c>
      <c r="H48" s="99">
        <f>G48/$G$84</f>
        <v>0.00358652364619763</v>
      </c>
      <c r="I48" s="99"/>
      <c r="J48" s="99"/>
      <c r="K48" s="99"/>
      <c r="L48" s="99"/>
      <c r="M48" s="99"/>
      <c r="N48" s="99"/>
      <c r="O48" s="99"/>
      <c r="P48" s="109"/>
      <c r="Q48" s="103"/>
      <c r="R48" s="203"/>
      <c r="S48" s="109"/>
      <c r="T48" s="188"/>
      <c r="U48" s="188"/>
      <c r="V48" s="188"/>
      <c r="W48" s="188"/>
      <c r="X48" s="188"/>
      <c r="Y48" s="188"/>
      <c r="Z48" s="189"/>
    </row>
    <row r="49" ht="49" customHeight="1">
      <c r="A49" s="101">
        <v>38</v>
      </c>
      <c r="B49" t="s" s="102">
        <v>142</v>
      </c>
      <c r="C49" t="s" s="113">
        <v>69</v>
      </c>
      <c r="D49" s="114">
        <v>0.6</v>
      </c>
      <c r="E49" t="s" s="113">
        <v>51</v>
      </c>
      <c r="F49" s="103">
        <f>G43</f>
        <v>239295114.770552</v>
      </c>
      <c r="G49" s="122">
        <f>D49*F49</f>
        <v>143577068.862331</v>
      </c>
      <c r="H49" s="99">
        <f>G49/$G$84</f>
        <v>0.0358652364619763</v>
      </c>
      <c r="I49" s="99"/>
      <c r="J49" s="99"/>
      <c r="K49" s="99"/>
      <c r="L49" s="99"/>
      <c r="M49" s="99"/>
      <c r="N49" s="99"/>
      <c r="O49" s="99"/>
      <c r="P49" s="99"/>
      <c r="Q49" t="s" s="127">
        <v>98</v>
      </c>
      <c r="R49" s="130">
        <v>24146</v>
      </c>
      <c r="S49" s="130">
        <v>289754</v>
      </c>
      <c r="T49" s="99"/>
      <c r="U49" s="97">
        <v>11787.58</v>
      </c>
      <c r="V49" s="97">
        <f>R49/U49</f>
        <v>2.04842724291161</v>
      </c>
      <c r="W49" s="97">
        <f>S49/U49</f>
        <v>24.5812965850497</v>
      </c>
      <c r="X49" s="188"/>
      <c r="Y49" s="188"/>
      <c r="Z49" s="189"/>
    </row>
    <row r="50" ht="23.25" customHeight="1">
      <c r="A50" s="124"/>
      <c r="B50" t="s" s="125">
        <v>88</v>
      </c>
      <c r="C50" s="126"/>
      <c r="D50" s="126"/>
      <c r="E50" s="126"/>
      <c r="F50" s="126"/>
      <c r="G50" s="110">
        <f>SUM(G43:G49)</f>
        <v>457260402.04977</v>
      </c>
      <c r="H50" s="99">
        <f>G50/$G$84</f>
        <v>0.114222644146178</v>
      </c>
      <c r="I50" s="99"/>
      <c r="J50" s="99"/>
      <c r="K50" s="99"/>
      <c r="L50" s="99"/>
      <c r="M50" s="99"/>
      <c r="N50" s="99"/>
      <c r="O50" s="99"/>
      <c r="P50" t="s" s="127">
        <v>99</v>
      </c>
      <c r="Q50" s="133"/>
      <c r="R50" s="130">
        <v>5723</v>
      </c>
      <c r="S50" s="130">
        <v>68678</v>
      </c>
      <c r="T50" s="99"/>
      <c r="U50" s="97">
        <v>1896</v>
      </c>
      <c r="V50" s="97">
        <f>R50/U50</f>
        <v>3.01845991561181</v>
      </c>
      <c r="W50" s="97">
        <f>S50/U50</f>
        <v>36.2225738396624</v>
      </c>
      <c r="X50" s="196">
        <v>1788</v>
      </c>
      <c r="Y50" s="197">
        <f>V49*X50</f>
        <v>3662.587910325960</v>
      </c>
      <c r="Z50" s="198">
        <f>X50*W49</f>
        <v>43951.3582940689</v>
      </c>
    </row>
    <row r="51" ht="23.25" customHeight="1">
      <c r="A51" t="s" s="233">
        <v>143</v>
      </c>
      <c r="B51" s="126"/>
      <c r="C51" s="126"/>
      <c r="D51" s="126"/>
      <c r="E51" s="126"/>
      <c r="F51" s="126"/>
      <c r="G51" s="148"/>
      <c r="H51" s="99"/>
      <c r="I51" s="99"/>
      <c r="J51" s="99"/>
      <c r="K51" s="99"/>
      <c r="L51" s="99"/>
      <c r="M51" s="99"/>
      <c r="N51" s="99"/>
      <c r="O51" s="99"/>
      <c r="P51" s="133"/>
      <c r="Q51" s="133"/>
      <c r="R51" s="178"/>
      <c r="S51" s="178"/>
      <c r="T51" s="99"/>
      <c r="U51" s="97"/>
      <c r="V51" s="178"/>
      <c r="W51" s="178"/>
      <c r="X51" s="234"/>
      <c r="Y51" s="197"/>
      <c r="Z51" s="198"/>
    </row>
    <row r="52" ht="23.25" customHeight="1">
      <c r="A52" s="94">
        <v>1</v>
      </c>
      <c r="B52" t="s" s="235">
        <v>144</v>
      </c>
      <c r="C52" t="s" s="236">
        <v>145</v>
      </c>
      <c r="D52" s="237">
        <v>2</v>
      </c>
      <c r="E52" t="s" s="113">
        <v>51</v>
      </c>
      <c r="F52" s="238">
        <f t="shared" si="86" ref="F52:F55">130221000/2</f>
        <v>65110500</v>
      </c>
      <c r="G52" s="103">
        <f>D52*F52</f>
        <v>130221000</v>
      </c>
      <c r="H52" s="99">
        <f>G52/$G$84</f>
        <v>0.0325289197942413</v>
      </c>
      <c r="I52" s="99"/>
      <c r="J52" s="99"/>
      <c r="K52" s="99"/>
      <c r="L52" s="99"/>
      <c r="M52" s="99"/>
      <c r="N52" s="99"/>
      <c r="O52" s="99"/>
      <c r="P52" s="133"/>
      <c r="Q52" s="133"/>
      <c r="R52" s="178"/>
      <c r="S52" s="178"/>
      <c r="T52" s="99"/>
      <c r="U52" s="97"/>
      <c r="V52" s="178"/>
      <c r="W52" s="178"/>
      <c r="X52" s="234"/>
      <c r="Y52" s="197"/>
      <c r="Z52" s="198"/>
    </row>
    <row r="53" ht="23.25" customHeight="1">
      <c r="A53" s="94">
        <v>2</v>
      </c>
      <c r="B53" t="s" s="235">
        <v>146</v>
      </c>
      <c r="C53" t="s" s="236">
        <v>145</v>
      </c>
      <c r="D53" s="237">
        <v>2</v>
      </c>
      <c r="E53" t="s" s="113">
        <v>51</v>
      </c>
      <c r="F53" s="238">
        <f t="shared" si="86"/>
        <v>65110500</v>
      </c>
      <c r="G53" s="103">
        <f>D53*F53</f>
        <v>130221000</v>
      </c>
      <c r="H53" s="99">
        <f>G53/$G$84</f>
        <v>0.0325289197942413</v>
      </c>
      <c r="I53" s="99"/>
      <c r="J53" s="99"/>
      <c r="K53" s="99"/>
      <c r="L53" s="99"/>
      <c r="M53" s="99"/>
      <c r="N53" s="99"/>
      <c r="O53" s="99"/>
      <c r="P53" s="133"/>
      <c r="Q53" s="133"/>
      <c r="R53" s="178"/>
      <c r="S53" s="178"/>
      <c r="T53" s="99"/>
      <c r="U53" s="97"/>
      <c r="V53" s="178"/>
      <c r="W53" s="178"/>
      <c r="X53" s="234"/>
      <c r="Y53" s="197"/>
      <c r="Z53" s="198"/>
    </row>
    <row r="54" ht="23.25" customHeight="1">
      <c r="A54" s="94">
        <v>3</v>
      </c>
      <c r="B54" t="s" s="235">
        <v>147</v>
      </c>
      <c r="C54" t="s" s="236">
        <v>145</v>
      </c>
      <c r="D54" s="237">
        <v>2</v>
      </c>
      <c r="E54" t="s" s="113">
        <v>51</v>
      </c>
      <c r="F54" s="238">
        <f t="shared" si="86"/>
        <v>65110500</v>
      </c>
      <c r="G54" s="103">
        <f>D54*F54</f>
        <v>130221000</v>
      </c>
      <c r="H54" s="99">
        <f>G54/$G$84</f>
        <v>0.0325289197942413</v>
      </c>
      <c r="I54" s="99"/>
      <c r="J54" s="99"/>
      <c r="K54" s="99"/>
      <c r="L54" s="99"/>
      <c r="M54" s="99"/>
      <c r="N54" s="99"/>
      <c r="O54" s="99"/>
      <c r="P54" s="133"/>
      <c r="Q54" s="133"/>
      <c r="R54" s="178"/>
      <c r="S54" s="178"/>
      <c r="T54" s="99"/>
      <c r="U54" s="97"/>
      <c r="V54" s="178"/>
      <c r="W54" s="178"/>
      <c r="X54" s="234"/>
      <c r="Y54" s="197"/>
      <c r="Z54" s="198"/>
    </row>
    <row r="55" ht="23.25" customHeight="1">
      <c r="A55" s="94">
        <v>4</v>
      </c>
      <c r="B55" t="s" s="235">
        <v>148</v>
      </c>
      <c r="C55" t="s" s="236">
        <v>145</v>
      </c>
      <c r="D55" s="237">
        <v>2</v>
      </c>
      <c r="E55" t="s" s="113">
        <v>51</v>
      </c>
      <c r="F55" s="238">
        <f t="shared" si="86"/>
        <v>65110500</v>
      </c>
      <c r="G55" s="103">
        <f>D55*F55</f>
        <v>130221000</v>
      </c>
      <c r="H55" s="99">
        <f>G55/$G$84</f>
        <v>0.0325289197942413</v>
      </c>
      <c r="I55" s="99"/>
      <c r="J55" s="99"/>
      <c r="K55" s="99"/>
      <c r="L55" s="99"/>
      <c r="M55" s="99"/>
      <c r="N55" s="99"/>
      <c r="O55" s="99"/>
      <c r="P55" s="133"/>
      <c r="Q55" s="133"/>
      <c r="R55" s="178"/>
      <c r="S55" s="178"/>
      <c r="T55" s="99"/>
      <c r="U55" s="97"/>
      <c r="V55" s="178"/>
      <c r="W55" s="178"/>
      <c r="X55" s="234"/>
      <c r="Y55" s="197"/>
      <c r="Z55" s="198"/>
    </row>
    <row r="56" ht="23.25" customHeight="1">
      <c r="A56" s="101">
        <v>5</v>
      </c>
      <c r="B56" t="s" s="235">
        <v>149</v>
      </c>
      <c r="C56" t="s" s="236">
        <v>150</v>
      </c>
      <c r="D56" s="237">
        <v>1</v>
      </c>
      <c r="E56" t="s" s="113">
        <v>51</v>
      </c>
      <c r="F56" s="238">
        <v>43407000</v>
      </c>
      <c r="G56" s="103">
        <f>D56*F56</f>
        <v>43407000</v>
      </c>
      <c r="H56" s="99">
        <f>G56/$G$84</f>
        <v>0.0108429732647471</v>
      </c>
      <c r="I56" s="99"/>
      <c r="J56" s="99"/>
      <c r="K56" s="99"/>
      <c r="L56" s="99"/>
      <c r="M56" s="99"/>
      <c r="N56" s="99"/>
      <c r="O56" s="99"/>
      <c r="P56" s="133"/>
      <c r="Q56" s="133"/>
      <c r="R56" s="178"/>
      <c r="S56" s="178"/>
      <c r="T56" s="99"/>
      <c r="U56" s="97"/>
      <c r="V56" s="178"/>
      <c r="W56" s="178"/>
      <c r="X56" s="234"/>
      <c r="Y56" s="197"/>
      <c r="Z56" s="198"/>
    </row>
    <row r="57" ht="23.25" customHeight="1">
      <c r="A57" s="101">
        <v>6</v>
      </c>
      <c r="B57" t="s" s="235">
        <v>151</v>
      </c>
      <c r="C57" t="s" s="236">
        <v>150</v>
      </c>
      <c r="D57" s="237">
        <v>1</v>
      </c>
      <c r="E57" t="s" s="113">
        <v>51</v>
      </c>
      <c r="F57" s="238">
        <v>105417000</v>
      </c>
      <c r="G57" s="103">
        <f>D57*F57</f>
        <v>105417000</v>
      </c>
      <c r="H57" s="99">
        <f>G57/$G$84</f>
        <v>0.0263329350715286</v>
      </c>
      <c r="I57" s="99"/>
      <c r="J57" s="99"/>
      <c r="K57" s="99"/>
      <c r="L57" s="99"/>
      <c r="M57" s="99"/>
      <c r="N57" s="99"/>
      <c r="O57" s="99"/>
      <c r="P57" s="133"/>
      <c r="Q57" s="133"/>
      <c r="R57" s="178"/>
      <c r="S57" s="178"/>
      <c r="T57" s="99"/>
      <c r="U57" s="97"/>
      <c r="V57" s="178"/>
      <c r="W57" s="178"/>
      <c r="X57" s="234"/>
      <c r="Y57" s="197"/>
      <c r="Z57" s="198"/>
    </row>
    <row r="58" ht="23.25" customHeight="1">
      <c r="A58" s="101">
        <v>7</v>
      </c>
      <c r="B58" t="s" s="235">
        <v>152</v>
      </c>
      <c r="C58" t="s" s="236">
        <v>153</v>
      </c>
      <c r="D58" s="237">
        <v>1</v>
      </c>
      <c r="E58" t="s" s="113">
        <v>51</v>
      </c>
      <c r="F58" s="238">
        <v>140142600</v>
      </c>
      <c r="G58" s="103">
        <f>D58*F58</f>
        <v>140142600</v>
      </c>
      <c r="H58" s="99">
        <f>G58/$G$84</f>
        <v>0.0350073136833263</v>
      </c>
      <c r="I58" s="99"/>
      <c r="J58" s="99"/>
      <c r="K58" s="99"/>
      <c r="L58" s="99"/>
      <c r="M58" s="99"/>
      <c r="N58" s="99"/>
      <c r="O58" s="99"/>
      <c r="P58" s="133"/>
      <c r="Q58" s="133"/>
      <c r="R58" s="178"/>
      <c r="S58" s="178"/>
      <c r="T58" s="99"/>
      <c r="U58" s="97"/>
      <c r="V58" s="178"/>
      <c r="W58" s="178"/>
      <c r="X58" s="234"/>
      <c r="Y58" s="197"/>
      <c r="Z58" s="198"/>
    </row>
    <row r="59" ht="23.25" customHeight="1">
      <c r="A59" s="101">
        <v>8</v>
      </c>
      <c r="B59" t="s" s="235">
        <v>154</v>
      </c>
      <c r="C59" t="s" s="236">
        <v>155</v>
      </c>
      <c r="D59" s="237">
        <v>1</v>
      </c>
      <c r="E59" t="s" s="113">
        <v>51</v>
      </c>
      <c r="F59" s="238">
        <v>142623000</v>
      </c>
      <c r="G59" s="103">
        <f>D59*F59</f>
        <v>142623000</v>
      </c>
      <c r="H59" s="99">
        <f>G59/$G$84</f>
        <v>0.0356269121555976</v>
      </c>
      <c r="I59" s="99"/>
      <c r="J59" s="99"/>
      <c r="K59" s="99"/>
      <c r="L59" s="99"/>
      <c r="M59" s="99"/>
      <c r="N59" s="99"/>
      <c r="O59" s="99"/>
      <c r="P59" s="133"/>
      <c r="Q59" s="133"/>
      <c r="R59" s="178"/>
      <c r="S59" s="178"/>
      <c r="T59" s="99"/>
      <c r="U59" s="97"/>
      <c r="V59" s="178"/>
      <c r="W59" s="178"/>
      <c r="X59" s="234"/>
      <c r="Y59" s="197"/>
      <c r="Z59" s="198"/>
    </row>
    <row r="60" ht="23.25" customHeight="1">
      <c r="A60" s="101">
        <v>9</v>
      </c>
      <c r="B60" t="s" s="235">
        <v>156</v>
      </c>
      <c r="C60" t="s" s="236">
        <v>155</v>
      </c>
      <c r="D60" s="237">
        <v>1</v>
      </c>
      <c r="E60" t="s" s="113">
        <v>51</v>
      </c>
      <c r="F60" s="238">
        <v>142623000</v>
      </c>
      <c r="G60" s="103">
        <f>D60*F60</f>
        <v>142623000</v>
      </c>
      <c r="H60" s="99">
        <f>G60/$G$84</f>
        <v>0.0356269121555976</v>
      </c>
      <c r="I60" s="99"/>
      <c r="J60" s="99"/>
      <c r="K60" s="99"/>
      <c r="L60" s="99"/>
      <c r="M60" s="99"/>
      <c r="N60" s="99"/>
      <c r="O60" s="99"/>
      <c r="P60" s="133"/>
      <c r="Q60" s="133"/>
      <c r="R60" s="178"/>
      <c r="S60" s="178"/>
      <c r="T60" s="99"/>
      <c r="U60" s="97"/>
      <c r="V60" s="178"/>
      <c r="W60" s="178"/>
      <c r="X60" s="234"/>
      <c r="Y60" s="197"/>
      <c r="Z60" s="198"/>
    </row>
    <row r="61" ht="23.25" customHeight="1">
      <c r="A61" s="101">
        <v>10</v>
      </c>
      <c r="B61" t="s" s="235">
        <v>157</v>
      </c>
      <c r="C61" t="s" s="236">
        <v>155</v>
      </c>
      <c r="D61" s="237">
        <v>1</v>
      </c>
      <c r="E61" t="s" s="113">
        <v>51</v>
      </c>
      <c r="F61" s="238">
        <v>142623000</v>
      </c>
      <c r="G61" s="103">
        <f>D61*F61</f>
        <v>142623000</v>
      </c>
      <c r="H61" s="99">
        <f>G61/$G$84</f>
        <v>0.0356269121555976</v>
      </c>
      <c r="I61" s="99"/>
      <c r="J61" s="99"/>
      <c r="K61" s="99"/>
      <c r="L61" s="99"/>
      <c r="M61" s="99"/>
      <c r="N61" s="99"/>
      <c r="O61" s="99"/>
      <c r="P61" s="133"/>
      <c r="Q61" s="133"/>
      <c r="R61" s="178"/>
      <c r="S61" s="178"/>
      <c r="T61" s="99"/>
      <c r="U61" s="97"/>
      <c r="V61" s="178"/>
      <c r="W61" s="178"/>
      <c r="X61" s="234"/>
      <c r="Y61" s="197"/>
      <c r="Z61" s="198"/>
    </row>
    <row r="62" ht="23.25" customHeight="1">
      <c r="A62" s="101">
        <v>11</v>
      </c>
      <c r="B62" t="s" s="235">
        <v>158</v>
      </c>
      <c r="C62" t="s" s="236">
        <v>155</v>
      </c>
      <c r="D62" s="237">
        <v>1</v>
      </c>
      <c r="E62" t="s" s="113">
        <v>51</v>
      </c>
      <c r="F62" s="238">
        <f t="shared" si="110" ref="F62:F64">14882400*2</f>
        <v>29764800</v>
      </c>
      <c r="G62" s="103">
        <f>D62*F62</f>
        <v>29764800</v>
      </c>
      <c r="H62" s="99">
        <f>G62/$G$84</f>
        <v>0.00743518166725515</v>
      </c>
      <c r="I62" s="99"/>
      <c r="J62" s="99"/>
      <c r="K62" s="99"/>
      <c r="L62" s="99"/>
      <c r="M62" s="99"/>
      <c r="N62" s="99"/>
      <c r="O62" s="99"/>
      <c r="P62" s="133"/>
      <c r="Q62" s="133"/>
      <c r="R62" s="178"/>
      <c r="S62" s="178"/>
      <c r="T62" s="99"/>
      <c r="U62" s="97"/>
      <c r="V62" s="178"/>
      <c r="W62" s="178"/>
      <c r="X62" s="234"/>
      <c r="Y62" s="197"/>
      <c r="Z62" s="198"/>
    </row>
    <row r="63" ht="23.25" customHeight="1">
      <c r="A63" s="101">
        <v>12</v>
      </c>
      <c r="B63" t="s" s="235">
        <v>159</v>
      </c>
      <c r="C63" t="s" s="236">
        <v>155</v>
      </c>
      <c r="D63" s="237">
        <v>1</v>
      </c>
      <c r="E63" t="s" s="113">
        <v>51</v>
      </c>
      <c r="F63" s="238">
        <f t="shared" si="110"/>
        <v>29764800</v>
      </c>
      <c r="G63" s="103">
        <f>D63*F63</f>
        <v>29764800</v>
      </c>
      <c r="H63" s="99">
        <f>G63/$G$84</f>
        <v>0.00743518166725515</v>
      </c>
      <c r="I63" s="99"/>
      <c r="J63" s="99"/>
      <c r="K63" s="99"/>
      <c r="L63" s="99"/>
      <c r="M63" s="99"/>
      <c r="N63" s="99"/>
      <c r="O63" s="99"/>
      <c r="P63" s="133"/>
      <c r="Q63" s="133"/>
      <c r="R63" s="178"/>
      <c r="S63" s="178"/>
      <c r="T63" s="99"/>
      <c r="U63" s="97"/>
      <c r="V63" s="178"/>
      <c r="W63" s="178"/>
      <c r="X63" s="234"/>
      <c r="Y63" s="197"/>
      <c r="Z63" s="198"/>
    </row>
    <row r="64" ht="23.25" customHeight="1">
      <c r="A64" s="101">
        <v>13</v>
      </c>
      <c r="B64" t="s" s="235">
        <v>160</v>
      </c>
      <c r="C64" t="s" s="236">
        <v>155</v>
      </c>
      <c r="D64" s="237">
        <v>1</v>
      </c>
      <c r="E64" t="s" s="113">
        <v>51</v>
      </c>
      <c r="F64" s="238">
        <f t="shared" si="110"/>
        <v>29764800</v>
      </c>
      <c r="G64" s="103">
        <f>D64*F64</f>
        <v>29764800</v>
      </c>
      <c r="H64" s="99">
        <f>G64/$G$84</f>
        <v>0.00743518166725515</v>
      </c>
      <c r="I64" s="99"/>
      <c r="J64" s="99"/>
      <c r="K64" s="99"/>
      <c r="L64" s="99"/>
      <c r="M64" s="99"/>
      <c r="N64" s="99"/>
      <c r="O64" s="99"/>
      <c r="P64" s="133"/>
      <c r="Q64" s="133"/>
      <c r="R64" s="178"/>
      <c r="S64" s="178"/>
      <c r="T64" s="99"/>
      <c r="U64" s="97"/>
      <c r="V64" s="178"/>
      <c r="W64" s="178"/>
      <c r="X64" s="234"/>
      <c r="Y64" s="197"/>
      <c r="Z64" s="198"/>
    </row>
    <row r="65" ht="23.25" customHeight="1">
      <c r="A65" s="101">
        <v>15</v>
      </c>
      <c r="B65" t="s" s="239">
        <v>161</v>
      </c>
      <c r="C65" t="s" s="240">
        <v>46</v>
      </c>
      <c r="D65" s="241">
        <v>1</v>
      </c>
      <c r="E65" t="s" s="96">
        <v>51</v>
      </c>
      <c r="F65" s="242">
        <v>18603000</v>
      </c>
      <c r="G65" s="103">
        <f>D65*F65</f>
        <v>18603000</v>
      </c>
      <c r="H65" s="99">
        <f>G65/$G$84</f>
        <v>0.00464698854203447</v>
      </c>
      <c r="I65" s="99"/>
      <c r="J65" s="99"/>
      <c r="K65" s="99"/>
      <c r="L65" s="99"/>
      <c r="M65" s="99"/>
      <c r="N65" s="99"/>
      <c r="O65" s="99"/>
      <c r="P65" s="133"/>
      <c r="Q65" s="133"/>
      <c r="R65" s="178"/>
      <c r="S65" s="178"/>
      <c r="T65" s="99"/>
      <c r="U65" s="97"/>
      <c r="V65" s="178"/>
      <c r="W65" s="178"/>
      <c r="X65" s="234"/>
      <c r="Y65" s="197"/>
      <c r="Z65" s="198"/>
    </row>
    <row r="66" ht="23.25" customHeight="1">
      <c r="A66" s="101">
        <v>16</v>
      </c>
      <c r="B66" t="s" s="239">
        <v>162</v>
      </c>
      <c r="C66" t="s" s="240">
        <v>46</v>
      </c>
      <c r="D66" s="241">
        <v>1</v>
      </c>
      <c r="E66" t="s" s="96">
        <v>51</v>
      </c>
      <c r="F66" s="242">
        <f>376400700+161226000</f>
        <v>537626700</v>
      </c>
      <c r="G66" s="103">
        <f>D66*F66</f>
        <v>537626700</v>
      </c>
      <c r="H66" s="99">
        <f>G66/$G$84</f>
        <v>0.134297968864796</v>
      </c>
      <c r="I66" s="99"/>
      <c r="J66" s="99"/>
      <c r="K66" s="99"/>
      <c r="L66" s="99"/>
      <c r="M66" s="99"/>
      <c r="N66" s="99"/>
      <c r="O66" s="99"/>
      <c r="P66" s="133"/>
      <c r="Q66" s="133"/>
      <c r="R66" s="178"/>
      <c r="S66" s="178"/>
      <c r="T66" s="99"/>
      <c r="U66" s="97"/>
      <c r="V66" s="178"/>
      <c r="W66" s="178"/>
      <c r="X66" s="234"/>
      <c r="Y66" s="197"/>
      <c r="Z66" s="198"/>
    </row>
    <row r="67" ht="23.25" customHeight="1">
      <c r="A67" s="101">
        <v>17</v>
      </c>
      <c r="B67" t="s" s="243">
        <v>163</v>
      </c>
      <c r="C67" t="s" s="240">
        <v>150</v>
      </c>
      <c r="D67" s="241">
        <v>1</v>
      </c>
      <c r="E67" t="s" s="96">
        <v>51</v>
      </c>
      <c r="F67" s="242">
        <v>93015000</v>
      </c>
      <c r="G67" s="103">
        <f>D67*F67</f>
        <v>93015000</v>
      </c>
      <c r="H67" s="99">
        <f>G67/$G$84</f>
        <v>0.0232349427101723</v>
      </c>
      <c r="I67" s="99"/>
      <c r="J67" s="99"/>
      <c r="K67" s="99"/>
      <c r="L67" s="99"/>
      <c r="M67" s="99"/>
      <c r="N67" s="99"/>
      <c r="O67" s="99"/>
      <c r="P67" s="133"/>
      <c r="Q67" s="133"/>
      <c r="R67" s="178"/>
      <c r="S67" s="178"/>
      <c r="T67" s="99"/>
      <c r="U67" s="97"/>
      <c r="V67" s="178"/>
      <c r="W67" s="178"/>
      <c r="X67" s="234"/>
      <c r="Y67" s="197"/>
      <c r="Z67" s="198"/>
    </row>
    <row r="68" ht="23.25" customHeight="1">
      <c r="A68" s="101">
        <v>18</v>
      </c>
      <c r="B68" t="s" s="243">
        <v>164</v>
      </c>
      <c r="C68" t="s" s="240">
        <v>165</v>
      </c>
      <c r="D68" s="241">
        <v>1</v>
      </c>
      <c r="E68" t="s" s="96">
        <v>51</v>
      </c>
      <c r="F68" s="242">
        <v>322452000</v>
      </c>
      <c r="G68" s="103">
        <f>D68*F68</f>
        <v>322452000</v>
      </c>
      <c r="H68" s="99">
        <f>G68/$G$84</f>
        <v>0.0805478013952641</v>
      </c>
      <c r="I68" s="99"/>
      <c r="J68" s="99"/>
      <c r="K68" s="99"/>
      <c r="L68" s="99"/>
      <c r="M68" s="99"/>
      <c r="N68" s="99"/>
      <c r="O68" s="99"/>
      <c r="P68" s="133"/>
      <c r="Q68" s="133"/>
      <c r="R68" s="178"/>
      <c r="S68" s="178"/>
      <c r="T68" s="99"/>
      <c r="U68" s="97"/>
      <c r="V68" s="178"/>
      <c r="W68" s="178"/>
      <c r="X68" s="234"/>
      <c r="Y68" s="197"/>
      <c r="Z68" s="198"/>
    </row>
    <row r="69" ht="23.25" customHeight="1">
      <c r="A69" s="101">
        <v>19</v>
      </c>
      <c r="B69" t="s" s="243">
        <v>166</v>
      </c>
      <c r="C69" t="s" s="240">
        <v>167</v>
      </c>
      <c r="D69" s="241">
        <v>20</v>
      </c>
      <c r="E69" t="s" s="96">
        <v>51</v>
      </c>
      <c r="F69" s="242">
        <v>2250000</v>
      </c>
      <c r="G69" s="122">
        <f>D69*F69</f>
        <v>45000000</v>
      </c>
      <c r="H69" s="99">
        <f>G69/$G$84</f>
        <v>0.0112409011660243</v>
      </c>
      <c r="I69" s="99"/>
      <c r="J69" s="99"/>
      <c r="K69" s="99"/>
      <c r="L69" s="99"/>
      <c r="M69" s="99"/>
      <c r="N69" s="99"/>
      <c r="O69" s="99"/>
      <c r="P69" s="133"/>
      <c r="Q69" s="133"/>
      <c r="R69" s="178"/>
      <c r="S69" s="178"/>
      <c r="T69" s="99"/>
      <c r="U69" s="97"/>
      <c r="V69" s="178"/>
      <c r="W69" s="178"/>
      <c r="X69" s="234"/>
      <c r="Y69" s="197"/>
      <c r="Z69" s="198"/>
    </row>
    <row r="70" ht="23.25" customHeight="1">
      <c r="A70" s="124"/>
      <c r="B70" s="126"/>
      <c r="C70" s="126"/>
      <c r="D70" s="126"/>
      <c r="E70" s="126"/>
      <c r="F70" s="126"/>
      <c r="G70" s="110">
        <f>SUM(G52:G69)</f>
        <v>2343710700</v>
      </c>
      <c r="H70" s="99">
        <f>G70/$G$84</f>
        <v>0.585453785343417</v>
      </c>
      <c r="I70" s="99"/>
      <c r="J70" s="99"/>
      <c r="K70" s="99"/>
      <c r="L70" s="99"/>
      <c r="M70" s="99"/>
      <c r="N70" s="99"/>
      <c r="O70" s="99"/>
      <c r="P70" s="133"/>
      <c r="Q70" s="133"/>
      <c r="R70" s="178"/>
      <c r="S70" s="178"/>
      <c r="T70" s="99"/>
      <c r="U70" s="97"/>
      <c r="V70" s="178"/>
      <c r="W70" s="178"/>
      <c r="X70" s="234"/>
      <c r="Y70" s="197"/>
      <c r="Z70" s="198"/>
    </row>
    <row r="71" ht="23.25" customHeight="1">
      <c r="A71" s="101">
        <v>34</v>
      </c>
      <c r="B71" t="s" s="102">
        <v>83</v>
      </c>
      <c r="C71" t="s" s="113">
        <v>69</v>
      </c>
      <c r="D71" s="114">
        <v>0.68</v>
      </c>
      <c r="E71" t="s" s="113">
        <v>51</v>
      </c>
      <c r="F71" s="103">
        <v>42532568.5448266</v>
      </c>
      <c r="G71" s="103">
        <f>D71*F71</f>
        <v>28922146.6104821</v>
      </c>
      <c r="H71" s="99">
        <f>G71/$G$84</f>
        <v>0.00722468870128212</v>
      </c>
      <c r="I71" s="99"/>
      <c r="J71" s="99"/>
      <c r="K71" s="99"/>
      <c r="L71" s="99"/>
      <c r="M71" s="99"/>
      <c r="N71" s="99"/>
      <c r="O71" s="99"/>
      <c r="P71" s="133"/>
      <c r="Q71" s="133"/>
      <c r="R71" s="178"/>
      <c r="S71" s="178"/>
      <c r="T71" s="99"/>
      <c r="U71" s="97"/>
      <c r="V71" s="178"/>
      <c r="W71" s="178"/>
      <c r="X71" s="234"/>
      <c r="Y71" s="197"/>
      <c r="Z71" s="198"/>
    </row>
    <row r="72" ht="23.25" customHeight="1">
      <c r="A72" s="101">
        <v>35</v>
      </c>
      <c r="B72" t="s" s="102">
        <v>84</v>
      </c>
      <c r="C72" t="s" s="113">
        <v>69</v>
      </c>
      <c r="D72" s="114">
        <v>0.06</v>
      </c>
      <c r="E72" t="s" s="113">
        <v>51</v>
      </c>
      <c r="F72" s="103">
        <f>G70</f>
        <v>2343710700</v>
      </c>
      <c r="G72" s="103">
        <f>D72*F72</f>
        <v>140622642</v>
      </c>
      <c r="H72" s="99">
        <f>G72/$G$84</f>
        <v>0.035127227120605</v>
      </c>
      <c r="I72" s="99"/>
      <c r="J72" s="99"/>
      <c r="K72" s="99"/>
      <c r="L72" s="99"/>
      <c r="M72" s="99"/>
      <c r="N72" s="99"/>
      <c r="O72" s="99"/>
      <c r="P72" s="133"/>
      <c r="Q72" s="133"/>
      <c r="R72" s="178"/>
      <c r="S72" s="178"/>
      <c r="T72" s="99"/>
      <c r="U72" s="97"/>
      <c r="V72" s="178"/>
      <c r="W72" s="178"/>
      <c r="X72" s="234"/>
      <c r="Y72" s="197"/>
      <c r="Z72" s="198"/>
    </row>
    <row r="73" ht="23.25" customHeight="1">
      <c r="A73" s="101">
        <v>36</v>
      </c>
      <c r="B73" t="s" s="102">
        <v>85</v>
      </c>
      <c r="C73" t="s" s="113">
        <v>69</v>
      </c>
      <c r="D73" s="114">
        <v>0.07000000000000001</v>
      </c>
      <c r="E73" t="s" s="113">
        <v>51</v>
      </c>
      <c r="F73" s="103">
        <f>G70</f>
        <v>2343710700</v>
      </c>
      <c r="G73" s="103">
        <f>D73*F73</f>
        <v>164059749</v>
      </c>
      <c r="H73" s="99">
        <f>G73/$G$84</f>
        <v>0.0409817649740392</v>
      </c>
      <c r="I73" s="99"/>
      <c r="J73" s="99"/>
      <c r="K73" s="99"/>
      <c r="L73" s="99"/>
      <c r="M73" s="99"/>
      <c r="N73" s="99"/>
      <c r="O73" s="99"/>
      <c r="P73" s="133"/>
      <c r="Q73" s="133"/>
      <c r="R73" s="178"/>
      <c r="S73" s="178"/>
      <c r="T73" s="99"/>
      <c r="U73" s="97"/>
      <c r="V73" s="178"/>
      <c r="W73" s="178"/>
      <c r="X73" s="234"/>
      <c r="Y73" s="197"/>
      <c r="Z73" s="198"/>
    </row>
    <row r="74" ht="23.25" customHeight="1">
      <c r="A74" s="101">
        <v>37</v>
      </c>
      <c r="B74" t="s" s="102">
        <v>86</v>
      </c>
      <c r="C74" t="s" s="113">
        <v>69</v>
      </c>
      <c r="D74" s="114">
        <v>0.06</v>
      </c>
      <c r="E74" t="s" s="113">
        <v>51</v>
      </c>
      <c r="F74" s="103">
        <f>G70</f>
        <v>2343710700</v>
      </c>
      <c r="G74" s="103">
        <f>D74*F74</f>
        <v>140622642</v>
      </c>
      <c r="H74" s="99">
        <f>G74/$G$84</f>
        <v>0.035127227120605</v>
      </c>
      <c r="I74" s="99"/>
      <c r="J74" s="99"/>
      <c r="K74" s="99"/>
      <c r="L74" s="99"/>
      <c r="M74" s="99"/>
      <c r="N74" s="99"/>
      <c r="O74" s="99"/>
      <c r="P74" s="133"/>
      <c r="Q74" s="133"/>
      <c r="R74" s="178"/>
      <c r="S74" s="178"/>
      <c r="T74" s="99"/>
      <c r="U74" s="97"/>
      <c r="V74" s="178"/>
      <c r="W74" s="178"/>
      <c r="X74" s="234"/>
      <c r="Y74" s="197"/>
      <c r="Z74" s="198"/>
    </row>
    <row r="75" ht="49" customHeight="1">
      <c r="A75" s="101">
        <v>38</v>
      </c>
      <c r="B75" t="s" s="102">
        <v>142</v>
      </c>
      <c r="C75" t="s" s="113">
        <v>69</v>
      </c>
      <c r="D75" s="114">
        <v>0.2</v>
      </c>
      <c r="E75" t="s" s="113">
        <v>51</v>
      </c>
      <c r="F75" s="103">
        <f>G70</f>
        <v>2343710700</v>
      </c>
      <c r="G75" s="122">
        <f>D75*F75</f>
        <v>468742140</v>
      </c>
      <c r="H75" s="99">
        <f>G75/$G$84</f>
        <v>0.117090757068683</v>
      </c>
      <c r="I75" s="99"/>
      <c r="J75" s="99"/>
      <c r="K75" s="99"/>
      <c r="L75" s="99"/>
      <c r="M75" s="99"/>
      <c r="N75" s="99"/>
      <c r="O75" s="99"/>
      <c r="P75" s="109"/>
      <c r="Q75" s="103"/>
      <c r="R75" s="108"/>
      <c r="S75" s="109"/>
      <c r="T75" s="188"/>
      <c r="U75" s="188"/>
      <c r="V75" s="188"/>
      <c r="W75" s="188"/>
      <c r="X75" s="188"/>
      <c r="Y75" s="188"/>
      <c r="Z75" s="189"/>
    </row>
    <row r="76" ht="14" customHeight="1">
      <c r="A76" s="101"/>
      <c r="B76" s="90"/>
      <c r="C76" s="106"/>
      <c r="D76" s="114"/>
      <c r="E76" s="108"/>
      <c r="F76" s="103"/>
      <c r="G76" s="110">
        <f>SUM(G71:G75)</f>
        <v>942969319.610482</v>
      </c>
      <c r="H76" s="99">
        <f>G76/$G$84</f>
        <v>0.235551664985215</v>
      </c>
      <c r="I76" s="99"/>
      <c r="J76" s="99"/>
      <c r="K76" s="99"/>
      <c r="L76" s="99"/>
      <c r="M76" s="99"/>
      <c r="N76" s="99"/>
      <c r="O76" s="99"/>
      <c r="P76" s="109"/>
      <c r="Q76" s="103"/>
      <c r="R76" s="108"/>
      <c r="S76" s="109"/>
      <c r="T76" s="188"/>
      <c r="U76" s="188"/>
      <c r="V76" s="188"/>
      <c r="W76" s="188"/>
      <c r="X76" s="188"/>
      <c r="Y76" s="188"/>
      <c r="Z76" s="189"/>
    </row>
    <row r="77" ht="13" customHeight="1">
      <c r="A77" s="101"/>
      <c r="B77" s="90"/>
      <c r="C77" s="106"/>
      <c r="D77" s="114"/>
      <c r="E77" s="108"/>
      <c r="F77" s="103"/>
      <c r="G77" s="103"/>
      <c r="H77" s="112"/>
      <c r="I77" s="112"/>
      <c r="J77" s="112"/>
      <c r="K77" s="112"/>
      <c r="L77" s="112"/>
      <c r="M77" s="112"/>
      <c r="N77" s="112"/>
      <c r="O77" s="112"/>
      <c r="P77" s="109"/>
      <c r="Q77" s="103"/>
      <c r="R77" s="108"/>
      <c r="S77" s="109"/>
      <c r="T77" s="188"/>
      <c r="U77" s="188"/>
      <c r="V77" s="188"/>
      <c r="W77" s="188"/>
      <c r="X77" s="188"/>
      <c r="Y77" s="188"/>
      <c r="Z77" s="189"/>
    </row>
    <row r="78" ht="13" customHeight="1">
      <c r="A78" t="s" s="91">
        <v>102</v>
      </c>
      <c r="B78" s="84"/>
      <c r="C78" s="106"/>
      <c r="D78" s="135"/>
      <c r="E78" s="108"/>
      <c r="F78" s="109"/>
      <c r="G78" s="103"/>
      <c r="H78" s="112"/>
      <c r="I78" s="112"/>
      <c r="J78" s="112"/>
      <c r="K78" s="112"/>
      <c r="L78" s="112"/>
      <c r="M78" s="112"/>
      <c r="N78" s="112"/>
      <c r="O78" s="112"/>
      <c r="P78" s="109"/>
      <c r="Q78" s="103"/>
      <c r="R78" s="108"/>
      <c r="S78" s="109"/>
      <c r="T78" s="188"/>
      <c r="U78" s="188"/>
      <c r="V78" s="188"/>
      <c r="W78" s="188"/>
      <c r="X78" s="188"/>
      <c r="Y78" s="188"/>
      <c r="Z78" s="189"/>
    </row>
    <row r="79" ht="24" customHeight="1">
      <c r="A79" s="101">
        <v>12</v>
      </c>
      <c r="B79" t="s" s="102">
        <v>103</v>
      </c>
      <c r="C79" t="s" s="113">
        <v>69</v>
      </c>
      <c r="D79" s="237">
        <v>1</v>
      </c>
      <c r="E79" t="s" s="113">
        <v>51</v>
      </c>
      <c r="F79" s="103">
        <v>20002223.1905219</v>
      </c>
      <c r="G79" s="103">
        <f>D79*F79</f>
        <v>20002223.1905219</v>
      </c>
      <c r="H79" s="99">
        <f>G79/$G$84</f>
        <v>0.00499651142189815</v>
      </c>
      <c r="I79" s="99"/>
      <c r="J79" s="99"/>
      <c r="K79" s="99"/>
      <c r="L79" s="99"/>
      <c r="M79" s="99"/>
      <c r="N79" s="99"/>
      <c r="O79" s="99"/>
      <c r="P79" s="109"/>
      <c r="Q79" s="103"/>
      <c r="R79" s="108"/>
      <c r="S79" s="109"/>
      <c r="T79" s="188"/>
      <c r="U79" s="188"/>
      <c r="V79" s="188"/>
      <c r="W79" s="188"/>
      <c r="X79" s="188"/>
      <c r="Y79" s="188"/>
      <c r="Z79" s="189"/>
    </row>
    <row r="80" ht="14" customHeight="1">
      <c r="A80" s="101"/>
      <c r="B80" s="90"/>
      <c r="C80" s="106"/>
      <c r="D80" s="138"/>
      <c r="E80" s="108"/>
      <c r="F80" s="103"/>
      <c r="G80" s="122"/>
      <c r="H80" s="99"/>
      <c r="I80" s="99"/>
      <c r="J80" s="99"/>
      <c r="K80" s="99"/>
      <c r="L80" s="99"/>
      <c r="M80" s="99"/>
      <c r="N80" s="99"/>
      <c r="O80" s="99"/>
      <c r="P80" s="109"/>
      <c r="Q80" s="103"/>
      <c r="R80" s="108"/>
      <c r="S80" s="109"/>
      <c r="T80" s="188"/>
      <c r="U80" s="188"/>
      <c r="V80" s="188"/>
      <c r="W80" s="188"/>
      <c r="X80" s="188"/>
      <c r="Y80" s="188"/>
      <c r="Z80" s="189"/>
    </row>
    <row r="81" ht="14" customHeight="1">
      <c r="A81" s="101"/>
      <c r="B81" t="s" s="139">
        <v>104</v>
      </c>
      <c r="C81" s="106"/>
      <c r="D81" s="138"/>
      <c r="E81" s="108"/>
      <c r="F81" s="109"/>
      <c r="G81" s="110">
        <f>G79</f>
        <v>20002223.1905219</v>
      </c>
      <c r="H81" s="99">
        <f>G81/$G$84</f>
        <v>0.00499651142189815</v>
      </c>
      <c r="I81" s="99"/>
      <c r="J81" s="99"/>
      <c r="K81" s="99"/>
      <c r="L81" s="99"/>
      <c r="M81" s="99"/>
      <c r="N81" s="99"/>
      <c r="O81" s="99"/>
      <c r="P81" s="109"/>
      <c r="Q81" s="103"/>
      <c r="R81" s="108"/>
      <c r="S81" s="109"/>
      <c r="T81" s="188"/>
      <c r="U81" s="188"/>
      <c r="V81" s="188"/>
      <c r="W81" s="188"/>
      <c r="X81" s="188"/>
      <c r="Y81" s="188"/>
      <c r="Z81" s="189"/>
    </row>
    <row r="82" ht="14" customHeight="1">
      <c r="A82" s="101"/>
      <c r="B82" s="90"/>
      <c r="C82" s="106"/>
      <c r="D82" s="138"/>
      <c r="E82" s="108"/>
      <c r="F82" s="109"/>
      <c r="G82" s="141"/>
      <c r="H82" s="112"/>
      <c r="I82" s="112"/>
      <c r="J82" s="112"/>
      <c r="K82" s="112"/>
      <c r="L82" s="112"/>
      <c r="M82" s="112"/>
      <c r="N82" s="112"/>
      <c r="O82" s="112"/>
      <c r="P82" s="109"/>
      <c r="Q82" s="103"/>
      <c r="R82" s="108"/>
      <c r="S82" s="109"/>
      <c r="T82" s="188"/>
      <c r="U82" s="188"/>
      <c r="V82" s="188"/>
      <c r="W82" s="188"/>
      <c r="X82" s="188"/>
      <c r="Y82" s="188"/>
      <c r="Z82" s="189"/>
    </row>
    <row r="83" ht="14" customHeight="1">
      <c r="A83" s="101"/>
      <c r="B83" t="s" s="125">
        <v>88</v>
      </c>
      <c r="C83" s="126"/>
      <c r="D83" s="126"/>
      <c r="E83" s="126"/>
      <c r="F83" s="126"/>
      <c r="G83" s="142">
        <f>G43+G50+G70+G76</f>
        <v>3983235536.4308</v>
      </c>
      <c r="H83" s="143">
        <f>G83/$G$84</f>
        <v>0.9950034885781019</v>
      </c>
      <c r="I83" s="99"/>
      <c r="J83" s="99"/>
      <c r="K83" s="99"/>
      <c r="L83" s="99"/>
      <c r="M83" s="99"/>
      <c r="N83" s="99"/>
      <c r="O83" s="99"/>
      <c r="P83" s="107"/>
      <c r="Q83" s="200"/>
      <c r="R83" s="188"/>
      <c r="S83" s="188"/>
      <c r="T83" s="188"/>
      <c r="U83" s="188"/>
      <c r="V83" s="188"/>
      <c r="W83" s="188"/>
      <c r="X83" s="188"/>
      <c r="Y83" s="188"/>
      <c r="Z83" s="189"/>
    </row>
    <row r="84" ht="13" customHeight="1">
      <c r="A84" t="s" s="144">
        <v>105</v>
      </c>
      <c r="B84" t="s" s="139">
        <v>106</v>
      </c>
      <c r="C84" s="84"/>
      <c r="D84" s="84"/>
      <c r="E84" s="86"/>
      <c r="F84" s="93"/>
      <c r="G84" s="145">
        <f>G81+G83</f>
        <v>4003237759.62132</v>
      </c>
      <c r="H84" s="146">
        <v>0.999989182396458</v>
      </c>
      <c r="I84" s="147"/>
      <c r="J84" s="147"/>
      <c r="K84" s="147"/>
      <c r="L84" s="147"/>
      <c r="M84" s="147"/>
      <c r="N84" s="147"/>
      <c r="O84" s="147"/>
      <c r="P84" s="153"/>
      <c r="Q84" s="200"/>
      <c r="R84" s="200"/>
      <c r="S84" s="188"/>
      <c r="T84" s="188"/>
      <c r="U84" s="188"/>
      <c r="V84" s="188"/>
      <c r="W84" s="188"/>
      <c r="X84" s="188"/>
      <c r="Y84" s="188"/>
      <c r="Z84" s="189"/>
    </row>
    <row r="85" ht="13" customHeight="1">
      <c r="A85" s="149"/>
      <c r="B85" t="s" s="57">
        <v>107</v>
      </c>
      <c r="C85" s="84"/>
      <c r="D85" s="84"/>
      <c r="E85" s="86"/>
      <c r="F85" s="6"/>
      <c r="G85" s="150">
        <f>G84</f>
        <v>4003237759.62132</v>
      </c>
      <c r="H85" s="147">
        <v>1</v>
      </c>
      <c r="I85" s="147"/>
      <c r="J85" s="147"/>
      <c r="K85" s="147"/>
      <c r="L85" s="147"/>
      <c r="M85" s="147"/>
      <c r="N85" s="147"/>
      <c r="O85" s="147"/>
      <c r="P85" s="207"/>
      <c r="Q85" s="188"/>
      <c r="R85" s="200"/>
      <c r="S85" s="188"/>
      <c r="T85" s="188"/>
      <c r="U85" s="188"/>
      <c r="V85" s="188"/>
      <c r="W85" s="188"/>
      <c r="X85" s="188"/>
      <c r="Y85" s="188"/>
      <c r="Z85" s="189"/>
    </row>
    <row r="86" ht="13" customHeight="1">
      <c r="A86" s="149"/>
      <c r="B86" s="151"/>
      <c r="C86" s="84"/>
      <c r="D86" s="84"/>
      <c r="E86" s="86"/>
      <c r="F86" s="152">
        <v>0</v>
      </c>
      <c r="G86" s="153"/>
      <c r="H86" s="147"/>
      <c r="I86" s="147"/>
      <c r="J86" s="147"/>
      <c r="K86" s="147"/>
      <c r="L86" s="147"/>
      <c r="M86" s="147"/>
      <c r="N86" s="147"/>
      <c r="O86" s="147"/>
      <c r="P86" s="200"/>
      <c r="Q86" s="188"/>
      <c r="R86" s="188"/>
      <c r="S86" s="188"/>
      <c r="T86" s="188"/>
      <c r="U86" s="188"/>
      <c r="V86" s="188"/>
      <c r="W86" s="188"/>
      <c r="X86" s="188"/>
      <c r="Y86" s="188"/>
      <c r="Z86" s="189"/>
    </row>
    <row r="87" ht="13" customHeight="1">
      <c r="A87" s="149"/>
      <c r="B87" t="s" s="208">
        <v>168</v>
      </c>
      <c r="C87" s="84"/>
      <c r="D87" s="84"/>
      <c r="E87" s="86"/>
      <c r="F87" s="152"/>
      <c r="G87" s="209"/>
      <c r="H87" s="147"/>
      <c r="I87" s="147"/>
      <c r="J87" s="147"/>
      <c r="K87" s="147"/>
      <c r="L87" s="147"/>
      <c r="M87" s="147"/>
      <c r="N87" s="147"/>
      <c r="O87" s="147"/>
      <c r="P87" s="206">
        <f>G85/18.62</f>
        <v>214996657.337343</v>
      </c>
      <c r="Q87" s="188"/>
      <c r="R87" s="188"/>
      <c r="S87" s="188"/>
      <c r="T87" s="188"/>
      <c r="U87" s="188"/>
      <c r="V87" s="188"/>
      <c r="W87" s="188"/>
      <c r="X87" s="188"/>
      <c r="Y87" s="188"/>
      <c r="Z87" s="189"/>
    </row>
    <row r="88" ht="13" customHeight="1">
      <c r="A88" s="149"/>
      <c r="B88" s="39"/>
      <c r="C88" s="84"/>
      <c r="D88" s="84"/>
      <c r="E88" s="86"/>
      <c r="F88" s="152"/>
      <c r="G88" s="209"/>
      <c r="H88" s="147"/>
      <c r="I88" s="147"/>
      <c r="J88" s="147"/>
      <c r="K88" s="147"/>
      <c r="L88" s="147"/>
      <c r="M88" s="147"/>
      <c r="N88" s="147"/>
      <c r="O88" s="147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9"/>
    </row>
    <row r="89" ht="13" customHeight="1">
      <c r="A89" s="149"/>
      <c r="B89" s="151"/>
      <c r="C89" s="84"/>
      <c r="D89" s="84"/>
      <c r="E89" s="86"/>
      <c r="F89" s="6"/>
      <c r="G89" s="153"/>
      <c r="H89" s="147"/>
      <c r="I89" s="147"/>
      <c r="J89" s="147"/>
      <c r="K89" s="147"/>
      <c r="L89" s="147"/>
      <c r="M89" s="147"/>
      <c r="N89" s="147"/>
      <c r="O89" s="147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9"/>
    </row>
    <row r="90" ht="13" customHeight="1">
      <c r="A90" s="149"/>
      <c r="B90" s="188"/>
      <c r="C90" s="84"/>
      <c r="D90" s="84"/>
      <c r="E90" s="84"/>
      <c r="F90" s="45"/>
      <c r="G90" s="210"/>
      <c r="H90" s="147"/>
      <c r="I90" s="147"/>
      <c r="J90" s="147"/>
      <c r="K90" s="147"/>
      <c r="L90" s="147"/>
      <c r="M90" s="147"/>
      <c r="N90" s="147"/>
      <c r="O90" s="147"/>
      <c r="P90" s="188"/>
      <c r="Q90" s="206"/>
      <c r="R90" s="206"/>
      <c r="S90" s="188"/>
      <c r="T90" s="188"/>
      <c r="U90" s="188"/>
      <c r="V90" s="188"/>
      <c r="W90" s="188"/>
      <c r="X90" s="188"/>
      <c r="Y90" s="188"/>
      <c r="Z90" s="189"/>
    </row>
    <row r="91" ht="13" customHeight="1">
      <c r="A91" s="199"/>
      <c r="B91" s="188"/>
      <c r="C91" s="211"/>
      <c r="D91" s="212"/>
      <c r="E91" s="6"/>
      <c r="F91" s="6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9"/>
    </row>
    <row r="92" ht="12.75" customHeight="1">
      <c r="A92" s="199"/>
      <c r="B92" s="188"/>
      <c r="C92" s="188"/>
      <c r="D92" s="188"/>
      <c r="E92" s="6"/>
      <c r="F92" s="6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9"/>
    </row>
    <row r="93" ht="12.75" customHeight="1">
      <c r="A93" s="199"/>
      <c r="B93" s="188"/>
      <c r="C93" s="188"/>
      <c r="D93" s="188"/>
      <c r="E93" s="6"/>
      <c r="F93" s="6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9"/>
    </row>
    <row r="94" ht="12.75" customHeight="1">
      <c r="A94" s="199"/>
      <c r="B94" s="188"/>
      <c r="C94" s="188"/>
      <c r="D94" s="188"/>
      <c r="E94" s="213"/>
      <c r="F94" s="6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9"/>
    </row>
    <row r="95" ht="12.75" customHeight="1">
      <c r="A95" s="199"/>
      <c r="B95" s="188"/>
      <c r="C95" s="188"/>
      <c r="D95" s="188"/>
      <c r="E95" s="6"/>
      <c r="F95" s="6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9"/>
    </row>
    <row r="96" ht="12.75" customHeight="1">
      <c r="A96" s="199"/>
      <c r="B96" s="188"/>
      <c r="C96" s="188"/>
      <c r="D96" s="188"/>
      <c r="E96" s="6"/>
      <c r="F96" s="6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9"/>
    </row>
    <row r="97" ht="12.75" customHeight="1">
      <c r="A97" s="199"/>
      <c r="B97" s="188"/>
      <c r="C97" s="188"/>
      <c r="D97" s="188"/>
      <c r="E97" s="6"/>
      <c r="F97" s="6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9"/>
    </row>
    <row r="98" ht="12.75" customHeight="1">
      <c r="A98" s="199"/>
      <c r="B98" s="188"/>
      <c r="C98" s="188"/>
      <c r="D98" s="188"/>
      <c r="E98" s="6"/>
      <c r="F98" s="6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9"/>
    </row>
    <row r="99" ht="12.75" customHeight="1">
      <c r="A99" s="214"/>
      <c r="B99" s="215"/>
      <c r="C99" s="215"/>
      <c r="D99" s="215"/>
      <c r="E99" s="216"/>
      <c r="F99" s="20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7"/>
    </row>
  </sheetData>
  <mergeCells count="10">
    <mergeCell ref="B50:F50"/>
    <mergeCell ref="P50:Q50"/>
    <mergeCell ref="B83:F83"/>
    <mergeCell ref="C91:D91"/>
    <mergeCell ref="A1:H2"/>
    <mergeCell ref="A5:E5"/>
    <mergeCell ref="A6:E6"/>
    <mergeCell ref="A13:D13"/>
    <mergeCell ref="A15:H15"/>
    <mergeCell ref="A20:H20"/>
  </mergeCells>
  <conditionalFormatting sqref="E94">
    <cfRule type="cellIs" dxfId="3" priority="1" operator="lessThan" stopIfTrue="1">
      <formula>0</formula>
    </cfRule>
  </conditionalFormatting>
  <pageMargins left="0.590551" right="0.23622" top="0.511811" bottom="0.590551" header="0.314961" footer="0.393701"/>
  <pageSetup firstPageNumber="1" fitToHeight="1" fitToWidth="1" scale="77" useFirstPageNumber="0" orientation="portrait" pageOrder="downThenOver"/>
  <headerFooter>
    <oddHeader>&amp;R&amp;"Arial,Regular"&amp;10&amp;K000000&amp;8&amp;P de 1</oddHeader>
    <oddFooter>&amp;C&amp;"Arial,Regular"&amp;8&amp;K000000JOSUE ALEXANDER BARRIOS GALINDO
ADMINISTRADOR UNICO
TRANSSHIPPING WORLD COMPANY, S.A.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