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bmed-my.sharepoint.com/personal/rich_nubmed_onmicrosoft_com/Documents/Guatemala/"/>
    </mc:Choice>
  </mc:AlternateContent>
  <xr:revisionPtr revIDLastSave="287" documentId="8_{008C3BCC-6B93-3940-8168-B749CFAC465F}" xr6:coauthVersionLast="47" xr6:coauthVersionMax="47" xr10:uidLastSave="{4823DD66-B7EF-D240-8742-37FD68368DE5}"/>
  <bookViews>
    <workbookView xWindow="10180" yWindow="4780" windowWidth="49820" windowHeight="32000" xr2:uid="{1100F1E7-5EDB-8E45-9BAB-D8D3A6E6ADF0}"/>
  </bookViews>
  <sheets>
    <sheet name=" SUMMARY" sheetId="23" r:id="rId1"/>
    <sheet name=" PRICE SENSITIVITY" sheetId="28" r:id="rId2"/>
    <sheet name=" 400K Debt &amp;amp; Cash Out Facility" sheetId="24" r:id="rId3"/>
    <sheet name=" Facility 800K Debt &amp;amp; Cash Out" sheetId="27" r:id="rId4"/>
    <sheet name=" Rents to TWC-IPM" sheetId="17" r:id="rId5"/>
    <sheet name=" Financial Cost" sheetId="20" r:id="rId6"/>
    <sheet name=" Example - Midstream" sheetId="1" r:id="rId7"/>
  </sheets>
  <definedNames>
    <definedName name="_xlnm._FilterDatabase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8" l="1"/>
  <c r="E11" i="28"/>
  <c r="F11" i="28"/>
  <c r="G11" i="28"/>
  <c r="H11" i="28"/>
  <c r="E25" i="28" a="1"/>
  <c r="E25" i="28" s="1"/>
  <c r="I25" i="28" a="1"/>
  <c r="I25" i="28" s="1"/>
  <c r="H25" i="28" a="1"/>
  <c r="H25" i="28" s="1"/>
  <c r="G25" i="28" a="1"/>
  <c r="G25" i="28" s="1"/>
  <c r="F25" i="28" a="1"/>
  <c r="F25" i="28" s="1"/>
  <c r="D25" i="28" a="1"/>
  <c r="D25" i="28" s="1"/>
  <c r="I21" i="28" a="1"/>
  <c r="I21" i="28" s="1"/>
  <c r="H21" i="28" a="1"/>
  <c r="H21" i="28" s="1"/>
  <c r="G21" i="28" a="1"/>
  <c r="G21" i="28" s="1"/>
  <c r="F21" i="28" a="1"/>
  <c r="F21" i="28" s="1"/>
  <c r="E21" i="28" a="1"/>
  <c r="E21" i="28" s="1"/>
  <c r="D21" i="28" a="1"/>
  <c r="D21" i="28" s="1"/>
  <c r="I17" i="28" a="1"/>
  <c r="I17" i="28" s="1"/>
  <c r="H17" i="28" a="1"/>
  <c r="H17" i="28" s="1"/>
  <c r="G17" i="28" a="1"/>
  <c r="G17" i="28" s="1"/>
  <c r="F17" i="28" a="1"/>
  <c r="F17" i="28" s="1"/>
  <c r="E17" i="28" a="1"/>
  <c r="E17" i="28" s="1"/>
  <c r="D17" i="28" a="1"/>
  <c r="D17" i="28" s="1"/>
  <c r="I13" i="28" a="1"/>
  <c r="I13" i="28" s="1"/>
  <c r="H13" i="28" a="1"/>
  <c r="H13" i="28" s="1"/>
  <c r="G13" i="28" a="1"/>
  <c r="G13" i="28" s="1"/>
  <c r="F13" i="28" a="1"/>
  <c r="F13" i="28" s="1"/>
  <c r="E13" i="28" a="1"/>
  <c r="E13" i="28" s="1"/>
  <c r="D13" i="28" a="1"/>
  <c r="D13" i="28" s="1"/>
  <c r="AC79" i="27" l="1"/>
  <c r="AD79" i="27" s="1"/>
  <c r="AE79" i="27" s="1"/>
  <c r="AF79" i="27" s="1"/>
  <c r="AG79" i="27" s="1"/>
  <c r="AH79" i="27" s="1"/>
  <c r="AI79" i="27" s="1"/>
  <c r="AJ79" i="27" s="1"/>
  <c r="AK79" i="27" s="1"/>
  <c r="AL79" i="27" s="1"/>
  <c r="AM79" i="27" s="1"/>
  <c r="AN79" i="27" s="1"/>
  <c r="AO79" i="27" s="1"/>
  <c r="AP79" i="27" s="1"/>
  <c r="AQ79" i="27" s="1"/>
  <c r="AR79" i="27" s="1"/>
  <c r="AS79" i="27" s="1"/>
  <c r="AT79" i="27" s="1"/>
  <c r="AU79" i="27" s="1"/>
  <c r="AV79" i="27" s="1"/>
  <c r="AW79" i="27" s="1"/>
  <c r="AX79" i="27" s="1"/>
  <c r="AY79" i="27" s="1"/>
  <c r="AZ79" i="27" s="1"/>
  <c r="BA79" i="27" s="1"/>
  <c r="I79" i="27"/>
  <c r="J79" i="27"/>
  <c r="K79" i="27"/>
  <c r="L79" i="27"/>
  <c r="M79" i="27"/>
  <c r="N79" i="27"/>
  <c r="O79" i="27"/>
  <c r="P79" i="27"/>
  <c r="Q79" i="27" s="1"/>
  <c r="R79" i="27" s="1"/>
  <c r="S79" i="27" s="1"/>
  <c r="T79" i="27" s="1"/>
  <c r="U79" i="27" s="1"/>
  <c r="V79" i="27" s="1"/>
  <c r="W79" i="27" s="1"/>
  <c r="X79" i="27" s="1"/>
  <c r="Y79" i="27" s="1"/>
  <c r="Z79" i="27" s="1"/>
  <c r="AA79" i="27" s="1"/>
  <c r="AB79" i="27" s="1"/>
  <c r="F79" i="27"/>
  <c r="G79" i="27" s="1"/>
  <c r="H79" i="27" s="1"/>
  <c r="F79" i="24" l="1"/>
  <c r="G79" i="24"/>
  <c r="H79" i="24" s="1"/>
  <c r="I79" i="24" s="1"/>
  <c r="J79" i="24" s="1"/>
  <c r="K79" i="24" s="1"/>
  <c r="L79" i="24" s="1"/>
  <c r="M79" i="24" s="1"/>
  <c r="N79" i="24" s="1"/>
  <c r="O79" i="24" s="1"/>
  <c r="P79" i="24" s="1"/>
  <c r="Q79" i="24" s="1"/>
  <c r="R79" i="24" s="1"/>
  <c r="S79" i="24" s="1"/>
  <c r="T79" i="24" s="1"/>
  <c r="U79" i="24" s="1"/>
  <c r="V79" i="24" s="1"/>
  <c r="W79" i="24" s="1"/>
  <c r="X79" i="24" s="1"/>
  <c r="Y79" i="24" s="1"/>
  <c r="Z79" i="24" s="1"/>
  <c r="AA79" i="24" s="1"/>
  <c r="AB79" i="24" s="1"/>
  <c r="AC79" i="24" s="1"/>
  <c r="AD79" i="24" s="1"/>
  <c r="AE79" i="24" s="1"/>
  <c r="AF79" i="24" s="1"/>
  <c r="AG79" i="24" s="1"/>
  <c r="AH79" i="24" s="1"/>
  <c r="AI79" i="24" s="1"/>
  <c r="AJ79" i="24" s="1"/>
  <c r="AK79" i="24" s="1"/>
  <c r="AL79" i="24" s="1"/>
  <c r="AM79" i="24" s="1"/>
  <c r="AN79" i="24" s="1"/>
  <c r="AO79" i="24" s="1"/>
  <c r="AP79" i="24" s="1"/>
  <c r="AQ79" i="24" s="1"/>
  <c r="AR79" i="24" s="1"/>
  <c r="AS79" i="24" s="1"/>
  <c r="AT79" i="24" s="1"/>
  <c r="AU79" i="24" s="1"/>
  <c r="AV79" i="24" s="1"/>
  <c r="AW79" i="24" s="1"/>
  <c r="AX79" i="24" s="1"/>
  <c r="AY79" i="24" s="1"/>
  <c r="AZ79" i="24" s="1"/>
  <c r="BA79" i="24" s="1"/>
  <c r="D69" i="27" l="1"/>
  <c r="E69" i="27" s="1"/>
  <c r="F69" i="27" s="1"/>
  <c r="G69" i="27" s="1"/>
  <c r="H69" i="27" s="1"/>
  <c r="I69" i="27" s="1"/>
  <c r="J69" i="27" s="1"/>
  <c r="K69" i="27" s="1"/>
  <c r="L69" i="27" s="1"/>
  <c r="M69" i="27" s="1"/>
  <c r="N69" i="27" s="1"/>
  <c r="O69" i="27" s="1"/>
  <c r="P69" i="27" s="1"/>
  <c r="Q69" i="27" s="1"/>
  <c r="R69" i="27" s="1"/>
  <c r="S69" i="27" s="1"/>
  <c r="T69" i="27" s="1"/>
  <c r="U69" i="27" s="1"/>
  <c r="V69" i="27" s="1"/>
  <c r="W69" i="27" s="1"/>
  <c r="X69" i="27" s="1"/>
  <c r="Y69" i="27" s="1"/>
  <c r="Z69" i="27" s="1"/>
  <c r="AA69" i="27" s="1"/>
  <c r="AB69" i="27" s="1"/>
  <c r="AC69" i="27" s="1"/>
  <c r="AD69" i="27" s="1"/>
  <c r="AE69" i="27" s="1"/>
  <c r="AF69" i="27" s="1"/>
  <c r="AG69" i="27" s="1"/>
  <c r="AH69" i="27" s="1"/>
  <c r="AI69" i="27" s="1"/>
  <c r="AJ69" i="27" s="1"/>
  <c r="AK69" i="27" s="1"/>
  <c r="AL69" i="27" s="1"/>
  <c r="AM69" i="27" s="1"/>
  <c r="AN69" i="27" s="1"/>
  <c r="AO69" i="27" s="1"/>
  <c r="AP69" i="27" s="1"/>
  <c r="AQ69" i="27" s="1"/>
  <c r="AR69" i="27" s="1"/>
  <c r="AS69" i="27" s="1"/>
  <c r="AT69" i="27" s="1"/>
  <c r="AU69" i="27" s="1"/>
  <c r="AV69" i="27" s="1"/>
  <c r="AW69" i="27" s="1"/>
  <c r="AX69" i="27" s="1"/>
  <c r="AY69" i="27" s="1"/>
  <c r="AZ69" i="27" s="1"/>
  <c r="BA69" i="27" s="1"/>
  <c r="D7" i="24"/>
  <c r="D7" i="27"/>
  <c r="E7" i="27" s="1"/>
  <c r="F7" i="27" s="1"/>
  <c r="G7" i="27" s="1"/>
  <c r="H7" i="27" s="1"/>
  <c r="I7" i="27" s="1"/>
  <c r="J7" i="27" s="1"/>
  <c r="K7" i="27" s="1"/>
  <c r="L7" i="27" s="1"/>
  <c r="M7" i="27" s="1"/>
  <c r="N7" i="27" s="1"/>
  <c r="O7" i="27" s="1"/>
  <c r="P7" i="27" s="1"/>
  <c r="Q7" i="27" s="1"/>
  <c r="R7" i="27" s="1"/>
  <c r="S7" i="27" s="1"/>
  <c r="T7" i="27" s="1"/>
  <c r="U7" i="27" s="1"/>
  <c r="V7" i="27" s="1"/>
  <c r="W7" i="27" s="1"/>
  <c r="X7" i="27" s="1"/>
  <c r="Y7" i="27" s="1"/>
  <c r="Z7" i="27" s="1"/>
  <c r="AA7" i="27" s="1"/>
  <c r="AB7" i="27" s="1"/>
  <c r="D69" i="24"/>
  <c r="E69" i="24" s="1"/>
  <c r="F69" i="24" s="1"/>
  <c r="G69" i="24" s="1"/>
  <c r="H69" i="24" s="1"/>
  <c r="I69" i="24" s="1"/>
  <c r="J69" i="24" s="1"/>
  <c r="C47" i="24"/>
  <c r="C109" i="24" s="1"/>
  <c r="L108" i="24" s="1"/>
  <c r="L110" i="24" s="1"/>
  <c r="C47" i="27"/>
  <c r="D46" i="27" s="1"/>
  <c r="D48" i="27" s="1"/>
  <c r="B98" i="23"/>
  <c r="B90" i="23"/>
  <c r="B83" i="23"/>
  <c r="B76" i="23"/>
  <c r="B69" i="23"/>
  <c r="B62" i="23"/>
  <c r="F43" i="23"/>
  <c r="E43" i="23"/>
  <c r="D43" i="23"/>
  <c r="C43" i="23"/>
  <c r="F29" i="23"/>
  <c r="F17" i="23"/>
  <c r="E29" i="23"/>
  <c r="E17" i="23"/>
  <c r="AC92" i="24"/>
  <c r="AD92" i="24"/>
  <c r="AE92" i="24"/>
  <c r="AF92" i="24"/>
  <c r="AG92" i="24"/>
  <c r="AH92" i="24"/>
  <c r="AI92" i="24"/>
  <c r="AJ92" i="24"/>
  <c r="AK92" i="24"/>
  <c r="AL92" i="24"/>
  <c r="AM92" i="24"/>
  <c r="AN92" i="24"/>
  <c r="AO92" i="24"/>
  <c r="AP92" i="24"/>
  <c r="AQ92" i="24"/>
  <c r="AR92" i="24"/>
  <c r="AS92" i="24"/>
  <c r="AT92" i="24"/>
  <c r="AU92" i="24"/>
  <c r="AV92" i="24"/>
  <c r="AW92" i="24"/>
  <c r="AX92" i="24"/>
  <c r="AY92" i="24"/>
  <c r="AZ92" i="24"/>
  <c r="BA92" i="24"/>
  <c r="D92" i="24"/>
  <c r="E92" i="24"/>
  <c r="F8" i="23"/>
  <c r="F7" i="23"/>
  <c r="F6" i="23"/>
  <c r="F5" i="23"/>
  <c r="I8" i="23"/>
  <c r="I7" i="23"/>
  <c r="I6" i="23"/>
  <c r="H8" i="23"/>
  <c r="H7" i="23"/>
  <c r="H6" i="23"/>
  <c r="G8" i="23"/>
  <c r="G7" i="23"/>
  <c r="G6" i="23"/>
  <c r="K54" i="27"/>
  <c r="K116" i="27" s="1"/>
  <c r="G57" i="27"/>
  <c r="G119" i="27" s="1"/>
  <c r="G56" i="27"/>
  <c r="G118" i="27" s="1"/>
  <c r="G55" i="27"/>
  <c r="G117" i="27" s="1"/>
  <c r="G54" i="27"/>
  <c r="E103" i="24"/>
  <c r="D103" i="24"/>
  <c r="E103" i="27"/>
  <c r="D103" i="27"/>
  <c r="D92" i="27"/>
  <c r="E92" i="27"/>
  <c r="L92" i="27"/>
  <c r="T92" i="27"/>
  <c r="U92" i="27"/>
  <c r="AB92" i="27"/>
  <c r="AC92" i="27"/>
  <c r="AD92" i="27"/>
  <c r="AE92" i="27"/>
  <c r="AF92" i="27"/>
  <c r="AG92" i="27"/>
  <c r="AH92" i="27"/>
  <c r="AI92" i="27"/>
  <c r="AJ92" i="27"/>
  <c r="AK92" i="27"/>
  <c r="AL92" i="27"/>
  <c r="AM92" i="27"/>
  <c r="AN92" i="27"/>
  <c r="AO92" i="27"/>
  <c r="AP92" i="27"/>
  <c r="AQ92" i="27"/>
  <c r="AR92" i="27"/>
  <c r="AS92" i="27"/>
  <c r="AT92" i="27"/>
  <c r="AU92" i="27"/>
  <c r="AV92" i="27"/>
  <c r="AW92" i="27"/>
  <c r="AX92" i="27"/>
  <c r="AY92" i="27"/>
  <c r="AZ92" i="27"/>
  <c r="BA92" i="27"/>
  <c r="AB30" i="27"/>
  <c r="AA30" i="27"/>
  <c r="AA92" i="27" s="1"/>
  <c r="Z30" i="27"/>
  <c r="Z92" i="27" s="1"/>
  <c r="Y30" i="27"/>
  <c r="Y92" i="27" s="1"/>
  <c r="X30" i="27"/>
  <c r="X92" i="27" s="1"/>
  <c r="W30" i="27"/>
  <c r="W92" i="27" s="1"/>
  <c r="V30" i="27"/>
  <c r="V92" i="27" s="1"/>
  <c r="U30" i="27"/>
  <c r="T30" i="27"/>
  <c r="S30" i="27"/>
  <c r="S92" i="27" s="1"/>
  <c r="R30" i="27"/>
  <c r="R92" i="27" s="1"/>
  <c r="Q30" i="27"/>
  <c r="Q92" i="27" s="1"/>
  <c r="P30" i="27"/>
  <c r="P92" i="27" s="1"/>
  <c r="O30" i="27"/>
  <c r="O92" i="27" s="1"/>
  <c r="N30" i="27"/>
  <c r="N92" i="27" s="1"/>
  <c r="M30" i="27"/>
  <c r="M92" i="27" s="1"/>
  <c r="L30" i="27"/>
  <c r="K30" i="27"/>
  <c r="K92" i="27" s="1"/>
  <c r="G30" i="27"/>
  <c r="G92" i="27" s="1"/>
  <c r="H30" i="27"/>
  <c r="H92" i="27" s="1"/>
  <c r="I30" i="27"/>
  <c r="I92" i="27" s="1"/>
  <c r="J30" i="27"/>
  <c r="J92" i="27" s="1"/>
  <c r="F30" i="27"/>
  <c r="F92" i="27" s="1"/>
  <c r="H24" i="27"/>
  <c r="I24" i="27"/>
  <c r="I86" i="27" s="1"/>
  <c r="J24" i="27"/>
  <c r="J86" i="27" s="1"/>
  <c r="K24" i="27"/>
  <c r="K86" i="27" s="1"/>
  <c r="L24" i="27"/>
  <c r="L86" i="27" s="1"/>
  <c r="M24" i="27"/>
  <c r="N24" i="27"/>
  <c r="N86" i="27" s="1"/>
  <c r="O24" i="27"/>
  <c r="O86" i="27" s="1"/>
  <c r="P24" i="27"/>
  <c r="Q24" i="27"/>
  <c r="R24" i="27"/>
  <c r="S24" i="27"/>
  <c r="S86" i="27" s="1"/>
  <c r="T24" i="27"/>
  <c r="T86" i="27" s="1"/>
  <c r="U24" i="27"/>
  <c r="V24" i="27"/>
  <c r="V86" i="27" s="1"/>
  <c r="W24" i="27"/>
  <c r="W86" i="27" s="1"/>
  <c r="X24" i="27"/>
  <c r="Y24" i="27"/>
  <c r="Y86" i="27" s="1"/>
  <c r="Z24" i="27"/>
  <c r="Z86" i="27" s="1"/>
  <c r="AA24" i="27"/>
  <c r="AB24" i="27"/>
  <c r="AB86" i="27" s="1"/>
  <c r="G24" i="27"/>
  <c r="G86" i="27" s="1"/>
  <c r="F24" i="27"/>
  <c r="F86" i="27" s="1"/>
  <c r="BA110" i="27"/>
  <c r="AZ110" i="27"/>
  <c r="AY110" i="27"/>
  <c r="AX110" i="27"/>
  <c r="AW110" i="27"/>
  <c r="AV110" i="27"/>
  <c r="AU110" i="27"/>
  <c r="AT110" i="27"/>
  <c r="AS110" i="27"/>
  <c r="AR110" i="27"/>
  <c r="AQ110" i="27"/>
  <c r="AP110" i="27"/>
  <c r="AO110" i="27"/>
  <c r="AN110" i="27"/>
  <c r="AM110" i="27"/>
  <c r="AL110" i="27"/>
  <c r="AK110" i="27"/>
  <c r="AJ110" i="27"/>
  <c r="AI110" i="27"/>
  <c r="AH110" i="27"/>
  <c r="AG110" i="27"/>
  <c r="AF110" i="27"/>
  <c r="AE110" i="27"/>
  <c r="AD110" i="27"/>
  <c r="AC110" i="27"/>
  <c r="AB110" i="27"/>
  <c r="AA110" i="27"/>
  <c r="Z110" i="27"/>
  <c r="Y110" i="27"/>
  <c r="X110" i="27"/>
  <c r="W110" i="27"/>
  <c r="V110" i="27"/>
  <c r="U110" i="27"/>
  <c r="T110" i="27"/>
  <c r="S110" i="27"/>
  <c r="R110" i="27"/>
  <c r="Q110" i="27"/>
  <c r="P110" i="27"/>
  <c r="O110" i="27"/>
  <c r="N110" i="27"/>
  <c r="C106" i="27"/>
  <c r="H105" i="27"/>
  <c r="G105" i="27"/>
  <c r="F105" i="27"/>
  <c r="E105" i="27"/>
  <c r="D105" i="27"/>
  <c r="H104" i="27"/>
  <c r="H81" i="27" s="1"/>
  <c r="G104" i="27"/>
  <c r="G81" i="27" s="1"/>
  <c r="F104" i="27"/>
  <c r="F81" i="27" s="1"/>
  <c r="E104" i="27"/>
  <c r="E81" i="27" s="1"/>
  <c r="D104" i="27"/>
  <c r="D81" i="27" s="1"/>
  <c r="D99" i="27"/>
  <c r="E99" i="27" s="1"/>
  <c r="BA86" i="27"/>
  <c r="AZ86" i="27"/>
  <c r="AY86" i="27"/>
  <c r="AX86" i="27"/>
  <c r="AW86" i="27"/>
  <c r="AV86" i="27"/>
  <c r="AU86" i="27"/>
  <c r="AT86" i="27"/>
  <c r="AS86" i="27"/>
  <c r="AR86" i="27"/>
  <c r="AQ86" i="27"/>
  <c r="AP86" i="27"/>
  <c r="AO86" i="27"/>
  <c r="AN86" i="27"/>
  <c r="AM86" i="27"/>
  <c r="AL86" i="27"/>
  <c r="AK86" i="27"/>
  <c r="AJ86" i="27"/>
  <c r="AI86" i="27"/>
  <c r="AH86" i="27"/>
  <c r="AG86" i="27"/>
  <c r="AF86" i="27"/>
  <c r="AE86" i="27"/>
  <c r="AD86" i="27"/>
  <c r="AC86" i="27"/>
  <c r="E86" i="27"/>
  <c r="D86" i="27"/>
  <c r="BA81" i="27"/>
  <c r="AZ81" i="27"/>
  <c r="AY81" i="27"/>
  <c r="AX81" i="27"/>
  <c r="AW81" i="27"/>
  <c r="AV81" i="27"/>
  <c r="AU81" i="27"/>
  <c r="AT81" i="27"/>
  <c r="AS81" i="27"/>
  <c r="AR81" i="27"/>
  <c r="AQ81" i="27"/>
  <c r="AP81" i="27"/>
  <c r="AO81" i="27"/>
  <c r="AN81" i="27"/>
  <c r="AM81" i="27"/>
  <c r="AL81" i="27"/>
  <c r="AK81" i="27"/>
  <c r="AJ81" i="27"/>
  <c r="AI81" i="27"/>
  <c r="AH81" i="27"/>
  <c r="AG81" i="27"/>
  <c r="AF81" i="27"/>
  <c r="AE81" i="27"/>
  <c r="AD81" i="27"/>
  <c r="AC81" i="27"/>
  <c r="AB81" i="27"/>
  <c r="AA81" i="27"/>
  <c r="Z81" i="27"/>
  <c r="Y81" i="27"/>
  <c r="X81" i="27"/>
  <c r="W81" i="27"/>
  <c r="V81" i="27"/>
  <c r="U81" i="27"/>
  <c r="T81" i="27"/>
  <c r="S81" i="27"/>
  <c r="R81" i="27"/>
  <c r="Q81" i="27"/>
  <c r="P81" i="27"/>
  <c r="O81" i="27"/>
  <c r="N81" i="27"/>
  <c r="M81" i="27"/>
  <c r="L81" i="27"/>
  <c r="K81" i="27"/>
  <c r="J81" i="27"/>
  <c r="I81" i="27"/>
  <c r="D67" i="27"/>
  <c r="D68" i="27" s="1"/>
  <c r="G116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C44" i="27"/>
  <c r="H43" i="27"/>
  <c r="G43" i="27"/>
  <c r="F43" i="27"/>
  <c r="E43" i="27"/>
  <c r="D43" i="27"/>
  <c r="H42" i="27"/>
  <c r="H19" i="27" s="1"/>
  <c r="G42" i="27"/>
  <c r="F42" i="27"/>
  <c r="E42" i="27"/>
  <c r="S87" i="27" s="1"/>
  <c r="D42" i="27"/>
  <c r="D37" i="27"/>
  <c r="E37" i="27" s="1"/>
  <c r="F37" i="27" s="1"/>
  <c r="G37" i="27" s="1"/>
  <c r="H37" i="27" s="1"/>
  <c r="I37" i="27" s="1"/>
  <c r="J37" i="27" s="1"/>
  <c r="K37" i="27" s="1"/>
  <c r="L37" i="27" s="1"/>
  <c r="M37" i="27" s="1"/>
  <c r="N37" i="27" s="1"/>
  <c r="O37" i="27" s="1"/>
  <c r="P37" i="27" s="1"/>
  <c r="Q37" i="27" s="1"/>
  <c r="R37" i="27" s="1"/>
  <c r="S37" i="27" s="1"/>
  <c r="T37" i="27" s="1"/>
  <c r="U37" i="27" s="1"/>
  <c r="V37" i="27" s="1"/>
  <c r="W37" i="27" s="1"/>
  <c r="X37" i="27" s="1"/>
  <c r="Y37" i="27" s="1"/>
  <c r="Z37" i="27" s="1"/>
  <c r="AA37" i="27" s="1"/>
  <c r="AB37" i="27" s="1"/>
  <c r="AA86" i="27"/>
  <c r="X86" i="27"/>
  <c r="U86" i="27"/>
  <c r="R86" i="27"/>
  <c r="Q86" i="27"/>
  <c r="P86" i="27"/>
  <c r="M86" i="27"/>
  <c r="AB20" i="27"/>
  <c r="AA20" i="27"/>
  <c r="AA82" i="27" s="1"/>
  <c r="AB82" i="27" s="1"/>
  <c r="AC82" i="27" s="1"/>
  <c r="AD82" i="27" s="1"/>
  <c r="AE82" i="27" s="1"/>
  <c r="AF82" i="27" s="1"/>
  <c r="AG82" i="27" s="1"/>
  <c r="AH82" i="27" s="1"/>
  <c r="AI82" i="27" s="1"/>
  <c r="AJ82" i="27" s="1"/>
  <c r="AK82" i="27" s="1"/>
  <c r="AL82" i="27" s="1"/>
  <c r="AM82" i="27" s="1"/>
  <c r="AN82" i="27" s="1"/>
  <c r="AO82" i="27" s="1"/>
  <c r="AP82" i="27" s="1"/>
  <c r="AQ82" i="27" s="1"/>
  <c r="AR82" i="27" s="1"/>
  <c r="AS82" i="27" s="1"/>
  <c r="AT82" i="27" s="1"/>
  <c r="AU82" i="27" s="1"/>
  <c r="AV82" i="27" s="1"/>
  <c r="AW82" i="27" s="1"/>
  <c r="AX82" i="27" s="1"/>
  <c r="AY82" i="27" s="1"/>
  <c r="AZ82" i="27" s="1"/>
  <c r="BA82" i="27" s="1"/>
  <c r="Z20" i="27"/>
  <c r="Z82" i="27" s="1"/>
  <c r="Y20" i="27"/>
  <c r="Y82" i="27" s="1"/>
  <c r="X20" i="27"/>
  <c r="X82" i="27" s="1"/>
  <c r="W20" i="27"/>
  <c r="W82" i="27" s="1"/>
  <c r="V20" i="27"/>
  <c r="V82" i="27" s="1"/>
  <c r="U20" i="27"/>
  <c r="U82" i="27" s="1"/>
  <c r="T20" i="27"/>
  <c r="T82" i="27" s="1"/>
  <c r="S20" i="27"/>
  <c r="S82" i="27" s="1"/>
  <c r="R20" i="27"/>
  <c r="R82" i="27" s="1"/>
  <c r="Q20" i="27"/>
  <c r="Q82" i="27" s="1"/>
  <c r="P20" i="27"/>
  <c r="P82" i="27" s="1"/>
  <c r="O20" i="27"/>
  <c r="O82" i="27" s="1"/>
  <c r="N20" i="27"/>
  <c r="N82" i="27" s="1"/>
  <c r="M20" i="27"/>
  <c r="M82" i="27" s="1"/>
  <c r="L20" i="27"/>
  <c r="L82" i="27" s="1"/>
  <c r="K20" i="27"/>
  <c r="K82" i="27" s="1"/>
  <c r="J20" i="27"/>
  <c r="J82" i="27" s="1"/>
  <c r="I20" i="27"/>
  <c r="I82" i="27" s="1"/>
  <c r="H20" i="27"/>
  <c r="H82" i="27" s="1"/>
  <c r="G20" i="27"/>
  <c r="G82" i="27" s="1"/>
  <c r="F20" i="27"/>
  <c r="F82" i="27" s="1"/>
  <c r="E20" i="27"/>
  <c r="E82" i="27" s="1"/>
  <c r="D20" i="27"/>
  <c r="D82" i="27" s="1"/>
  <c r="AB19" i="27"/>
  <c r="AA19" i="27"/>
  <c r="Z19" i="27"/>
  <c r="Y19" i="27"/>
  <c r="X19" i="27"/>
  <c r="W19" i="27"/>
  <c r="V19" i="27"/>
  <c r="U19" i="27"/>
  <c r="T19" i="27"/>
  <c r="S19" i="27"/>
  <c r="R19" i="27"/>
  <c r="Q19" i="27"/>
  <c r="P19" i="27"/>
  <c r="O19" i="27"/>
  <c r="N19" i="27"/>
  <c r="M19" i="27"/>
  <c r="L19" i="27"/>
  <c r="K19" i="27"/>
  <c r="J19" i="27"/>
  <c r="I19" i="27"/>
  <c r="G19" i="27"/>
  <c r="F19" i="27"/>
  <c r="D19" i="27"/>
  <c r="D5" i="27"/>
  <c r="D6" i="27" s="1"/>
  <c r="AB13" i="27" s="1"/>
  <c r="E86" i="24"/>
  <c r="AC86" i="24"/>
  <c r="AD86" i="24"/>
  <c r="AE86" i="24"/>
  <c r="AF86" i="24"/>
  <c r="AG86" i="24"/>
  <c r="AH86" i="24"/>
  <c r="AI86" i="24"/>
  <c r="AJ86" i="24"/>
  <c r="AK86" i="24"/>
  <c r="AL86" i="24"/>
  <c r="AM86" i="24"/>
  <c r="AN86" i="24"/>
  <c r="AO86" i="24"/>
  <c r="AP86" i="24"/>
  <c r="AQ86" i="24"/>
  <c r="AR86" i="24"/>
  <c r="AS86" i="24"/>
  <c r="AT86" i="24"/>
  <c r="AU86" i="24"/>
  <c r="AV86" i="24"/>
  <c r="AW86" i="24"/>
  <c r="AX86" i="24"/>
  <c r="AY86" i="24"/>
  <c r="AZ86" i="24"/>
  <c r="BA86" i="24"/>
  <c r="D86" i="24"/>
  <c r="AT110" i="24"/>
  <c r="AU110" i="24"/>
  <c r="AV110" i="24"/>
  <c r="AW110" i="24"/>
  <c r="AX110" i="24"/>
  <c r="AY110" i="24"/>
  <c r="AZ110" i="24"/>
  <c r="BA110" i="24"/>
  <c r="AL110" i="24"/>
  <c r="AM110" i="24"/>
  <c r="AN110" i="24"/>
  <c r="AO110" i="24"/>
  <c r="AP110" i="24"/>
  <c r="AQ110" i="24"/>
  <c r="AR110" i="24"/>
  <c r="AS110" i="24"/>
  <c r="AC110" i="24"/>
  <c r="AD110" i="24"/>
  <c r="AE110" i="24"/>
  <c r="AF110" i="24"/>
  <c r="AG110" i="24"/>
  <c r="AH110" i="24"/>
  <c r="AI110" i="24"/>
  <c r="AJ110" i="24"/>
  <c r="AK110" i="24"/>
  <c r="AP81" i="24"/>
  <c r="AQ81" i="24"/>
  <c r="AR81" i="24"/>
  <c r="AS81" i="24"/>
  <c r="AT81" i="24"/>
  <c r="AU81" i="24"/>
  <c r="AV81" i="24"/>
  <c r="AW81" i="24"/>
  <c r="AX81" i="24"/>
  <c r="AY81" i="24"/>
  <c r="AZ81" i="24"/>
  <c r="BA81" i="24"/>
  <c r="AK81" i="24"/>
  <c r="AL81" i="24"/>
  <c r="AM81" i="24"/>
  <c r="AN81" i="24"/>
  <c r="AO81" i="24"/>
  <c r="AC81" i="24"/>
  <c r="AD81" i="24"/>
  <c r="AE81" i="24"/>
  <c r="AF81" i="24"/>
  <c r="AG81" i="24"/>
  <c r="AH81" i="24"/>
  <c r="AI81" i="24"/>
  <c r="AJ81" i="24"/>
  <c r="AB110" i="24"/>
  <c r="AA110" i="24"/>
  <c r="Z110" i="24"/>
  <c r="Y110" i="24"/>
  <c r="X110" i="24"/>
  <c r="W110" i="24"/>
  <c r="V110" i="24"/>
  <c r="U110" i="24"/>
  <c r="T110" i="24"/>
  <c r="S110" i="24"/>
  <c r="R110" i="24"/>
  <c r="Q110" i="24"/>
  <c r="P110" i="24"/>
  <c r="O110" i="24"/>
  <c r="N110" i="24"/>
  <c r="C106" i="24"/>
  <c r="H105" i="24"/>
  <c r="G105" i="24"/>
  <c r="F105" i="24"/>
  <c r="E105" i="24"/>
  <c r="D105" i="24"/>
  <c r="H104" i="24"/>
  <c r="H81" i="24" s="1"/>
  <c r="G104" i="24"/>
  <c r="G81" i="24" s="1"/>
  <c r="F104" i="24"/>
  <c r="F81" i="24" s="1"/>
  <c r="E104" i="24"/>
  <c r="E81" i="24" s="1"/>
  <c r="D104" i="24"/>
  <c r="D81" i="24" s="1"/>
  <c r="D99" i="24"/>
  <c r="E99" i="24" s="1"/>
  <c r="F99" i="24" s="1"/>
  <c r="G99" i="24" s="1"/>
  <c r="H99" i="24" s="1"/>
  <c r="I99" i="24" s="1"/>
  <c r="J99" i="24" s="1"/>
  <c r="AB81" i="24"/>
  <c r="AA81" i="24"/>
  <c r="Z81" i="24"/>
  <c r="Y81" i="24"/>
  <c r="X81" i="24"/>
  <c r="W81" i="24"/>
  <c r="V81" i="24"/>
  <c r="U81" i="24"/>
  <c r="T81" i="24"/>
  <c r="S81" i="24"/>
  <c r="R81" i="24"/>
  <c r="Q81" i="24"/>
  <c r="P81" i="24"/>
  <c r="O81" i="24"/>
  <c r="N81" i="24"/>
  <c r="M81" i="24"/>
  <c r="L81" i="24"/>
  <c r="K81" i="24"/>
  <c r="J81" i="24"/>
  <c r="I81" i="24"/>
  <c r="D67" i="24"/>
  <c r="D68" i="24" s="1"/>
  <c r="AB19" i="24"/>
  <c r="AA19" i="24"/>
  <c r="Z19" i="24"/>
  <c r="Y19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I19" i="24"/>
  <c r="G30" i="24"/>
  <c r="G92" i="24" s="1"/>
  <c r="H30" i="24"/>
  <c r="H92" i="24" s="1"/>
  <c r="I30" i="24"/>
  <c r="I92" i="24" s="1"/>
  <c r="J30" i="24"/>
  <c r="J92" i="24" s="1"/>
  <c r="K30" i="24"/>
  <c r="K92" i="24" s="1"/>
  <c r="L30" i="24"/>
  <c r="L92" i="24" s="1"/>
  <c r="M30" i="24"/>
  <c r="M92" i="24" s="1"/>
  <c r="N30" i="24"/>
  <c r="N92" i="24" s="1"/>
  <c r="O30" i="24"/>
  <c r="O92" i="24" s="1"/>
  <c r="P30" i="24"/>
  <c r="P92" i="24" s="1"/>
  <c r="Q30" i="24"/>
  <c r="Q92" i="24" s="1"/>
  <c r="R30" i="24"/>
  <c r="R92" i="24" s="1"/>
  <c r="S30" i="24"/>
  <c r="S92" i="24" s="1"/>
  <c r="T30" i="24"/>
  <c r="T92" i="24" s="1"/>
  <c r="U30" i="24"/>
  <c r="U92" i="24" s="1"/>
  <c r="V30" i="24"/>
  <c r="V92" i="24" s="1"/>
  <c r="W30" i="24"/>
  <c r="W92" i="24" s="1"/>
  <c r="X30" i="24"/>
  <c r="X92" i="24" s="1"/>
  <c r="Y30" i="24"/>
  <c r="Y92" i="24" s="1"/>
  <c r="Z30" i="24"/>
  <c r="Z92" i="24" s="1"/>
  <c r="AA30" i="24"/>
  <c r="AA92" i="24" s="1"/>
  <c r="AB30" i="24"/>
  <c r="AB92" i="24" s="1"/>
  <c r="F30" i="24"/>
  <c r="F92" i="24" s="1"/>
  <c r="G24" i="24"/>
  <c r="G86" i="24" s="1"/>
  <c r="H24" i="24"/>
  <c r="H86" i="24" s="1"/>
  <c r="I24" i="24"/>
  <c r="I86" i="24" s="1"/>
  <c r="J24" i="24"/>
  <c r="J86" i="24" s="1"/>
  <c r="K24" i="24"/>
  <c r="K86" i="24" s="1"/>
  <c r="L24" i="24"/>
  <c r="L86" i="24" s="1"/>
  <c r="M24" i="24"/>
  <c r="M86" i="24" s="1"/>
  <c r="N24" i="24"/>
  <c r="N86" i="24" s="1"/>
  <c r="O24" i="24"/>
  <c r="O86" i="24" s="1"/>
  <c r="P24" i="24"/>
  <c r="P86" i="24" s="1"/>
  <c r="Q24" i="24"/>
  <c r="Q86" i="24" s="1"/>
  <c r="R24" i="24"/>
  <c r="R86" i="24" s="1"/>
  <c r="S24" i="24"/>
  <c r="S86" i="24" s="1"/>
  <c r="T24" i="24"/>
  <c r="T86" i="24" s="1"/>
  <c r="U24" i="24"/>
  <c r="U86" i="24" s="1"/>
  <c r="V24" i="24"/>
  <c r="V86" i="24" s="1"/>
  <c r="W24" i="24"/>
  <c r="W86" i="24" s="1"/>
  <c r="X24" i="24"/>
  <c r="X86" i="24" s="1"/>
  <c r="Y24" i="24"/>
  <c r="Y86" i="24" s="1"/>
  <c r="Z24" i="24"/>
  <c r="Z86" i="24" s="1"/>
  <c r="AA24" i="24"/>
  <c r="AA86" i="24" s="1"/>
  <c r="AB24" i="24"/>
  <c r="AB86" i="24" s="1"/>
  <c r="F24" i="24"/>
  <c r="F86" i="24" s="1"/>
  <c r="F42" i="24"/>
  <c r="F19" i="24" s="1"/>
  <c r="G42" i="24"/>
  <c r="G19" i="24" s="1"/>
  <c r="H42" i="24"/>
  <c r="H19" i="24" s="1"/>
  <c r="F43" i="24"/>
  <c r="G43" i="24"/>
  <c r="H43" i="24"/>
  <c r="E43" i="24"/>
  <c r="D43" i="24"/>
  <c r="E42" i="24"/>
  <c r="S25" i="24" s="1"/>
  <c r="D42" i="24"/>
  <c r="D19" i="24" s="1"/>
  <c r="E13" i="27" l="1"/>
  <c r="H13" i="27"/>
  <c r="R13" i="27"/>
  <c r="AA13" i="27"/>
  <c r="BD92" i="27"/>
  <c r="F31" i="23" s="1"/>
  <c r="BD30" i="27"/>
  <c r="E31" i="23" s="1"/>
  <c r="E14" i="27"/>
  <c r="E46" i="27"/>
  <c r="E48" i="27" s="1"/>
  <c r="F46" i="27"/>
  <c r="F48" i="27" s="1"/>
  <c r="G46" i="27"/>
  <c r="G48" i="27" s="1"/>
  <c r="I46" i="27"/>
  <c r="I48" i="27" s="1"/>
  <c r="C109" i="27"/>
  <c r="M108" i="27" s="1"/>
  <c r="M110" i="27" s="1"/>
  <c r="H46" i="27"/>
  <c r="H48" i="27" s="1"/>
  <c r="D108" i="24"/>
  <c r="D110" i="24" s="1"/>
  <c r="F108" i="24"/>
  <c r="F110" i="24" s="1"/>
  <c r="G108" i="24"/>
  <c r="G110" i="24" s="1"/>
  <c r="K108" i="24"/>
  <c r="K110" i="24" s="1"/>
  <c r="M108" i="24"/>
  <c r="M110" i="24" s="1"/>
  <c r="I108" i="24"/>
  <c r="I110" i="24" s="1"/>
  <c r="H108" i="24"/>
  <c r="H110" i="24" s="1"/>
  <c r="S25" i="27"/>
  <c r="L25" i="27"/>
  <c r="M25" i="27"/>
  <c r="L87" i="27"/>
  <c r="F25" i="27"/>
  <c r="J25" i="27"/>
  <c r="R25" i="27"/>
  <c r="G25" i="27"/>
  <c r="K25" i="27"/>
  <c r="AA38" i="27"/>
  <c r="R38" i="27"/>
  <c r="R14" i="27"/>
  <c r="R18" i="27" s="1"/>
  <c r="H86" i="27"/>
  <c r="BD86" i="27" s="1"/>
  <c r="F25" i="23" s="1"/>
  <c r="BD24" i="27"/>
  <c r="E25" i="23" s="1"/>
  <c r="AA14" i="27"/>
  <c r="AA18" i="27" s="1"/>
  <c r="AB14" i="27"/>
  <c r="AB18" i="27" s="1"/>
  <c r="AB38" i="27"/>
  <c r="H14" i="27"/>
  <c r="H18" i="27" s="1"/>
  <c r="H38" i="27"/>
  <c r="AZ75" i="27"/>
  <c r="AR75" i="27"/>
  <c r="AJ75" i="27"/>
  <c r="AB75" i="27"/>
  <c r="T75" i="27"/>
  <c r="L75" i="27"/>
  <c r="D75" i="27"/>
  <c r="W13" i="27"/>
  <c r="O13" i="27"/>
  <c r="G13" i="27"/>
  <c r="AY75" i="27"/>
  <c r="AQ75" i="27"/>
  <c r="AI75" i="27"/>
  <c r="AA75" i="27"/>
  <c r="S75" i="27"/>
  <c r="K75" i="27"/>
  <c r="V13" i="27"/>
  <c r="N13" i="27"/>
  <c r="F13" i="27"/>
  <c r="F17" i="27" s="1"/>
  <c r="G17" i="27" s="1"/>
  <c r="H17" i="27" s="1"/>
  <c r="I17" i="27" s="1"/>
  <c r="J17" i="27" s="1"/>
  <c r="K17" i="27" s="1"/>
  <c r="L17" i="27" s="1"/>
  <c r="M17" i="27" s="1"/>
  <c r="N17" i="27" s="1"/>
  <c r="O17" i="27" s="1"/>
  <c r="P17" i="27" s="1"/>
  <c r="Q17" i="27" s="1"/>
  <c r="R17" i="27" s="1"/>
  <c r="S17" i="27" s="1"/>
  <c r="T17" i="27" s="1"/>
  <c r="U17" i="27" s="1"/>
  <c r="V17" i="27" s="1"/>
  <c r="W17" i="27" s="1"/>
  <c r="X17" i="27" s="1"/>
  <c r="Y17" i="27" s="1"/>
  <c r="Z17" i="27" s="1"/>
  <c r="AA17" i="27" s="1"/>
  <c r="AB17" i="27" s="1"/>
  <c r="AV75" i="27"/>
  <c r="AN75" i="27"/>
  <c r="AF75" i="27"/>
  <c r="AO75" i="27"/>
  <c r="AC75" i="27"/>
  <c r="Q75" i="27"/>
  <c r="G75" i="27"/>
  <c r="Z13" i="27"/>
  <c r="P13" i="27"/>
  <c r="D13" i="27"/>
  <c r="E75" i="27"/>
  <c r="E76" i="27" s="1"/>
  <c r="E80" i="27" s="1"/>
  <c r="L13" i="27"/>
  <c r="BA75" i="27"/>
  <c r="AM75" i="27"/>
  <c r="Z75" i="27"/>
  <c r="P75" i="27"/>
  <c r="F75" i="27"/>
  <c r="Y13" i="27"/>
  <c r="M13" i="27"/>
  <c r="X13" i="27"/>
  <c r="U13" i="27"/>
  <c r="U75" i="27"/>
  <c r="AX75" i="27"/>
  <c r="AL75" i="27"/>
  <c r="Y75" i="27"/>
  <c r="O75" i="27"/>
  <c r="S13" i="27"/>
  <c r="AW75" i="27"/>
  <c r="AK75" i="27"/>
  <c r="X75" i="27"/>
  <c r="N75" i="27"/>
  <c r="K13" i="27"/>
  <c r="I13" i="27"/>
  <c r="AU75" i="27"/>
  <c r="AH75" i="27"/>
  <c r="W75" i="27"/>
  <c r="M75" i="27"/>
  <c r="T13" i="27"/>
  <c r="J13" i="27"/>
  <c r="AT75" i="27"/>
  <c r="AG75" i="27"/>
  <c r="V75" i="27"/>
  <c r="J75" i="27"/>
  <c r="AS75" i="27"/>
  <c r="AE75" i="27"/>
  <c r="I75" i="27"/>
  <c r="AP75" i="27"/>
  <c r="AD75" i="27"/>
  <c r="R75" i="27"/>
  <c r="H75" i="27"/>
  <c r="Q13" i="27"/>
  <c r="BD37" i="27"/>
  <c r="E38" i="23" s="1"/>
  <c r="BD81" i="27"/>
  <c r="F20" i="23" s="1"/>
  <c r="BD82" i="27"/>
  <c r="F21" i="23" s="1"/>
  <c r="O87" i="27"/>
  <c r="G87" i="27"/>
  <c r="R87" i="27"/>
  <c r="I87" i="27"/>
  <c r="Q87" i="27"/>
  <c r="H87" i="27"/>
  <c r="K87" i="27"/>
  <c r="Q25" i="27"/>
  <c r="I25" i="27"/>
  <c r="J87" i="27"/>
  <c r="P25" i="27"/>
  <c r="H25" i="27"/>
  <c r="F87" i="27"/>
  <c r="E87" i="27"/>
  <c r="P87" i="27"/>
  <c r="D87" i="27"/>
  <c r="M87" i="27"/>
  <c r="N87" i="27"/>
  <c r="F99" i="27"/>
  <c r="G99" i="27" s="1"/>
  <c r="H99" i="27" s="1"/>
  <c r="I99" i="27" s="1"/>
  <c r="J99" i="27" s="1"/>
  <c r="K99" i="27" s="1"/>
  <c r="L99" i="27" s="1"/>
  <c r="M99" i="27" s="1"/>
  <c r="N99" i="27" s="1"/>
  <c r="O99" i="27" s="1"/>
  <c r="P99" i="27" s="1"/>
  <c r="Q99" i="27" s="1"/>
  <c r="R99" i="27" s="1"/>
  <c r="S99" i="27" s="1"/>
  <c r="T99" i="27" s="1"/>
  <c r="U99" i="27" s="1"/>
  <c r="V99" i="27" s="1"/>
  <c r="W99" i="27" s="1"/>
  <c r="X99" i="27" s="1"/>
  <c r="Y99" i="27" s="1"/>
  <c r="Z99" i="27" s="1"/>
  <c r="AA99" i="27" s="1"/>
  <c r="AB99" i="27" s="1"/>
  <c r="AC99" i="27" s="1"/>
  <c r="AD99" i="27" s="1"/>
  <c r="AE99" i="27" s="1"/>
  <c r="AF99" i="27" s="1"/>
  <c r="AG99" i="27" s="1"/>
  <c r="AH99" i="27" s="1"/>
  <c r="AI99" i="27" s="1"/>
  <c r="AJ99" i="27" s="1"/>
  <c r="AK99" i="27" s="1"/>
  <c r="AL99" i="27" s="1"/>
  <c r="AM99" i="27" s="1"/>
  <c r="AN99" i="27" s="1"/>
  <c r="AO99" i="27" s="1"/>
  <c r="AP99" i="27" s="1"/>
  <c r="AQ99" i="27" s="1"/>
  <c r="AR99" i="27" s="1"/>
  <c r="AS99" i="27" s="1"/>
  <c r="AT99" i="27" s="1"/>
  <c r="AU99" i="27" s="1"/>
  <c r="AV99" i="27" s="1"/>
  <c r="AW99" i="27" s="1"/>
  <c r="AX99" i="27" s="1"/>
  <c r="AY99" i="27" s="1"/>
  <c r="AZ99" i="27" s="1"/>
  <c r="BA99" i="27" s="1"/>
  <c r="E19" i="27"/>
  <c r="BD19" i="27" s="1"/>
  <c r="E20" i="23" s="1"/>
  <c r="D25" i="27"/>
  <c r="N25" i="27"/>
  <c r="BD20" i="27"/>
  <c r="E21" i="23" s="1"/>
  <c r="E25" i="27"/>
  <c r="O25" i="27"/>
  <c r="E108" i="24"/>
  <c r="E110" i="24" s="1"/>
  <c r="J108" i="24"/>
  <c r="J110" i="24" s="1"/>
  <c r="S87" i="24"/>
  <c r="H87" i="24"/>
  <c r="R87" i="24"/>
  <c r="O87" i="24"/>
  <c r="I87" i="24"/>
  <c r="F87" i="24"/>
  <c r="P87" i="24"/>
  <c r="G87" i="24"/>
  <c r="Q87" i="24"/>
  <c r="J87" i="24"/>
  <c r="K87" i="24"/>
  <c r="N87" i="24"/>
  <c r="D87" i="24"/>
  <c r="L87" i="24"/>
  <c r="E87" i="24"/>
  <c r="M87" i="24"/>
  <c r="BD92" i="24"/>
  <c r="D31" i="23" s="1"/>
  <c r="BD81" i="24"/>
  <c r="D20" i="23" s="1"/>
  <c r="BD86" i="24"/>
  <c r="D25" i="23" s="1"/>
  <c r="K69" i="24"/>
  <c r="L69" i="24" s="1"/>
  <c r="K99" i="24"/>
  <c r="L99" i="24" s="1"/>
  <c r="M99" i="24" s="1"/>
  <c r="N99" i="24" s="1"/>
  <c r="O99" i="24" s="1"/>
  <c r="P99" i="24" s="1"/>
  <c r="Q99" i="24" s="1"/>
  <c r="R99" i="24" s="1"/>
  <c r="BD30" i="24"/>
  <c r="C31" i="23" s="1"/>
  <c r="E19" i="24"/>
  <c r="BD19" i="24" s="1"/>
  <c r="C20" i="23" s="1"/>
  <c r="L25" i="24"/>
  <c r="O25" i="24"/>
  <c r="Q25" i="24"/>
  <c r="P25" i="24"/>
  <c r="K25" i="24"/>
  <c r="J25" i="24"/>
  <c r="I25" i="24"/>
  <c r="E25" i="24"/>
  <c r="H25" i="24"/>
  <c r="R25" i="24"/>
  <c r="G25" i="24"/>
  <c r="N25" i="24"/>
  <c r="M25" i="24"/>
  <c r="F25" i="24"/>
  <c r="D25" i="24"/>
  <c r="E18" i="27" l="1"/>
  <c r="E16" i="27" s="1"/>
  <c r="E21" i="27" s="1"/>
  <c r="E26" i="27" s="1"/>
  <c r="E31" i="27" s="1"/>
  <c r="E34" i="27" s="1"/>
  <c r="E50" i="27" s="1"/>
  <c r="D57" i="27" a="1"/>
  <c r="D57" i="27" s="1"/>
  <c r="E44" i="23" s="1"/>
  <c r="D58" i="27"/>
  <c r="E45" i="23" s="1"/>
  <c r="E108" i="27"/>
  <c r="E110" i="27" s="1"/>
  <c r="F108" i="27"/>
  <c r="F110" i="27" s="1"/>
  <c r="L108" i="27"/>
  <c r="L110" i="27" s="1"/>
  <c r="G108" i="27"/>
  <c r="G110" i="27" s="1"/>
  <c r="D108" i="27"/>
  <c r="D110" i="27" s="1"/>
  <c r="J108" i="27"/>
  <c r="J110" i="27" s="1"/>
  <c r="K108" i="27"/>
  <c r="K110" i="27" s="1"/>
  <c r="H108" i="27"/>
  <c r="H110" i="27" s="1"/>
  <c r="I108" i="27"/>
  <c r="I110" i="27" s="1"/>
  <c r="D119" i="24" a="1"/>
  <c r="D119" i="24" s="1"/>
  <c r="D44" i="23" s="1"/>
  <c r="D120" i="24"/>
  <c r="D45" i="23" s="1"/>
  <c r="BD87" i="27"/>
  <c r="F26" i="23" s="1"/>
  <c r="U100" i="27"/>
  <c r="U76" i="27"/>
  <c r="U80" i="27" s="1"/>
  <c r="O14" i="27"/>
  <c r="O18" i="27" s="1"/>
  <c r="O38" i="27"/>
  <c r="M100" i="27"/>
  <c r="M76" i="27"/>
  <c r="M80" i="27" s="1"/>
  <c r="BD25" i="27"/>
  <c r="E26" i="23" s="1"/>
  <c r="AM100" i="27"/>
  <c r="AM76" i="27"/>
  <c r="AM80" i="27" s="1"/>
  <c r="V14" i="27"/>
  <c r="V18" i="27" s="1"/>
  <c r="V38" i="27"/>
  <c r="AS100" i="27"/>
  <c r="AS76" i="27"/>
  <c r="AS80" i="27" s="1"/>
  <c r="AW76" i="27"/>
  <c r="AW80" i="27" s="1"/>
  <c r="AW100" i="27"/>
  <c r="AO100" i="27"/>
  <c r="AO76" i="27"/>
  <c r="AO80" i="27" s="1"/>
  <c r="AH100" i="27"/>
  <c r="AH76" i="27"/>
  <c r="AH80" i="27" s="1"/>
  <c r="E78" i="27"/>
  <c r="E83" i="27" s="1"/>
  <c r="E88" i="27" s="1"/>
  <c r="E93" i="27" s="1"/>
  <c r="E96" i="27" s="1"/>
  <c r="AF100" i="27"/>
  <c r="AF76" i="27"/>
  <c r="AF80" i="27" s="1"/>
  <c r="AA100" i="27"/>
  <c r="AA76" i="27"/>
  <c r="AA80" i="27" s="1"/>
  <c r="L100" i="27"/>
  <c r="L76" i="27"/>
  <c r="L80" i="27" s="1"/>
  <c r="Q76" i="27"/>
  <c r="Q80" i="27" s="1"/>
  <c r="Q100" i="27"/>
  <c r="W38" i="27"/>
  <c r="W14" i="27"/>
  <c r="W18" i="27" s="1"/>
  <c r="L14" i="27"/>
  <c r="L18" i="27" s="1"/>
  <c r="L38" i="27"/>
  <c r="H100" i="27"/>
  <c r="H76" i="27"/>
  <c r="H80" i="27" s="1"/>
  <c r="V100" i="27"/>
  <c r="V76" i="27"/>
  <c r="V80" i="27" s="1"/>
  <c r="AU100" i="27"/>
  <c r="AU76" i="27"/>
  <c r="AU80" i="27" s="1"/>
  <c r="O100" i="27"/>
  <c r="O76" i="27"/>
  <c r="O80" i="27" s="1"/>
  <c r="Y38" i="27"/>
  <c r="Y14" i="27"/>
  <c r="Y18" i="27" s="1"/>
  <c r="AN100" i="27"/>
  <c r="AN76" i="27"/>
  <c r="AN80" i="27" s="1"/>
  <c r="AI100" i="27"/>
  <c r="AI76" i="27"/>
  <c r="AI80" i="27" s="1"/>
  <c r="T100" i="27"/>
  <c r="T76" i="27"/>
  <c r="T80" i="27" s="1"/>
  <c r="H29" i="27"/>
  <c r="H16" i="27"/>
  <c r="H21" i="27" s="1"/>
  <c r="W100" i="27"/>
  <c r="W76" i="27"/>
  <c r="W80" i="27" s="1"/>
  <c r="X38" i="27"/>
  <c r="X14" i="27"/>
  <c r="X18" i="27" s="1"/>
  <c r="Q38" i="27"/>
  <c r="Q14" i="27"/>
  <c r="Q18" i="27" s="1"/>
  <c r="S14" i="27"/>
  <c r="S18" i="27" s="1"/>
  <c r="S38" i="27"/>
  <c r="AQ100" i="27"/>
  <c r="AQ76" i="27"/>
  <c r="AQ80" i="27" s="1"/>
  <c r="R16" i="27"/>
  <c r="R21" i="27" s="1"/>
  <c r="R29" i="27"/>
  <c r="I76" i="27"/>
  <c r="I80" i="27" s="1"/>
  <c r="I100" i="27"/>
  <c r="X100" i="27"/>
  <c r="X76" i="27"/>
  <c r="X80" i="27" s="1"/>
  <c r="AZ100" i="27"/>
  <c r="AZ76" i="27"/>
  <c r="AZ80" i="27" s="1"/>
  <c r="AK100" i="27"/>
  <c r="AK76" i="27"/>
  <c r="AK80" i="27" s="1"/>
  <c r="AC76" i="27"/>
  <c r="AC80" i="27" s="1"/>
  <c r="AC100" i="27"/>
  <c r="BD75" i="27"/>
  <c r="D76" i="27"/>
  <c r="D80" i="27" s="1"/>
  <c r="M14" i="27"/>
  <c r="M18" i="27" s="1"/>
  <c r="M38" i="27"/>
  <c r="AG76" i="27"/>
  <c r="AG80" i="27" s="1"/>
  <c r="AG100" i="27"/>
  <c r="Y100" i="27"/>
  <c r="Y76" i="27"/>
  <c r="Y80" i="27" s="1"/>
  <c r="P14" i="27"/>
  <c r="P18" i="27" s="1"/>
  <c r="P38" i="27"/>
  <c r="AV100" i="27"/>
  <c r="AV76" i="27"/>
  <c r="AV80" i="27" s="1"/>
  <c r="AB100" i="27"/>
  <c r="AB76" i="27"/>
  <c r="AB80" i="27" s="1"/>
  <c r="AD76" i="27"/>
  <c r="AD80" i="27" s="1"/>
  <c r="AD100" i="27"/>
  <c r="AT76" i="27"/>
  <c r="AT80" i="27" s="1"/>
  <c r="AT100" i="27"/>
  <c r="K38" i="27"/>
  <c r="K14" i="27"/>
  <c r="K18" i="27" s="1"/>
  <c r="AL100" i="27"/>
  <c r="AL76" i="27"/>
  <c r="AL80" i="27" s="1"/>
  <c r="P100" i="27"/>
  <c r="P76" i="27"/>
  <c r="P80" i="27" s="1"/>
  <c r="Z38" i="27"/>
  <c r="Z14" i="27"/>
  <c r="Z18" i="27" s="1"/>
  <c r="F38" i="27"/>
  <c r="F14" i="27"/>
  <c r="F18" i="27" s="1"/>
  <c r="AY100" i="27"/>
  <c r="AY76" i="27"/>
  <c r="AY80" i="27" s="1"/>
  <c r="AJ100" i="27"/>
  <c r="AJ76" i="27"/>
  <c r="AJ80" i="27" s="1"/>
  <c r="AB29" i="27"/>
  <c r="AB16" i="27"/>
  <c r="AB21" i="27" s="1"/>
  <c r="T14" i="27"/>
  <c r="T18" i="27" s="1"/>
  <c r="T38" i="27"/>
  <c r="AE100" i="27"/>
  <c r="AE76" i="27"/>
  <c r="AE80" i="27" s="1"/>
  <c r="U14" i="27"/>
  <c r="U18" i="27" s="1"/>
  <c r="U38" i="27"/>
  <c r="BA100" i="27"/>
  <c r="BA76" i="27"/>
  <c r="BA80" i="27" s="1"/>
  <c r="K100" i="27"/>
  <c r="K76" i="27"/>
  <c r="K80" i="27" s="1"/>
  <c r="S100" i="27"/>
  <c r="S76" i="27"/>
  <c r="S80" i="27" s="1"/>
  <c r="J100" i="27"/>
  <c r="J76" i="27"/>
  <c r="J80" i="27" s="1"/>
  <c r="D14" i="27"/>
  <c r="D18" i="27" s="1"/>
  <c r="BD13" i="27"/>
  <c r="BD99" i="27"/>
  <c r="F38" i="23" s="1"/>
  <c r="R100" i="27"/>
  <c r="R76" i="27"/>
  <c r="R80" i="27" s="1"/>
  <c r="I38" i="27"/>
  <c r="I14" i="27"/>
  <c r="I18" i="27" s="1"/>
  <c r="F100" i="27"/>
  <c r="F76" i="27"/>
  <c r="F80" i="27" s="1"/>
  <c r="AP100" i="27"/>
  <c r="AP76" i="27"/>
  <c r="AP80" i="27" s="1"/>
  <c r="J38" i="27"/>
  <c r="J14" i="27"/>
  <c r="J18" i="27" s="1"/>
  <c r="N76" i="27"/>
  <c r="N80" i="27" s="1"/>
  <c r="N100" i="27"/>
  <c r="AX100" i="27"/>
  <c r="AX76" i="27"/>
  <c r="AX80" i="27" s="1"/>
  <c r="Z100" i="27"/>
  <c r="Z76" i="27"/>
  <c r="Z80" i="27" s="1"/>
  <c r="G100" i="27"/>
  <c r="G76" i="27"/>
  <c r="G80" i="27" s="1"/>
  <c r="N38" i="27"/>
  <c r="N14" i="27"/>
  <c r="N18" i="27" s="1"/>
  <c r="G14" i="27"/>
  <c r="G18" i="27" s="1"/>
  <c r="G38" i="27"/>
  <c r="AR100" i="27"/>
  <c r="AR76" i="27"/>
  <c r="AR80" i="27" s="1"/>
  <c r="AA16" i="27"/>
  <c r="AA21" i="27" s="1"/>
  <c r="AA29" i="27"/>
  <c r="BD25" i="24"/>
  <c r="C26" i="23" s="1"/>
  <c r="BD87" i="24"/>
  <c r="D26" i="23" s="1"/>
  <c r="S99" i="24"/>
  <c r="M69" i="24"/>
  <c r="BD100" i="27" l="1"/>
  <c r="F39" i="23" s="1"/>
  <c r="F15" i="23"/>
  <c r="F49" i="23"/>
  <c r="BD38" i="27"/>
  <c r="E39" i="23" s="1"/>
  <c r="E15" i="23"/>
  <c r="E49" i="23"/>
  <c r="E112" i="27"/>
  <c r="D119" i="27" a="1"/>
  <c r="D119" i="27" s="1"/>
  <c r="F44" i="23" s="1"/>
  <c r="D120" i="27"/>
  <c r="F45" i="23" s="1"/>
  <c r="D39" i="27"/>
  <c r="R22" i="27"/>
  <c r="R26" i="27"/>
  <c r="AA22" i="27"/>
  <c r="AA26" i="27"/>
  <c r="AI91" i="27"/>
  <c r="AI78" i="27"/>
  <c r="AI83" i="27" s="1"/>
  <c r="I16" i="27"/>
  <c r="I21" i="27" s="1"/>
  <c r="I29" i="27"/>
  <c r="U16" i="27"/>
  <c r="U21" i="27" s="1"/>
  <c r="U29" i="27"/>
  <c r="M29" i="27"/>
  <c r="M16" i="27"/>
  <c r="M21" i="27" s="1"/>
  <c r="W78" i="27"/>
  <c r="W83" i="27" s="1"/>
  <c r="W91" i="27"/>
  <c r="AF78" i="27"/>
  <c r="AF83" i="27" s="1"/>
  <c r="AF91" i="27"/>
  <c r="X91" i="27"/>
  <c r="X78" i="27"/>
  <c r="X83" i="27" s="1"/>
  <c r="AN91" i="27"/>
  <c r="AN78" i="27"/>
  <c r="AN83" i="27" s="1"/>
  <c r="K91" i="27"/>
  <c r="K78" i="27"/>
  <c r="K83" i="27" s="1"/>
  <c r="AB26" i="27"/>
  <c r="AB22" i="27"/>
  <c r="AE91" i="27"/>
  <c r="AE78" i="27"/>
  <c r="AE83" i="27" s="1"/>
  <c r="BD76" i="27"/>
  <c r="F16" i="23" s="1"/>
  <c r="AW91" i="27"/>
  <c r="AW78" i="27"/>
  <c r="AW83" i="27" s="1"/>
  <c r="J16" i="27"/>
  <c r="J21" i="27" s="1"/>
  <c r="J29" i="27"/>
  <c r="P29" i="27"/>
  <c r="P16" i="27"/>
  <c r="P21" i="27" s="1"/>
  <c r="V91" i="27"/>
  <c r="V78" i="27"/>
  <c r="V83" i="27" s="1"/>
  <c r="AS91" i="27"/>
  <c r="AS78" i="27"/>
  <c r="AS83" i="27" s="1"/>
  <c r="Z91" i="27"/>
  <c r="Z78" i="27"/>
  <c r="Z83" i="27" s="1"/>
  <c r="AC91" i="27"/>
  <c r="AC78" i="27"/>
  <c r="AC83" i="27" s="1"/>
  <c r="AQ78" i="27"/>
  <c r="AQ83" i="27" s="1"/>
  <c r="AQ91" i="27"/>
  <c r="S78" i="27"/>
  <c r="S83" i="27" s="1"/>
  <c r="S91" i="27"/>
  <c r="Z29" i="27"/>
  <c r="Z16" i="27"/>
  <c r="Z21" i="27" s="1"/>
  <c r="AT78" i="27"/>
  <c r="AT83" i="27" s="1"/>
  <c r="AT91" i="27"/>
  <c r="P91" i="27"/>
  <c r="P78" i="27"/>
  <c r="P83" i="27" s="1"/>
  <c r="W29" i="27"/>
  <c r="W16" i="27"/>
  <c r="W21" i="27" s="1"/>
  <c r="N91" i="27"/>
  <c r="N78" i="27"/>
  <c r="N83" i="27" s="1"/>
  <c r="G78" i="27"/>
  <c r="G83" i="27" s="1"/>
  <c r="G91" i="27"/>
  <c r="M91" i="27"/>
  <c r="M78" i="27"/>
  <c r="M83" i="27" s="1"/>
  <c r="Y91" i="27"/>
  <c r="Y78" i="27"/>
  <c r="Y83" i="27" s="1"/>
  <c r="H26" i="27"/>
  <c r="H22" i="27"/>
  <c r="Q91" i="27"/>
  <c r="Q78" i="27"/>
  <c r="Q83" i="27" s="1"/>
  <c r="AR91" i="27"/>
  <c r="AR78" i="27"/>
  <c r="AR83" i="27" s="1"/>
  <c r="AP91" i="27"/>
  <c r="AP78" i="27"/>
  <c r="AP83" i="27" s="1"/>
  <c r="H78" i="27"/>
  <c r="H83" i="27" s="1"/>
  <c r="H91" i="27"/>
  <c r="AH78" i="27"/>
  <c r="AH83" i="27" s="1"/>
  <c r="AH91" i="27"/>
  <c r="BA78" i="27"/>
  <c r="BA83" i="27" s="1"/>
  <c r="BA91" i="27"/>
  <c r="AL78" i="27"/>
  <c r="AL83" i="27" s="1"/>
  <c r="AL91" i="27"/>
  <c r="AG78" i="27"/>
  <c r="AG83" i="27" s="1"/>
  <c r="AG91" i="27"/>
  <c r="X29" i="27"/>
  <c r="X16" i="27"/>
  <c r="X21" i="27" s="1"/>
  <c r="T91" i="27"/>
  <c r="T78" i="27"/>
  <c r="T83" i="27" s="1"/>
  <c r="O91" i="27"/>
  <c r="O78" i="27"/>
  <c r="O83" i="27" s="1"/>
  <c r="AA91" i="27"/>
  <c r="AA78" i="27"/>
  <c r="AA83" i="27" s="1"/>
  <c r="AO91" i="27"/>
  <c r="AO78" i="27"/>
  <c r="AO83" i="27" s="1"/>
  <c r="V16" i="27"/>
  <c r="V21" i="27" s="1"/>
  <c r="V29" i="27"/>
  <c r="U91" i="27"/>
  <c r="U78" i="27"/>
  <c r="U83" i="27" s="1"/>
  <c r="N29" i="27"/>
  <c r="N16" i="27"/>
  <c r="N21" i="27" s="1"/>
  <c r="AU78" i="27"/>
  <c r="AU83" i="27" s="1"/>
  <c r="AU91" i="27"/>
  <c r="R78" i="27"/>
  <c r="R83" i="27" s="1"/>
  <c r="R91" i="27"/>
  <c r="AJ91" i="27"/>
  <c r="AJ78" i="27"/>
  <c r="AJ83" i="27" s="1"/>
  <c r="S16" i="27"/>
  <c r="S21" i="27" s="1"/>
  <c r="S29" i="27"/>
  <c r="T16" i="27"/>
  <c r="T21" i="27" s="1"/>
  <c r="T29" i="27"/>
  <c r="AD91" i="27"/>
  <c r="AD78" i="27"/>
  <c r="AD83" i="27" s="1"/>
  <c r="I91" i="27"/>
  <c r="I78" i="27"/>
  <c r="I83" i="27" s="1"/>
  <c r="Q16" i="27"/>
  <c r="Q21" i="27" s="1"/>
  <c r="Q29" i="27"/>
  <c r="Y16" i="27"/>
  <c r="Y21" i="27" s="1"/>
  <c r="Y29" i="27"/>
  <c r="L91" i="27"/>
  <c r="L78" i="27"/>
  <c r="L83" i="27" s="1"/>
  <c r="AY91" i="27"/>
  <c r="AY78" i="27"/>
  <c r="AY83" i="27" s="1"/>
  <c r="AB91" i="27"/>
  <c r="AB78" i="27"/>
  <c r="AB83" i="27" s="1"/>
  <c r="AK78" i="27"/>
  <c r="AK83" i="27" s="1"/>
  <c r="AK91" i="27"/>
  <c r="O29" i="27"/>
  <c r="O16" i="27"/>
  <c r="O21" i="27" s="1"/>
  <c r="AX91" i="27"/>
  <c r="AX78" i="27"/>
  <c r="AX83" i="27" s="1"/>
  <c r="F91" i="27"/>
  <c r="F78" i="27"/>
  <c r="F83" i="27" s="1"/>
  <c r="BD14" i="27"/>
  <c r="E16" i="23" s="1"/>
  <c r="G29" i="27"/>
  <c r="G16" i="27"/>
  <c r="G21" i="27" s="1"/>
  <c r="D101" i="27"/>
  <c r="J78" i="27"/>
  <c r="J83" i="27" s="1"/>
  <c r="J91" i="27"/>
  <c r="F29" i="27"/>
  <c r="F16" i="27"/>
  <c r="F21" i="27" s="1"/>
  <c r="K16" i="27"/>
  <c r="K21" i="27" s="1"/>
  <c r="K29" i="27"/>
  <c r="AV91" i="27"/>
  <c r="AV78" i="27"/>
  <c r="AV83" i="27" s="1"/>
  <c r="AZ91" i="27"/>
  <c r="AZ78" i="27"/>
  <c r="AZ83" i="27" s="1"/>
  <c r="L16" i="27"/>
  <c r="L21" i="27" s="1"/>
  <c r="L29" i="27"/>
  <c r="AM91" i="27"/>
  <c r="AM78" i="27"/>
  <c r="AM83" i="27" s="1"/>
  <c r="T99" i="24"/>
  <c r="N69" i="24"/>
  <c r="I88" i="27" l="1"/>
  <c r="I84" i="27"/>
  <c r="AO84" i="27"/>
  <c r="AO88" i="27"/>
  <c r="W84" i="27"/>
  <c r="W88" i="27"/>
  <c r="F88" i="27"/>
  <c r="F84" i="27"/>
  <c r="AK88" i="27"/>
  <c r="AK84" i="27"/>
  <c r="Z22" i="27"/>
  <c r="Z26" i="27"/>
  <c r="AE88" i="27"/>
  <c r="AE84" i="27"/>
  <c r="M88" i="27"/>
  <c r="M84" i="27"/>
  <c r="K22" i="27"/>
  <c r="K26" i="27"/>
  <c r="AG88" i="27"/>
  <c r="AG84" i="27"/>
  <c r="P88" i="27"/>
  <c r="P84" i="27"/>
  <c r="J22" i="27"/>
  <c r="J26" i="27"/>
  <c r="AY84" i="27"/>
  <c r="AY88" i="27"/>
  <c r="AS88" i="27"/>
  <c r="AS84" i="27"/>
  <c r="AW84" i="27"/>
  <c r="AW88" i="27"/>
  <c r="K84" i="27"/>
  <c r="K88" i="27"/>
  <c r="AF84" i="27"/>
  <c r="AF88" i="27"/>
  <c r="L88" i="27"/>
  <c r="L84" i="27"/>
  <c r="S22" i="27"/>
  <c r="S26" i="27"/>
  <c r="AP84" i="27"/>
  <c r="AP88" i="27"/>
  <c r="V88" i="27"/>
  <c r="V84" i="27"/>
  <c r="AN84" i="27"/>
  <c r="AN88" i="27"/>
  <c r="AJ88" i="27"/>
  <c r="AJ84" i="27"/>
  <c r="Y88" i="27"/>
  <c r="Y84" i="27"/>
  <c r="AD88" i="27"/>
  <c r="AD84" i="27"/>
  <c r="AR88" i="27"/>
  <c r="AR84" i="27"/>
  <c r="P26" i="27"/>
  <c r="P22" i="27"/>
  <c r="AI84" i="27"/>
  <c r="AI88" i="27"/>
  <c r="U84" i="27"/>
  <c r="U88" i="27"/>
  <c r="W26" i="27"/>
  <c r="W22" i="27"/>
  <c r="R88" i="27"/>
  <c r="R84" i="27"/>
  <c r="O88" i="27"/>
  <c r="O84" i="27"/>
  <c r="AH84" i="27"/>
  <c r="AH88" i="27"/>
  <c r="S88" i="27"/>
  <c r="S84" i="27"/>
  <c r="AZ88" i="27"/>
  <c r="AZ84" i="27"/>
  <c r="T84" i="27"/>
  <c r="T88" i="27"/>
  <c r="H84" i="27"/>
  <c r="H88" i="27"/>
  <c r="AQ84" i="27"/>
  <c r="AQ88" i="27"/>
  <c r="Z84" i="27"/>
  <c r="Z88" i="27"/>
  <c r="AV84" i="27"/>
  <c r="AV88" i="27"/>
  <c r="X26" i="27"/>
  <c r="X22" i="27"/>
  <c r="AT88" i="27"/>
  <c r="AT84" i="27"/>
  <c r="AU88" i="27"/>
  <c r="AU84" i="27"/>
  <c r="AA84" i="27"/>
  <c r="AA88" i="27"/>
  <c r="L26" i="27"/>
  <c r="L22" i="27"/>
  <c r="N26" i="27"/>
  <c r="N22" i="27"/>
  <c r="AC88" i="27"/>
  <c r="AC84" i="27"/>
  <c r="U22" i="27"/>
  <c r="U26" i="27"/>
  <c r="AA27" i="27"/>
  <c r="AA31" i="27"/>
  <c r="BD79" i="27"/>
  <c r="F19" i="23" s="1"/>
  <c r="D78" i="27"/>
  <c r="X88" i="27"/>
  <c r="X84" i="27"/>
  <c r="V26" i="27"/>
  <c r="V22" i="27"/>
  <c r="M22" i="27"/>
  <c r="M26" i="27"/>
  <c r="G84" i="27"/>
  <c r="G88" i="27"/>
  <c r="Y22" i="27"/>
  <c r="Y26" i="27"/>
  <c r="N88" i="27"/>
  <c r="N84" i="27"/>
  <c r="O26" i="27"/>
  <c r="O22" i="27"/>
  <c r="Q22" i="27"/>
  <c r="Q26" i="27"/>
  <c r="R27" i="27"/>
  <c r="R31" i="27"/>
  <c r="AB88" i="27"/>
  <c r="AB84" i="27"/>
  <c r="AL88" i="27"/>
  <c r="AL84" i="27"/>
  <c r="D16" i="27"/>
  <c r="BD17" i="27"/>
  <c r="E19" i="23" s="1"/>
  <c r="BA88" i="27"/>
  <c r="BA84" i="27"/>
  <c r="H27" i="27"/>
  <c r="H31" i="27"/>
  <c r="G26" i="27"/>
  <c r="G22" i="27"/>
  <c r="T26" i="27"/>
  <c r="T22" i="27"/>
  <c r="I22" i="27"/>
  <c r="I26" i="27"/>
  <c r="Q88" i="27"/>
  <c r="Q84" i="27"/>
  <c r="J88" i="27"/>
  <c r="J84" i="27"/>
  <c r="F26" i="27"/>
  <c r="F22" i="27"/>
  <c r="BD91" i="27"/>
  <c r="F30" i="23" s="1"/>
  <c r="AM84" i="27"/>
  <c r="AM88" i="27"/>
  <c r="BD29" i="27"/>
  <c r="E30" i="23" s="1"/>
  <c r="AX84" i="27"/>
  <c r="AX88" i="27"/>
  <c r="AB27" i="27"/>
  <c r="AB31" i="27"/>
  <c r="O69" i="24"/>
  <c r="U99" i="24"/>
  <c r="AA93" i="27" l="1"/>
  <c r="AA89" i="27"/>
  <c r="F93" i="27"/>
  <c r="F89" i="27"/>
  <c r="S31" i="27"/>
  <c r="S27" i="27"/>
  <c r="U31" i="27"/>
  <c r="U27" i="27"/>
  <c r="J31" i="27"/>
  <c r="J27" i="27"/>
  <c r="V31" i="27"/>
  <c r="V27" i="27"/>
  <c r="O93" i="27"/>
  <c r="O89" i="27"/>
  <c r="Y93" i="27"/>
  <c r="Y89" i="27"/>
  <c r="I31" i="27"/>
  <c r="I27" i="27"/>
  <c r="Y27" i="27"/>
  <c r="Y31" i="27"/>
  <c r="BA89" i="27"/>
  <c r="BA93" i="27"/>
  <c r="X93" i="27"/>
  <c r="X89" i="27"/>
  <c r="AU93" i="27"/>
  <c r="AU89" i="27"/>
  <c r="AZ93" i="27"/>
  <c r="AZ89" i="27"/>
  <c r="P27" i="27"/>
  <c r="P31" i="27"/>
  <c r="P93" i="27"/>
  <c r="P89" i="27"/>
  <c r="AQ93" i="27"/>
  <c r="AQ89" i="27"/>
  <c r="H32" i="27"/>
  <c r="H34" i="27"/>
  <c r="AI93" i="27"/>
  <c r="AI89" i="27"/>
  <c r="Q89" i="27"/>
  <c r="Q93" i="27"/>
  <c r="N93" i="27"/>
  <c r="N89" i="27"/>
  <c r="Z93" i="27"/>
  <c r="Z89" i="27"/>
  <c r="AW93" i="27"/>
  <c r="AW89" i="27"/>
  <c r="W93" i="27"/>
  <c r="W89" i="27"/>
  <c r="AC89" i="27"/>
  <c r="AC93" i="27"/>
  <c r="R89" i="27"/>
  <c r="R93" i="27"/>
  <c r="AJ93" i="27"/>
  <c r="AJ89" i="27"/>
  <c r="AE93" i="27"/>
  <c r="AE89" i="27"/>
  <c r="T93" i="27"/>
  <c r="T89" i="27"/>
  <c r="AP93" i="27"/>
  <c r="AP89" i="27"/>
  <c r="AB89" i="27"/>
  <c r="AB93" i="27"/>
  <c r="G89" i="27"/>
  <c r="G93" i="27"/>
  <c r="AO89" i="27"/>
  <c r="AO93" i="27"/>
  <c r="T31" i="27"/>
  <c r="T27" i="27"/>
  <c r="N31" i="27"/>
  <c r="N27" i="27"/>
  <c r="S89" i="27"/>
  <c r="S93" i="27"/>
  <c r="AR93" i="27"/>
  <c r="AR89" i="27"/>
  <c r="L93" i="27"/>
  <c r="L89" i="27"/>
  <c r="AS89" i="27"/>
  <c r="AS93" i="27"/>
  <c r="AG93" i="27"/>
  <c r="AG89" i="27"/>
  <c r="AX93" i="27"/>
  <c r="AX89" i="27"/>
  <c r="M31" i="27"/>
  <c r="M27" i="27"/>
  <c r="AA34" i="27"/>
  <c r="AA32" i="27"/>
  <c r="H93" i="27"/>
  <c r="H89" i="27"/>
  <c r="AH93" i="27"/>
  <c r="AH89" i="27"/>
  <c r="U89" i="27"/>
  <c r="U93" i="27"/>
  <c r="AF93" i="27"/>
  <c r="AF89" i="27"/>
  <c r="AY93" i="27"/>
  <c r="AY89" i="27"/>
  <c r="K27" i="27"/>
  <c r="K31" i="27"/>
  <c r="AV93" i="27"/>
  <c r="AV89" i="27"/>
  <c r="K93" i="27"/>
  <c r="K89" i="27"/>
  <c r="AM89" i="27"/>
  <c r="AM93" i="27"/>
  <c r="M89" i="27"/>
  <c r="M93" i="27"/>
  <c r="R32" i="27"/>
  <c r="R34" i="27"/>
  <c r="AB34" i="27"/>
  <c r="AB32" i="27"/>
  <c r="Q27" i="27"/>
  <c r="Q31" i="27"/>
  <c r="BD78" i="27"/>
  <c r="F18" i="23" s="1"/>
  <c r="D83" i="27"/>
  <c r="AN93" i="27"/>
  <c r="AN89" i="27"/>
  <c r="Z27" i="27"/>
  <c r="Z31" i="27"/>
  <c r="F31" i="27"/>
  <c r="F27" i="27"/>
  <c r="BD16" i="27"/>
  <c r="E18" i="23" s="1"/>
  <c r="D21" i="27"/>
  <c r="AT93" i="27"/>
  <c r="AT89" i="27"/>
  <c r="W27" i="27"/>
  <c r="W31" i="27"/>
  <c r="J93" i="27"/>
  <c r="J89" i="27"/>
  <c r="G27" i="27"/>
  <c r="G31" i="27"/>
  <c r="AL93" i="27"/>
  <c r="AL89" i="27"/>
  <c r="O27" i="27"/>
  <c r="O31" i="27"/>
  <c r="L31" i="27"/>
  <c r="L27" i="27"/>
  <c r="X27" i="27"/>
  <c r="X31" i="27"/>
  <c r="AD89" i="27"/>
  <c r="AD93" i="27"/>
  <c r="V93" i="27"/>
  <c r="V89" i="27"/>
  <c r="AK89" i="27"/>
  <c r="AK93" i="27"/>
  <c r="I93" i="27"/>
  <c r="I89" i="27"/>
  <c r="V99" i="24"/>
  <c r="P69" i="24"/>
  <c r="Q96" i="27" l="1"/>
  <c r="Q94" i="27"/>
  <c r="AY94" i="27"/>
  <c r="AY96" i="27"/>
  <c r="AE94" i="27"/>
  <c r="AE96" i="27"/>
  <c r="X94" i="27"/>
  <c r="X96" i="27"/>
  <c r="W34" i="27"/>
  <c r="W32" i="27"/>
  <c r="V94" i="27"/>
  <c r="V96" i="27"/>
  <c r="AB35" i="27"/>
  <c r="AB50" i="27"/>
  <c r="N32" i="27"/>
  <c r="N34" i="27"/>
  <c r="AI94" i="27"/>
  <c r="AI96" i="27"/>
  <c r="Q32" i="27"/>
  <c r="Q34" i="27"/>
  <c r="G94" i="27"/>
  <c r="G96" i="27"/>
  <c r="L34" i="27"/>
  <c r="L32" i="27"/>
  <c r="U32" i="27"/>
  <c r="U34" i="27"/>
  <c r="O32" i="27"/>
  <c r="O34" i="27"/>
  <c r="Z32" i="27"/>
  <c r="Z34" i="27"/>
  <c r="AS96" i="27"/>
  <c r="AS94" i="27"/>
  <c r="AB96" i="27"/>
  <c r="AB94" i="27"/>
  <c r="BA96" i="27"/>
  <c r="BA94" i="27"/>
  <c r="K96" i="27"/>
  <c r="K94" i="27"/>
  <c r="AW94" i="27"/>
  <c r="AW96" i="27"/>
  <c r="S34" i="27"/>
  <c r="S32" i="27"/>
  <c r="H50" i="27"/>
  <c r="H35" i="27"/>
  <c r="AK96" i="27"/>
  <c r="AK94" i="27"/>
  <c r="Y94" i="27"/>
  <c r="Y96" i="27"/>
  <c r="AA35" i="27"/>
  <c r="AA50" i="27"/>
  <c r="AJ96" i="27"/>
  <c r="AJ94" i="27"/>
  <c r="S94" i="27"/>
  <c r="S96" i="27"/>
  <c r="F32" i="27"/>
  <c r="F34" i="27"/>
  <c r="AG94" i="27"/>
  <c r="AG96" i="27"/>
  <c r="W94" i="27"/>
  <c r="W96" i="27"/>
  <c r="O94" i="27"/>
  <c r="O96" i="27"/>
  <c r="U96" i="27"/>
  <c r="U94" i="27"/>
  <c r="R96" i="27"/>
  <c r="R94" i="27"/>
  <c r="Y32" i="27"/>
  <c r="Y34" i="27"/>
  <c r="AT96" i="27"/>
  <c r="AT94" i="27"/>
  <c r="AV94" i="27"/>
  <c r="AV96" i="27"/>
  <c r="M32" i="27"/>
  <c r="M34" i="27"/>
  <c r="L96" i="27"/>
  <c r="L94" i="27"/>
  <c r="F96" i="27"/>
  <c r="F94" i="27"/>
  <c r="X34" i="27"/>
  <c r="X32" i="27"/>
  <c r="G32" i="27"/>
  <c r="G34" i="27"/>
  <c r="D26" i="27"/>
  <c r="BD21" i="27"/>
  <c r="D88" i="27"/>
  <c r="BD83" i="27"/>
  <c r="M96" i="27"/>
  <c r="M94" i="27"/>
  <c r="K34" i="27"/>
  <c r="K32" i="27"/>
  <c r="AO94" i="27"/>
  <c r="AO96" i="27"/>
  <c r="AC96" i="27"/>
  <c r="AC94" i="27"/>
  <c r="AM94" i="27"/>
  <c r="AM96" i="27"/>
  <c r="J94" i="27"/>
  <c r="J96" i="27"/>
  <c r="H94" i="27"/>
  <c r="H96" i="27"/>
  <c r="P96" i="27"/>
  <c r="P94" i="27"/>
  <c r="P32" i="27"/>
  <c r="P34" i="27"/>
  <c r="AF94" i="27"/>
  <c r="AF96" i="27"/>
  <c r="AD94" i="27"/>
  <c r="AD96" i="27"/>
  <c r="R50" i="27"/>
  <c r="R35" i="27"/>
  <c r="AL94" i="27"/>
  <c r="AL96" i="27"/>
  <c r="AN94" i="27"/>
  <c r="AN96" i="27"/>
  <c r="T34" i="27"/>
  <c r="T32" i="27"/>
  <c r="AP94" i="27"/>
  <c r="AP96" i="27"/>
  <c r="Z94" i="27"/>
  <c r="Z96" i="27"/>
  <c r="AZ96" i="27"/>
  <c r="AZ94" i="27"/>
  <c r="V32" i="27"/>
  <c r="V34" i="27"/>
  <c r="I94" i="27"/>
  <c r="I96" i="27"/>
  <c r="AH96" i="27"/>
  <c r="AH94" i="27"/>
  <c r="AX94" i="27"/>
  <c r="AX96" i="27"/>
  <c r="AR96" i="27"/>
  <c r="AR94" i="27"/>
  <c r="T96" i="27"/>
  <c r="T94" i="27"/>
  <c r="N96" i="27"/>
  <c r="N94" i="27"/>
  <c r="AQ94" i="27"/>
  <c r="AQ96" i="27"/>
  <c r="AU94" i="27"/>
  <c r="AU96" i="27"/>
  <c r="I34" i="27"/>
  <c r="I32" i="27"/>
  <c r="J34" i="27"/>
  <c r="J32" i="27"/>
  <c r="AA94" i="27"/>
  <c r="AA96" i="27"/>
  <c r="Q69" i="24"/>
  <c r="W99" i="24"/>
  <c r="BD84" i="27" l="1"/>
  <c r="F23" i="23" s="1"/>
  <c r="F22" i="23"/>
  <c r="BD22" i="27"/>
  <c r="E23" i="23" s="1"/>
  <c r="E22" i="23"/>
  <c r="AM97" i="27"/>
  <c r="AM112" i="27"/>
  <c r="AV97" i="27"/>
  <c r="AV112" i="27"/>
  <c r="J35" i="27"/>
  <c r="J50" i="27"/>
  <c r="U112" i="27"/>
  <c r="U97" i="27"/>
  <c r="AS112" i="27"/>
  <c r="AS97" i="27"/>
  <c r="AP112" i="27"/>
  <c r="AP97" i="27"/>
  <c r="S112" i="27"/>
  <c r="S97" i="27"/>
  <c r="I50" i="27"/>
  <c r="I35" i="27"/>
  <c r="P97" i="27"/>
  <c r="P112" i="27"/>
  <c r="F97" i="27"/>
  <c r="F112" i="27"/>
  <c r="AK97" i="27"/>
  <c r="AK112" i="27"/>
  <c r="X97" i="27"/>
  <c r="X112" i="27"/>
  <c r="AH97" i="27"/>
  <c r="AH112" i="27"/>
  <c r="L35" i="27"/>
  <c r="L50" i="27"/>
  <c r="O112" i="27"/>
  <c r="O97" i="27"/>
  <c r="G97" i="27"/>
  <c r="G112" i="27"/>
  <c r="BD88" i="27"/>
  <c r="D93" i="27"/>
  <c r="V35" i="27"/>
  <c r="V50" i="27"/>
  <c r="H97" i="27"/>
  <c r="H112" i="27"/>
  <c r="AO112" i="27"/>
  <c r="AO97" i="27"/>
  <c r="Y50" i="27"/>
  <c r="Y35" i="27"/>
  <c r="W97" i="27"/>
  <c r="W112" i="27"/>
  <c r="O50" i="27"/>
  <c r="O35" i="27"/>
  <c r="Q50" i="27"/>
  <c r="Q35" i="27"/>
  <c r="V112" i="27"/>
  <c r="V97" i="27"/>
  <c r="AY112" i="27"/>
  <c r="AY97" i="27"/>
  <c r="P50" i="27"/>
  <c r="P35" i="27"/>
  <c r="F50" i="27"/>
  <c r="F35" i="27"/>
  <c r="N35" i="27"/>
  <c r="N50" i="27"/>
  <c r="N112" i="27"/>
  <c r="N97" i="27"/>
  <c r="M97" i="27"/>
  <c r="M112" i="27"/>
  <c r="I112" i="27"/>
  <c r="I97" i="27"/>
  <c r="AE112" i="27"/>
  <c r="AE97" i="27"/>
  <c r="AC97" i="27"/>
  <c r="AC112" i="27"/>
  <c r="AT112" i="27"/>
  <c r="AT97" i="27"/>
  <c r="K112" i="27"/>
  <c r="K97" i="27"/>
  <c r="AU112" i="27"/>
  <c r="AU97" i="27"/>
  <c r="AR112" i="27"/>
  <c r="AR97" i="27"/>
  <c r="AL97" i="27"/>
  <c r="AL112" i="27"/>
  <c r="AW97" i="27"/>
  <c r="AW112" i="27"/>
  <c r="Z50" i="27"/>
  <c r="Z35" i="27"/>
  <c r="T112" i="27"/>
  <c r="T97" i="27"/>
  <c r="AD112" i="27"/>
  <c r="AD97" i="27"/>
  <c r="BD26" i="27"/>
  <c r="D31" i="27"/>
  <c r="AJ112" i="27"/>
  <c r="AJ97" i="27"/>
  <c r="BA112" i="27"/>
  <c r="BA97" i="27"/>
  <c r="AQ112" i="27"/>
  <c r="AQ97" i="27"/>
  <c r="AX97" i="27"/>
  <c r="AX112" i="27"/>
  <c r="AN97" i="27"/>
  <c r="AN112" i="27"/>
  <c r="AF112" i="27"/>
  <c r="AF97" i="27"/>
  <c r="J112" i="27"/>
  <c r="J97" i="27"/>
  <c r="G50" i="27"/>
  <c r="G35" i="27"/>
  <c r="M50" i="27"/>
  <c r="M35" i="27"/>
  <c r="AG112" i="27"/>
  <c r="AG97" i="27"/>
  <c r="U50" i="27"/>
  <c r="U35" i="27"/>
  <c r="AI112" i="27"/>
  <c r="AI97" i="27"/>
  <c r="Z97" i="27"/>
  <c r="Z112" i="27"/>
  <c r="Y97" i="27"/>
  <c r="Y112" i="27"/>
  <c r="X35" i="27"/>
  <c r="X50" i="27"/>
  <c r="T35" i="27"/>
  <c r="T50" i="27"/>
  <c r="L112" i="27"/>
  <c r="L97" i="27"/>
  <c r="AA112" i="27"/>
  <c r="AA97" i="27"/>
  <c r="AZ112" i="27"/>
  <c r="AZ97" i="27"/>
  <c r="K35" i="27"/>
  <c r="K50" i="27"/>
  <c r="R112" i="27"/>
  <c r="R97" i="27"/>
  <c r="S35" i="27"/>
  <c r="S50" i="27"/>
  <c r="AB112" i="27"/>
  <c r="AB97" i="27"/>
  <c r="W50" i="27"/>
  <c r="W35" i="27"/>
  <c r="Q97" i="27"/>
  <c r="Q112" i="27"/>
  <c r="R69" i="24"/>
  <c r="X99" i="24"/>
  <c r="BD89" i="27" l="1"/>
  <c r="F28" i="23" s="1"/>
  <c r="F27" i="23"/>
  <c r="BD27" i="27"/>
  <c r="E28" i="23" s="1"/>
  <c r="E27" i="23"/>
  <c r="D96" i="27"/>
  <c r="BD93" i="27"/>
  <c r="D34" i="27"/>
  <c r="BD31" i="27"/>
  <c r="Y99" i="24"/>
  <c r="S69" i="24"/>
  <c r="BD94" i="27" l="1"/>
  <c r="F33" i="23" s="1"/>
  <c r="F32" i="23"/>
  <c r="BD32" i="27"/>
  <c r="E33" i="23" s="1"/>
  <c r="E32" i="23"/>
  <c r="D50" i="27"/>
  <c r="BD34" i="27"/>
  <c r="E35" i="23" s="1"/>
  <c r="D112" i="27"/>
  <c r="BD96" i="27"/>
  <c r="F35" i="23" s="1"/>
  <c r="Z99" i="24"/>
  <c r="T69" i="24"/>
  <c r="BD97" i="27" l="1"/>
  <c r="F36" i="23" s="1"/>
  <c r="D121" i="27"/>
  <c r="F46" i="23" s="1"/>
  <c r="D117" i="27"/>
  <c r="F42" i="23" s="1"/>
  <c r="D116" i="27"/>
  <c r="F41" i="23" s="1"/>
  <c r="D113" i="27"/>
  <c r="BD35" i="27"/>
  <c r="E36" i="23" s="1"/>
  <c r="D59" i="27"/>
  <c r="E46" i="23" s="1"/>
  <c r="D51" i="27"/>
  <c r="D55" i="27"/>
  <c r="E42" i="23" s="1"/>
  <c r="D54" i="27"/>
  <c r="E41" i="23" s="1"/>
  <c r="AA99" i="24"/>
  <c r="U69" i="24"/>
  <c r="D52" i="27" l="1"/>
  <c r="E51" i="27"/>
  <c r="D114" i="27"/>
  <c r="E113" i="27"/>
  <c r="V69" i="24"/>
  <c r="AB99" i="24"/>
  <c r="AC99" i="24" s="1"/>
  <c r="AD99" i="24" s="1"/>
  <c r="AE99" i="24" s="1"/>
  <c r="AF99" i="24" s="1"/>
  <c r="AG99" i="24" s="1"/>
  <c r="AH99" i="24" s="1"/>
  <c r="AI99" i="24" s="1"/>
  <c r="AJ99" i="24" s="1"/>
  <c r="E114" i="27" l="1"/>
  <c r="F113" i="27"/>
  <c r="E52" i="27"/>
  <c r="F51" i="27"/>
  <c r="AK99" i="24"/>
  <c r="AL99" i="24" s="1"/>
  <c r="AM99" i="24" s="1"/>
  <c r="AN99" i="24" s="1"/>
  <c r="AO99" i="24" s="1"/>
  <c r="AP99" i="24" s="1"/>
  <c r="AQ99" i="24" s="1"/>
  <c r="AR99" i="24" s="1"/>
  <c r="AS99" i="24" s="1"/>
  <c r="AT99" i="24" s="1"/>
  <c r="AU99" i="24" s="1"/>
  <c r="AV99" i="24" s="1"/>
  <c r="AW99" i="24" s="1"/>
  <c r="AX99" i="24" s="1"/>
  <c r="AY99" i="24" s="1"/>
  <c r="AZ99" i="24" s="1"/>
  <c r="BA99" i="24" s="1"/>
  <c r="W69" i="24"/>
  <c r="F52" i="27" l="1"/>
  <c r="G51" i="27"/>
  <c r="F114" i="27"/>
  <c r="G113" i="27"/>
  <c r="BD99" i="24"/>
  <c r="D38" i="23" s="1"/>
  <c r="X69" i="24"/>
  <c r="G114" i="27" l="1"/>
  <c r="H113" i="27"/>
  <c r="G52" i="27"/>
  <c r="H51" i="27"/>
  <c r="Y69" i="24"/>
  <c r="H52" i="27" l="1"/>
  <c r="I51" i="27"/>
  <c r="H114" i="27"/>
  <c r="I113" i="27"/>
  <c r="Z69" i="24"/>
  <c r="I114" i="27" l="1"/>
  <c r="J113" i="27"/>
  <c r="I52" i="27"/>
  <c r="J51" i="27"/>
  <c r="AA69" i="24"/>
  <c r="D5" i="24"/>
  <c r="J52" i="27" l="1"/>
  <c r="K51" i="27"/>
  <c r="J114" i="27"/>
  <c r="K113" i="27"/>
  <c r="AB69" i="24"/>
  <c r="AB48" i="24"/>
  <c r="S48" i="24"/>
  <c r="T48" i="24"/>
  <c r="U48" i="24"/>
  <c r="V48" i="24"/>
  <c r="W48" i="24"/>
  <c r="X48" i="24"/>
  <c r="Y48" i="24"/>
  <c r="Z48" i="24"/>
  <c r="AA48" i="24"/>
  <c r="R48" i="24"/>
  <c r="Q48" i="24"/>
  <c r="P48" i="24"/>
  <c r="O48" i="24"/>
  <c r="N48" i="24"/>
  <c r="M48" i="24"/>
  <c r="L48" i="24"/>
  <c r="K48" i="24"/>
  <c r="J48" i="24"/>
  <c r="G57" i="24"/>
  <c r="G119" i="24" s="1"/>
  <c r="G56" i="24"/>
  <c r="G118" i="24" s="1"/>
  <c r="G55" i="24"/>
  <c r="G117" i="24" s="1"/>
  <c r="C44" i="24"/>
  <c r="D37" i="24"/>
  <c r="E37" i="24" s="1"/>
  <c r="F37" i="24" s="1"/>
  <c r="G37" i="24" s="1"/>
  <c r="H37" i="24" s="1"/>
  <c r="I37" i="24" s="1"/>
  <c r="J37" i="24" s="1"/>
  <c r="K37" i="24" s="1"/>
  <c r="L37" i="24" s="1"/>
  <c r="M37" i="24" s="1"/>
  <c r="N37" i="24" s="1"/>
  <c r="O37" i="24" s="1"/>
  <c r="P37" i="24" s="1"/>
  <c r="Q37" i="24" s="1"/>
  <c r="R37" i="24" s="1"/>
  <c r="S37" i="24" s="1"/>
  <c r="T37" i="24" s="1"/>
  <c r="U37" i="24" s="1"/>
  <c r="V37" i="24" s="1"/>
  <c r="W37" i="24" s="1"/>
  <c r="X37" i="24" s="1"/>
  <c r="Y37" i="24" s="1"/>
  <c r="Z37" i="24" s="1"/>
  <c r="AA37" i="24" s="1"/>
  <c r="AB37" i="24" s="1"/>
  <c r="AB20" i="24"/>
  <c r="AA20" i="24"/>
  <c r="AA82" i="24" s="1"/>
  <c r="AB82" i="24" s="1"/>
  <c r="AC82" i="24" s="1"/>
  <c r="AD82" i="24" s="1"/>
  <c r="AE82" i="24" s="1"/>
  <c r="AF82" i="24" s="1"/>
  <c r="AG82" i="24" s="1"/>
  <c r="AH82" i="24" s="1"/>
  <c r="AI82" i="24" s="1"/>
  <c r="AJ82" i="24" s="1"/>
  <c r="AK82" i="24" s="1"/>
  <c r="AL82" i="24" s="1"/>
  <c r="AM82" i="24" s="1"/>
  <c r="AN82" i="24" s="1"/>
  <c r="AO82" i="24" s="1"/>
  <c r="AP82" i="24" s="1"/>
  <c r="AQ82" i="24" s="1"/>
  <c r="AR82" i="24" s="1"/>
  <c r="AS82" i="24" s="1"/>
  <c r="AT82" i="24" s="1"/>
  <c r="AU82" i="24" s="1"/>
  <c r="AV82" i="24" s="1"/>
  <c r="AW82" i="24" s="1"/>
  <c r="AX82" i="24" s="1"/>
  <c r="AY82" i="24" s="1"/>
  <c r="AZ82" i="24" s="1"/>
  <c r="BA82" i="24" s="1"/>
  <c r="Z20" i="24"/>
  <c r="Z82" i="24" s="1"/>
  <c r="Y20" i="24"/>
  <c r="Y82" i="24" s="1"/>
  <c r="X20" i="24"/>
  <c r="X82" i="24" s="1"/>
  <c r="W20" i="24"/>
  <c r="W82" i="24" s="1"/>
  <c r="V20" i="24"/>
  <c r="V82" i="24" s="1"/>
  <c r="U20" i="24"/>
  <c r="U82" i="24" s="1"/>
  <c r="T20" i="24"/>
  <c r="T82" i="24" s="1"/>
  <c r="S20" i="24"/>
  <c r="S82" i="24" s="1"/>
  <c r="R20" i="24"/>
  <c r="R82" i="24" s="1"/>
  <c r="Q20" i="24"/>
  <c r="Q82" i="24" s="1"/>
  <c r="P20" i="24"/>
  <c r="P82" i="24" s="1"/>
  <c r="O20" i="24"/>
  <c r="O82" i="24" s="1"/>
  <c r="N20" i="24"/>
  <c r="N82" i="24" s="1"/>
  <c r="M20" i="24"/>
  <c r="M82" i="24" s="1"/>
  <c r="L20" i="24"/>
  <c r="L82" i="24" s="1"/>
  <c r="K20" i="24"/>
  <c r="K82" i="24" s="1"/>
  <c r="J20" i="24"/>
  <c r="J82" i="24" s="1"/>
  <c r="I20" i="24"/>
  <c r="I82" i="24" s="1"/>
  <c r="H20" i="24"/>
  <c r="H82" i="24" s="1"/>
  <c r="G20" i="24"/>
  <c r="G82" i="24" s="1"/>
  <c r="F20" i="24"/>
  <c r="F82" i="24" s="1"/>
  <c r="E20" i="24"/>
  <c r="E82" i="24" s="1"/>
  <c r="D20" i="24"/>
  <c r="D82" i="24" s="1"/>
  <c r="E7" i="24"/>
  <c r="F7" i="24" s="1"/>
  <c r="G7" i="24" s="1"/>
  <c r="H7" i="24" s="1"/>
  <c r="I7" i="24" s="1"/>
  <c r="J7" i="24" s="1"/>
  <c r="K7" i="24" s="1"/>
  <c r="L7" i="24" s="1"/>
  <c r="M7" i="24" s="1"/>
  <c r="N7" i="24" s="1"/>
  <c r="O7" i="24" s="1"/>
  <c r="P7" i="24" s="1"/>
  <c r="Q7" i="24" s="1"/>
  <c r="R7" i="24" s="1"/>
  <c r="S7" i="24" s="1"/>
  <c r="T7" i="24" s="1"/>
  <c r="U7" i="24" s="1"/>
  <c r="V7" i="24" s="1"/>
  <c r="W7" i="24" s="1"/>
  <c r="X7" i="24" s="1"/>
  <c r="Y7" i="24" s="1"/>
  <c r="Z7" i="24" s="1"/>
  <c r="AA7" i="24" s="1"/>
  <c r="AB7" i="24" s="1"/>
  <c r="D6" i="24"/>
  <c r="K114" i="27" l="1"/>
  <c r="L113" i="27"/>
  <c r="K52" i="27"/>
  <c r="L51" i="27"/>
  <c r="AT75" i="24"/>
  <c r="AO75" i="24"/>
  <c r="AE75" i="24"/>
  <c r="Z75" i="24"/>
  <c r="R75" i="24"/>
  <c r="J75" i="24"/>
  <c r="AU75" i="24"/>
  <c r="AF75" i="24"/>
  <c r="Y75" i="24"/>
  <c r="Q75" i="24"/>
  <c r="I75" i="24"/>
  <c r="AG75" i="24"/>
  <c r="H75" i="24"/>
  <c r="AW75" i="24"/>
  <c r="W75" i="24"/>
  <c r="G75" i="24"/>
  <c r="AP75" i="24"/>
  <c r="AX75" i="24"/>
  <c r="AK75" i="24"/>
  <c r="AI75" i="24"/>
  <c r="V75" i="24"/>
  <c r="N75" i="24"/>
  <c r="F75" i="24"/>
  <c r="AQ75" i="24"/>
  <c r="AY75" i="24"/>
  <c r="AL75" i="24"/>
  <c r="AJ75" i="24"/>
  <c r="AJ100" i="24" s="1"/>
  <c r="U75" i="24"/>
  <c r="M75" i="24"/>
  <c r="E75" i="24"/>
  <c r="E76" i="24" s="1"/>
  <c r="AR75" i="24"/>
  <c r="AZ75" i="24"/>
  <c r="AM75" i="24"/>
  <c r="AC75" i="24"/>
  <c r="AB75" i="24"/>
  <c r="AB100" i="24" s="1"/>
  <c r="T75" i="24"/>
  <c r="L75" i="24"/>
  <c r="D75" i="24"/>
  <c r="AS75" i="24"/>
  <c r="BA75" i="24"/>
  <c r="AN75" i="24"/>
  <c r="AD75" i="24"/>
  <c r="S75" i="24"/>
  <c r="P75" i="24"/>
  <c r="O75" i="24"/>
  <c r="AA75" i="24"/>
  <c r="K75" i="24"/>
  <c r="AV75" i="24"/>
  <c r="X75" i="24"/>
  <c r="AH75" i="24"/>
  <c r="BD82" i="24"/>
  <c r="D21" i="23" s="1"/>
  <c r="AC69" i="24"/>
  <c r="AD69" i="24" s="1"/>
  <c r="AE69" i="24" s="1"/>
  <c r="AF69" i="24" s="1"/>
  <c r="AG69" i="24" s="1"/>
  <c r="AH69" i="24" s="1"/>
  <c r="AI69" i="24" s="1"/>
  <c r="AJ69" i="24" s="1"/>
  <c r="BD20" i="24"/>
  <c r="C21" i="23" s="1"/>
  <c r="BD24" i="24"/>
  <c r="C25" i="23" s="1"/>
  <c r="BD37" i="24"/>
  <c r="C38" i="23" s="1"/>
  <c r="D13" i="24"/>
  <c r="Y13" i="24"/>
  <c r="Q13" i="24"/>
  <c r="I13" i="24"/>
  <c r="AB13" i="24"/>
  <c r="S13" i="24"/>
  <c r="J13" i="24"/>
  <c r="Z13" i="24"/>
  <c r="AA13" i="24"/>
  <c r="R13" i="24"/>
  <c r="H13" i="24"/>
  <c r="P13" i="24"/>
  <c r="G13" i="24"/>
  <c r="X13" i="24"/>
  <c r="O13" i="24"/>
  <c r="F13" i="24"/>
  <c r="F17" i="24" s="1"/>
  <c r="G17" i="24" s="1"/>
  <c r="H17" i="24" s="1"/>
  <c r="I17" i="24" s="1"/>
  <c r="J17" i="24" s="1"/>
  <c r="K17" i="24" s="1"/>
  <c r="L17" i="24" s="1"/>
  <c r="M17" i="24" s="1"/>
  <c r="N17" i="24" s="1"/>
  <c r="O17" i="24" s="1"/>
  <c r="P17" i="24" s="1"/>
  <c r="Q17" i="24" s="1"/>
  <c r="R17" i="24" s="1"/>
  <c r="S17" i="24" s="1"/>
  <c r="T17" i="24" s="1"/>
  <c r="U17" i="24" s="1"/>
  <c r="V17" i="24" s="1"/>
  <c r="W17" i="24" s="1"/>
  <c r="X17" i="24" s="1"/>
  <c r="Y17" i="24" s="1"/>
  <c r="Z17" i="24" s="1"/>
  <c r="AA17" i="24" s="1"/>
  <c r="AB17" i="24" s="1"/>
  <c r="W13" i="24"/>
  <c r="N13" i="24"/>
  <c r="E13" i="24"/>
  <c r="E14" i="24" s="1"/>
  <c r="E18" i="24" s="1"/>
  <c r="T13" i="24"/>
  <c r="K13" i="24"/>
  <c r="L13" i="24"/>
  <c r="M13" i="24"/>
  <c r="U13" i="24"/>
  <c r="V13" i="24"/>
  <c r="E80" i="24" l="1"/>
  <c r="E78" i="24" s="1"/>
  <c r="E83" i="24" s="1"/>
  <c r="E88" i="24" s="1"/>
  <c r="E93" i="24" s="1"/>
  <c r="E96" i="24" s="1"/>
  <c r="E112" i="24" s="1"/>
  <c r="L114" i="27"/>
  <c r="M113" i="27"/>
  <c r="L52" i="27"/>
  <c r="M51" i="27"/>
  <c r="AB76" i="24"/>
  <c r="AV100" i="24"/>
  <c r="AZ100" i="24"/>
  <c r="AF100" i="24"/>
  <c r="AF76" i="24"/>
  <c r="K100" i="24"/>
  <c r="K76" i="24"/>
  <c r="AR100" i="24"/>
  <c r="F100" i="24"/>
  <c r="F76" i="24"/>
  <c r="AU100" i="24"/>
  <c r="AA100" i="24"/>
  <c r="AA76" i="24"/>
  <c r="D76" i="24"/>
  <c r="D80" i="24" s="1"/>
  <c r="BD75" i="24"/>
  <c r="J100" i="24"/>
  <c r="J76" i="24"/>
  <c r="V100" i="24"/>
  <c r="V76" i="24"/>
  <c r="P100" i="24"/>
  <c r="P76" i="24"/>
  <c r="U100" i="24"/>
  <c r="U76" i="24"/>
  <c r="AG100" i="24"/>
  <c r="AG76" i="24"/>
  <c r="S100" i="24"/>
  <c r="S76" i="24"/>
  <c r="AD100" i="24"/>
  <c r="AD76" i="24"/>
  <c r="AC100" i="24"/>
  <c r="AC76" i="24"/>
  <c r="AL100" i="24"/>
  <c r="AX100" i="24"/>
  <c r="Q100" i="24"/>
  <c r="Q76" i="24"/>
  <c r="AO100" i="24"/>
  <c r="BA100" i="24"/>
  <c r="AQ100" i="24"/>
  <c r="G76" i="24"/>
  <c r="G100" i="24"/>
  <c r="AS100" i="24"/>
  <c r="W100" i="24"/>
  <c r="W76" i="24"/>
  <c r="N100" i="24"/>
  <c r="N76" i="24"/>
  <c r="AW100" i="24"/>
  <c r="AJ76" i="24"/>
  <c r="AK69" i="24"/>
  <c r="AL69" i="24" s="1"/>
  <c r="AM69" i="24" s="1"/>
  <c r="AN69" i="24" s="1"/>
  <c r="AO69" i="24" s="1"/>
  <c r="AP69" i="24" s="1"/>
  <c r="AQ69" i="24" s="1"/>
  <c r="AR69" i="24" s="1"/>
  <c r="AS69" i="24" s="1"/>
  <c r="AT69" i="24" s="1"/>
  <c r="AU69" i="24" s="1"/>
  <c r="AV69" i="24" s="1"/>
  <c r="AW69" i="24" s="1"/>
  <c r="AX69" i="24" s="1"/>
  <c r="AY69" i="24" s="1"/>
  <c r="AZ69" i="24" s="1"/>
  <c r="BA69" i="24" s="1"/>
  <c r="BA76" i="24" s="1"/>
  <c r="O100" i="24"/>
  <c r="O76" i="24"/>
  <c r="L100" i="24"/>
  <c r="L76" i="24"/>
  <c r="M100" i="24"/>
  <c r="M76" i="24"/>
  <c r="H76" i="24"/>
  <c r="H100" i="24"/>
  <c r="R100" i="24"/>
  <c r="R76" i="24"/>
  <c r="T100" i="24"/>
  <c r="T76" i="24"/>
  <c r="AI100" i="24"/>
  <c r="AI76" i="24"/>
  <c r="Z100" i="24"/>
  <c r="Z76" i="24"/>
  <c r="AK100" i="24"/>
  <c r="I76" i="24"/>
  <c r="I100" i="24"/>
  <c r="AE100" i="24"/>
  <c r="AE76" i="24"/>
  <c r="AH100" i="24"/>
  <c r="AH76" i="24"/>
  <c r="X100" i="24"/>
  <c r="X76" i="24"/>
  <c r="AN100" i="24"/>
  <c r="AM100" i="24"/>
  <c r="AY100" i="24"/>
  <c r="AP100" i="24"/>
  <c r="Y100" i="24"/>
  <c r="Y76" i="24"/>
  <c r="AT100" i="24"/>
  <c r="E16" i="24"/>
  <c r="E21" i="24" s="1"/>
  <c r="E26" i="24" s="1"/>
  <c r="E31" i="24" s="1"/>
  <c r="E34" i="24" s="1"/>
  <c r="BD13" i="24"/>
  <c r="D14" i="24"/>
  <c r="D18" i="24" s="1"/>
  <c r="Y38" i="24"/>
  <c r="Y14" i="24"/>
  <c r="K14" i="24"/>
  <c r="K38" i="24"/>
  <c r="N38" i="24"/>
  <c r="N14" i="24"/>
  <c r="H14" i="24"/>
  <c r="H38" i="24"/>
  <c r="Z38" i="24"/>
  <c r="Z14" i="24"/>
  <c r="G38" i="24"/>
  <c r="G14" i="24"/>
  <c r="F38" i="24"/>
  <c r="F14" i="24"/>
  <c r="J14" i="24"/>
  <c r="J38" i="24"/>
  <c r="W38" i="24"/>
  <c r="W14" i="24"/>
  <c r="S14" i="24"/>
  <c r="S38" i="24"/>
  <c r="V38" i="24"/>
  <c r="V14" i="24"/>
  <c r="R14" i="24"/>
  <c r="R38" i="24"/>
  <c r="AA14" i="24"/>
  <c r="AA38" i="24"/>
  <c r="T14" i="24"/>
  <c r="T38" i="24"/>
  <c r="P14" i="24"/>
  <c r="P38" i="24"/>
  <c r="O38" i="24"/>
  <c r="O14" i="24"/>
  <c r="L14" i="24"/>
  <c r="L38" i="24"/>
  <c r="X14" i="24"/>
  <c r="X38" i="24"/>
  <c r="AB14" i="24"/>
  <c r="AB38" i="24"/>
  <c r="U14" i="24"/>
  <c r="U38" i="24"/>
  <c r="I14" i="24"/>
  <c r="I38" i="24"/>
  <c r="M38" i="24"/>
  <c r="M14" i="24"/>
  <c r="Q38" i="24"/>
  <c r="Q14" i="24"/>
  <c r="T91" i="24" l="1"/>
  <c r="T80" i="24"/>
  <c r="R91" i="24"/>
  <c r="R80" i="24"/>
  <c r="R78" i="24" s="1"/>
  <c r="R83" i="24" s="1"/>
  <c r="F91" i="24"/>
  <c r="F80" i="24"/>
  <c r="F78" i="24" s="1"/>
  <c r="F83" i="24" s="1"/>
  <c r="J91" i="24"/>
  <c r="J80" i="24"/>
  <c r="J78" i="24" s="1"/>
  <c r="J83" i="24" s="1"/>
  <c r="I91" i="24"/>
  <c r="I80" i="24"/>
  <c r="O91" i="24"/>
  <c r="O80" i="24"/>
  <c r="O78" i="24" s="1"/>
  <c r="O83" i="24" s="1"/>
  <c r="X91" i="24"/>
  <c r="X80" i="24"/>
  <c r="X78" i="24" s="1"/>
  <c r="X83" i="24" s="1"/>
  <c r="AG91" i="24"/>
  <c r="AG80" i="24"/>
  <c r="AG78" i="24" s="1"/>
  <c r="AG83" i="24" s="1"/>
  <c r="AB91" i="24"/>
  <c r="AB80" i="24"/>
  <c r="Z91" i="24"/>
  <c r="Z80" i="24"/>
  <c r="Z78" i="24" s="1"/>
  <c r="Z83" i="24" s="1"/>
  <c r="BA91" i="24"/>
  <c r="BA80" i="24"/>
  <c r="BA78" i="24" s="1"/>
  <c r="BA83" i="24" s="1"/>
  <c r="Y91" i="24"/>
  <c r="Y80" i="24"/>
  <c r="Y78" i="24" s="1"/>
  <c r="Y83" i="24" s="1"/>
  <c r="AH91" i="24"/>
  <c r="AH80" i="24"/>
  <c r="AH78" i="24" s="1"/>
  <c r="AH83" i="24" s="1"/>
  <c r="H91" i="24"/>
  <c r="H80" i="24"/>
  <c r="H78" i="24" s="1"/>
  <c r="H83" i="24" s="1"/>
  <c r="AJ91" i="24"/>
  <c r="AJ80" i="24"/>
  <c r="AJ78" i="24" s="1"/>
  <c r="AJ83" i="24" s="1"/>
  <c r="G91" i="24"/>
  <c r="G80" i="24"/>
  <c r="G78" i="24" s="1"/>
  <c r="G83" i="24" s="1"/>
  <c r="AC91" i="24"/>
  <c r="AC80" i="24"/>
  <c r="U91" i="24"/>
  <c r="U80" i="24"/>
  <c r="U78" i="24" s="1"/>
  <c r="U83" i="24" s="1"/>
  <c r="K91" i="24"/>
  <c r="K80" i="24"/>
  <c r="K78" i="24" s="1"/>
  <c r="K83" i="24" s="1"/>
  <c r="AI91" i="24"/>
  <c r="AI80" i="24"/>
  <c r="AI78" i="24" s="1"/>
  <c r="AI83" i="24" s="1"/>
  <c r="M91" i="24"/>
  <c r="M80" i="24"/>
  <c r="AE91" i="24"/>
  <c r="AE80" i="24"/>
  <c r="AE78" i="24" s="1"/>
  <c r="AE83" i="24" s="1"/>
  <c r="N91" i="24"/>
  <c r="N80" i="24"/>
  <c r="N78" i="24" s="1"/>
  <c r="N83" i="24" s="1"/>
  <c r="AD91" i="24"/>
  <c r="AD80" i="24"/>
  <c r="AD78" i="24" s="1"/>
  <c r="AD83" i="24" s="1"/>
  <c r="P91" i="24"/>
  <c r="P80" i="24"/>
  <c r="AA91" i="24"/>
  <c r="AA80" i="24"/>
  <c r="AA78" i="24" s="1"/>
  <c r="AA83" i="24" s="1"/>
  <c r="AF91" i="24"/>
  <c r="AF80" i="24"/>
  <c r="AF78" i="24" s="1"/>
  <c r="AF83" i="24" s="1"/>
  <c r="L91" i="24"/>
  <c r="L80" i="24"/>
  <c r="L78" i="24" s="1"/>
  <c r="L83" i="24" s="1"/>
  <c r="W91" i="24"/>
  <c r="W80" i="24"/>
  <c r="Q91" i="24"/>
  <c r="Q80" i="24"/>
  <c r="Q78" i="24" s="1"/>
  <c r="Q83" i="24" s="1"/>
  <c r="S91" i="24"/>
  <c r="S80" i="24"/>
  <c r="S78" i="24" s="1"/>
  <c r="S83" i="24" s="1"/>
  <c r="V91" i="24"/>
  <c r="V80" i="24"/>
  <c r="V78" i="24" s="1"/>
  <c r="V83" i="24" s="1"/>
  <c r="U18" i="24"/>
  <c r="R18" i="24"/>
  <c r="R16" i="24" s="1"/>
  <c r="R21" i="24" s="1"/>
  <c r="R26" i="24" s="1"/>
  <c r="J18" i="24"/>
  <c r="J16" i="24" s="1"/>
  <c r="J21" i="24" s="1"/>
  <c r="J26" i="24" s="1"/>
  <c r="H18" i="24"/>
  <c r="H16" i="24" s="1"/>
  <c r="H21" i="24" s="1"/>
  <c r="H26" i="24" s="1"/>
  <c r="L18" i="24"/>
  <c r="L16" i="24" s="1"/>
  <c r="L21" i="24" s="1"/>
  <c r="L26" i="24" s="1"/>
  <c r="AA18" i="24"/>
  <c r="AA16" i="24" s="1"/>
  <c r="AA21" i="24" s="1"/>
  <c r="AA26" i="24" s="1"/>
  <c r="O18" i="24"/>
  <c r="O16" i="24" s="1"/>
  <c r="O21" i="24" s="1"/>
  <c r="O26" i="24" s="1"/>
  <c r="F18" i="24"/>
  <c r="F16" i="24" s="1"/>
  <c r="F21" i="24" s="1"/>
  <c r="F26" i="24" s="1"/>
  <c r="AB18" i="24"/>
  <c r="AB16" i="24" s="1"/>
  <c r="AB21" i="24" s="1"/>
  <c r="AB26" i="24" s="1"/>
  <c r="Q18" i="24"/>
  <c r="N18" i="24"/>
  <c r="N16" i="24" s="1"/>
  <c r="N21" i="24" s="1"/>
  <c r="N26" i="24" s="1"/>
  <c r="M18" i="24"/>
  <c r="M16" i="24"/>
  <c r="M21" i="24" s="1"/>
  <c r="M26" i="24" s="1"/>
  <c r="I18" i="24"/>
  <c r="I16" i="24" s="1"/>
  <c r="I21" i="24" s="1"/>
  <c r="I26" i="24" s="1"/>
  <c r="V18" i="24"/>
  <c r="V16" i="24" s="1"/>
  <c r="V21" i="24" s="1"/>
  <c r="V26" i="24" s="1"/>
  <c r="P18" i="24"/>
  <c r="P16" i="24" s="1"/>
  <c r="P21" i="24" s="1"/>
  <c r="P26" i="24" s="1"/>
  <c r="G18" i="24"/>
  <c r="G16" i="24"/>
  <c r="G21" i="24" s="1"/>
  <c r="G26" i="24" s="1"/>
  <c r="X18" i="24"/>
  <c r="X16" i="24" s="1"/>
  <c r="X21" i="24" s="1"/>
  <c r="X26" i="24" s="1"/>
  <c r="T18" i="24"/>
  <c r="T16" i="24" s="1"/>
  <c r="T21" i="24" s="1"/>
  <c r="T26" i="24" s="1"/>
  <c r="S18" i="24"/>
  <c r="S16" i="24" s="1"/>
  <c r="S21" i="24" s="1"/>
  <c r="S26" i="24" s="1"/>
  <c r="K18" i="24"/>
  <c r="K16" i="24" s="1"/>
  <c r="K21" i="24" s="1"/>
  <c r="K26" i="24" s="1"/>
  <c r="W18" i="24"/>
  <c r="W16" i="24" s="1"/>
  <c r="W21" i="24" s="1"/>
  <c r="W26" i="24" s="1"/>
  <c r="Z18" i="24"/>
  <c r="Z16" i="24" s="1"/>
  <c r="Z21" i="24" s="1"/>
  <c r="Z26" i="24" s="1"/>
  <c r="Y18" i="24"/>
  <c r="Y16" i="24" s="1"/>
  <c r="Y21" i="24" s="1"/>
  <c r="Y26" i="24" s="1"/>
  <c r="D49" i="23"/>
  <c r="C49" i="23"/>
  <c r="BD38" i="24"/>
  <c r="C15" i="23"/>
  <c r="BD100" i="24"/>
  <c r="D39" i="23" s="1"/>
  <c r="D15" i="23"/>
  <c r="C39" i="23"/>
  <c r="M52" i="27"/>
  <c r="N51" i="27"/>
  <c r="M114" i="27"/>
  <c r="N113" i="27"/>
  <c r="AB78" i="24"/>
  <c r="AB83" i="24" s="1"/>
  <c r="AP76" i="24"/>
  <c r="AY76" i="24"/>
  <c r="AY80" i="24" s="1"/>
  <c r="AQ76" i="24"/>
  <c r="AK76" i="24"/>
  <c r="AK80" i="24" s="1"/>
  <c r="D101" i="24"/>
  <c r="AN76" i="24"/>
  <c r="AN80" i="24" s="1"/>
  <c r="AU76" i="24"/>
  <c r="AX76" i="24"/>
  <c r="I78" i="24"/>
  <c r="I83" i="24" s="1"/>
  <c r="T78" i="24"/>
  <c r="T83" i="24" s="1"/>
  <c r="W78" i="24"/>
  <c r="W83" i="24" s="1"/>
  <c r="AL76" i="24"/>
  <c r="AZ76" i="24"/>
  <c r="AS76" i="24"/>
  <c r="AC78" i="24"/>
  <c r="AC83" i="24" s="1"/>
  <c r="AT76" i="24"/>
  <c r="AM76" i="24"/>
  <c r="M78" i="24"/>
  <c r="M83" i="24" s="1"/>
  <c r="AW76" i="24"/>
  <c r="AO76" i="24"/>
  <c r="AV76" i="24"/>
  <c r="P78" i="24"/>
  <c r="P83" i="24" s="1"/>
  <c r="AR76" i="24"/>
  <c r="X29" i="24"/>
  <c r="T29" i="24"/>
  <c r="N29" i="24"/>
  <c r="R29" i="24"/>
  <c r="J29" i="24"/>
  <c r="S29" i="24"/>
  <c r="Y29" i="24"/>
  <c r="O29" i="24"/>
  <c r="F29" i="24"/>
  <c r="G29" i="24"/>
  <c r="H29" i="24"/>
  <c r="M29" i="24"/>
  <c r="I29" i="24"/>
  <c r="AA29" i="24"/>
  <c r="Z29" i="24"/>
  <c r="Q29" i="24"/>
  <c r="Q16" i="24"/>
  <c r="Q21" i="24" s="1"/>
  <c r="Q26" i="24" s="1"/>
  <c r="U29" i="24"/>
  <c r="U16" i="24"/>
  <c r="U21" i="24" s="1"/>
  <c r="U26" i="24" s="1"/>
  <c r="AB29" i="24"/>
  <c r="V29" i="24"/>
  <c r="W29" i="24"/>
  <c r="L29" i="24"/>
  <c r="P29" i="24"/>
  <c r="K29" i="24"/>
  <c r="BD14" i="24"/>
  <c r="C16" i="23" s="1"/>
  <c r="D39" i="24"/>
  <c r="AU91" i="24" l="1"/>
  <c r="AU80" i="24"/>
  <c r="AZ91" i="24"/>
  <c r="AZ80" i="24"/>
  <c r="AZ78" i="24" s="1"/>
  <c r="AZ83" i="24" s="1"/>
  <c r="AT91" i="24"/>
  <c r="AT80" i="24"/>
  <c r="AT78" i="24" s="1"/>
  <c r="AT83" i="24" s="1"/>
  <c r="AL91" i="24"/>
  <c r="AL80" i="24"/>
  <c r="AL78" i="24" s="1"/>
  <c r="AL83" i="24" s="1"/>
  <c r="AQ91" i="24"/>
  <c r="AQ80" i="24"/>
  <c r="AV91" i="24"/>
  <c r="AV80" i="24"/>
  <c r="AV78" i="24" s="1"/>
  <c r="AV83" i="24" s="1"/>
  <c r="AO91" i="24"/>
  <c r="AO80" i="24"/>
  <c r="AO78" i="24" s="1"/>
  <c r="AO83" i="24" s="1"/>
  <c r="AM91" i="24"/>
  <c r="AM80" i="24"/>
  <c r="AM78" i="24" s="1"/>
  <c r="AM83" i="24" s="1"/>
  <c r="AS91" i="24"/>
  <c r="AS80" i="24"/>
  <c r="AS78" i="24" s="1"/>
  <c r="AS83" i="24" s="1"/>
  <c r="AP91" i="24"/>
  <c r="AP80" i="24"/>
  <c r="AP78" i="24" s="1"/>
  <c r="AP83" i="24" s="1"/>
  <c r="AP84" i="24" s="1"/>
  <c r="AR91" i="24"/>
  <c r="AR80" i="24"/>
  <c r="AR78" i="24" s="1"/>
  <c r="AR83" i="24" s="1"/>
  <c r="AW91" i="24"/>
  <c r="AW80" i="24"/>
  <c r="AW78" i="24" s="1"/>
  <c r="AW83" i="24" s="1"/>
  <c r="AX91" i="24"/>
  <c r="AX80" i="24"/>
  <c r="AX78" i="24" s="1"/>
  <c r="AX83" i="24" s="1"/>
  <c r="AX88" i="24" s="1"/>
  <c r="N52" i="27"/>
  <c r="O51" i="27"/>
  <c r="N114" i="27"/>
  <c r="O113" i="27"/>
  <c r="AK78" i="24"/>
  <c r="AK83" i="24" s="1"/>
  <c r="AK84" i="24" s="1"/>
  <c r="AK91" i="24"/>
  <c r="AN78" i="24"/>
  <c r="AN83" i="24" s="1"/>
  <c r="AN84" i="24" s="1"/>
  <c r="AN91" i="24"/>
  <c r="AY78" i="24"/>
  <c r="AY83" i="24" s="1"/>
  <c r="AY88" i="24" s="1"/>
  <c r="AY91" i="24"/>
  <c r="P31" i="24"/>
  <c r="P32" i="24" s="1"/>
  <c r="AU78" i="24"/>
  <c r="AU83" i="24" s="1"/>
  <c r="AU84" i="24" s="1"/>
  <c r="AQ78" i="24"/>
  <c r="AQ83" i="24" s="1"/>
  <c r="AQ88" i="24" s="1"/>
  <c r="U31" i="24"/>
  <c r="U34" i="24" s="1"/>
  <c r="F31" i="24"/>
  <c r="F32" i="24" s="1"/>
  <c r="N31" i="24"/>
  <c r="N34" i="24" s="1"/>
  <c r="K84" i="24"/>
  <c r="K88" i="24"/>
  <c r="M84" i="24"/>
  <c r="M88" i="24"/>
  <c r="S84" i="24"/>
  <c r="S88" i="24"/>
  <c r="Y84" i="24"/>
  <c r="Y88" i="24"/>
  <c r="AH84" i="24"/>
  <c r="AH88" i="24"/>
  <c r="P84" i="24"/>
  <c r="P88" i="24"/>
  <c r="J84" i="24"/>
  <c r="J88" i="24"/>
  <c r="O84" i="24"/>
  <c r="O88" i="24"/>
  <c r="X84" i="24"/>
  <c r="X88" i="24"/>
  <c r="I84" i="24"/>
  <c r="I88" i="24"/>
  <c r="H88" i="24"/>
  <c r="H84" i="24"/>
  <c r="G84" i="24"/>
  <c r="G88" i="24"/>
  <c r="AY84" i="24"/>
  <c r="L88" i="24"/>
  <c r="L84" i="24"/>
  <c r="AA84" i="24"/>
  <c r="AA88" i="24"/>
  <c r="AE84" i="24"/>
  <c r="AE88" i="24"/>
  <c r="N84" i="24"/>
  <c r="N88" i="24"/>
  <c r="Z88" i="24"/>
  <c r="Z84" i="24"/>
  <c r="Q88" i="24"/>
  <c r="Q84" i="24"/>
  <c r="W88" i="24"/>
  <c r="W84" i="24"/>
  <c r="U88" i="24"/>
  <c r="U84" i="24"/>
  <c r="AC84" i="24"/>
  <c r="AC88" i="24"/>
  <c r="BD76" i="24"/>
  <c r="D16" i="23" s="1"/>
  <c r="AI84" i="24"/>
  <c r="AI88" i="24"/>
  <c r="T88" i="24"/>
  <c r="T84" i="24"/>
  <c r="F88" i="24"/>
  <c r="F84" i="24"/>
  <c r="AF84" i="24"/>
  <c r="AF88" i="24"/>
  <c r="V84" i="24"/>
  <c r="V88" i="24"/>
  <c r="AD84" i="24"/>
  <c r="AD88" i="24"/>
  <c r="D78" i="24"/>
  <c r="AJ84" i="24"/>
  <c r="AJ88" i="24"/>
  <c r="AG84" i="24"/>
  <c r="AG88" i="24"/>
  <c r="R84" i="24"/>
  <c r="R88" i="24"/>
  <c r="BA88" i="24"/>
  <c r="BA84" i="24"/>
  <c r="AB88" i="24"/>
  <c r="AB84" i="24"/>
  <c r="D16" i="24"/>
  <c r="D21" i="24" s="1"/>
  <c r="D26" i="24" s="1"/>
  <c r="D31" i="24" s="1"/>
  <c r="D34" i="24" s="1"/>
  <c r="BD17" i="24"/>
  <c r="C19" i="23" s="1"/>
  <c r="BD29" i="24"/>
  <c r="C30" i="23" s="1"/>
  <c r="M31" i="24"/>
  <c r="Q31" i="24"/>
  <c r="AB31" i="24"/>
  <c r="AA31" i="24"/>
  <c r="Y31" i="24"/>
  <c r="S31" i="24"/>
  <c r="T31" i="24"/>
  <c r="L31" i="24"/>
  <c r="H31" i="24"/>
  <c r="J31" i="24"/>
  <c r="V31" i="24"/>
  <c r="Z31" i="24"/>
  <c r="O31" i="24"/>
  <c r="R31" i="24"/>
  <c r="G31" i="24"/>
  <c r="W31" i="24"/>
  <c r="K31" i="24"/>
  <c r="I31" i="24"/>
  <c r="X31" i="24"/>
  <c r="F22" i="24"/>
  <c r="N22" i="24"/>
  <c r="G22" i="24"/>
  <c r="K22" i="24"/>
  <c r="U22" i="24"/>
  <c r="R22" i="24"/>
  <c r="Y22" i="24"/>
  <c r="AB22" i="24"/>
  <c r="H22" i="24"/>
  <c r="J22" i="24"/>
  <c r="L22" i="24"/>
  <c r="V22" i="24"/>
  <c r="S22" i="24"/>
  <c r="T22" i="24"/>
  <c r="Z22" i="24"/>
  <c r="I22" i="24"/>
  <c r="M22" i="24"/>
  <c r="AA22" i="24"/>
  <c r="X22" i="24"/>
  <c r="Q22" i="24"/>
  <c r="P22" i="24"/>
  <c r="O22" i="24"/>
  <c r="W22" i="24"/>
  <c r="AK88" i="24" l="1"/>
  <c r="AP88" i="24"/>
  <c r="AP93" i="24" s="1"/>
  <c r="F34" i="24"/>
  <c r="F35" i="24" s="1"/>
  <c r="AN88" i="24"/>
  <c r="AN89" i="24" s="1"/>
  <c r="AQ84" i="24"/>
  <c r="AU88" i="24"/>
  <c r="AU89" i="24" s="1"/>
  <c r="O52" i="27"/>
  <c r="P51" i="27"/>
  <c r="O114" i="27"/>
  <c r="P113" i="27"/>
  <c r="P34" i="24"/>
  <c r="P35" i="24" s="1"/>
  <c r="U32" i="24"/>
  <c r="AX84" i="24"/>
  <c r="N32" i="24"/>
  <c r="BD91" i="24"/>
  <c r="D30" i="23" s="1"/>
  <c r="BD79" i="24"/>
  <c r="D19" i="23" s="1"/>
  <c r="I93" i="24"/>
  <c r="I89" i="24"/>
  <c r="U93" i="24"/>
  <c r="U89" i="24"/>
  <c r="Z93" i="24"/>
  <c r="Z89" i="24"/>
  <c r="S93" i="24"/>
  <c r="S89" i="24"/>
  <c r="D83" i="24"/>
  <c r="BD78" i="24"/>
  <c r="D18" i="23" s="1"/>
  <c r="AE89" i="24"/>
  <c r="AE93" i="24"/>
  <c r="P89" i="24"/>
  <c r="P93" i="24"/>
  <c r="AL84" i="24"/>
  <c r="AL88" i="24"/>
  <c r="AK89" i="24"/>
  <c r="AK93" i="24"/>
  <c r="AG89" i="24"/>
  <c r="AG93" i="24"/>
  <c r="AY89" i="24"/>
  <c r="AY93" i="24"/>
  <c r="AV88" i="24"/>
  <c r="AV84" i="24"/>
  <c r="AT88" i="24"/>
  <c r="AT84" i="24"/>
  <c r="F89" i="24"/>
  <c r="F93" i="24"/>
  <c r="AR88" i="24"/>
  <c r="AR84" i="24"/>
  <c r="AD89" i="24"/>
  <c r="AD93" i="24"/>
  <c r="W89" i="24"/>
  <c r="W93" i="24"/>
  <c r="AO88" i="24"/>
  <c r="AO84" i="24"/>
  <c r="X93" i="24"/>
  <c r="X89" i="24"/>
  <c r="AH89" i="24"/>
  <c r="AH93" i="24"/>
  <c r="M89" i="24"/>
  <c r="M93" i="24"/>
  <c r="T93" i="24"/>
  <c r="T89" i="24"/>
  <c r="AC89" i="24"/>
  <c r="AC93" i="24"/>
  <c r="N89" i="24"/>
  <c r="N93" i="24"/>
  <c r="AA89" i="24"/>
  <c r="AA93" i="24"/>
  <c r="G93" i="24"/>
  <c r="G89" i="24"/>
  <c r="K89" i="24"/>
  <c r="K93" i="24"/>
  <c r="BD16" i="24"/>
  <c r="C18" i="23" s="1"/>
  <c r="BA93" i="24"/>
  <c r="BA89" i="24"/>
  <c r="AJ89" i="24"/>
  <c r="AJ93" i="24"/>
  <c r="V89" i="24"/>
  <c r="V93" i="24"/>
  <c r="Q93" i="24"/>
  <c r="Q89" i="24"/>
  <c r="O89" i="24"/>
  <c r="O93" i="24"/>
  <c r="Y93" i="24"/>
  <c r="Y89" i="24"/>
  <c r="BD21" i="24"/>
  <c r="R89" i="24"/>
  <c r="R93" i="24"/>
  <c r="AS84" i="24"/>
  <c r="AS88" i="24"/>
  <c r="AZ88" i="24"/>
  <c r="AZ84" i="24"/>
  <c r="AW88" i="24"/>
  <c r="AW84" i="24"/>
  <c r="AM84" i="24"/>
  <c r="AM88" i="24"/>
  <c r="AF89" i="24"/>
  <c r="AF93" i="24"/>
  <c r="AI89" i="24"/>
  <c r="AI93" i="24"/>
  <c r="AQ89" i="24"/>
  <c r="AQ93" i="24"/>
  <c r="L89" i="24"/>
  <c r="L93" i="24"/>
  <c r="H93" i="24"/>
  <c r="H89" i="24"/>
  <c r="J89" i="24"/>
  <c r="J93" i="24"/>
  <c r="AP89" i="24"/>
  <c r="AX93" i="24"/>
  <c r="AX89" i="24"/>
  <c r="AB89" i="24"/>
  <c r="AB93" i="24"/>
  <c r="U50" i="24"/>
  <c r="U35" i="24"/>
  <c r="BD31" i="24"/>
  <c r="N50" i="24"/>
  <c r="N35" i="24"/>
  <c r="O34" i="24"/>
  <c r="O32" i="24"/>
  <c r="W34" i="24"/>
  <c r="W32" i="24"/>
  <c r="L34" i="24"/>
  <c r="L32" i="24"/>
  <c r="G34" i="24"/>
  <c r="G35" i="24" s="1"/>
  <c r="G32" i="24"/>
  <c r="T34" i="24"/>
  <c r="T32" i="24"/>
  <c r="R34" i="24"/>
  <c r="R32" i="24"/>
  <c r="S34" i="24"/>
  <c r="S32" i="24"/>
  <c r="Z34" i="24"/>
  <c r="Z32" i="24"/>
  <c r="AA34" i="24"/>
  <c r="AA32" i="24"/>
  <c r="Y34" i="24"/>
  <c r="Y32" i="24"/>
  <c r="X34" i="24"/>
  <c r="X32" i="24"/>
  <c r="V34" i="24"/>
  <c r="V32" i="24"/>
  <c r="I34" i="24"/>
  <c r="I35" i="24" s="1"/>
  <c r="I32" i="24"/>
  <c r="J34" i="24"/>
  <c r="J32" i="24"/>
  <c r="Q34" i="24"/>
  <c r="Q32" i="24"/>
  <c r="AB34" i="24"/>
  <c r="AB32" i="24"/>
  <c r="K34" i="24"/>
  <c r="K32" i="24"/>
  <c r="H34" i="24"/>
  <c r="H35" i="24" s="1"/>
  <c r="H32" i="24"/>
  <c r="M34" i="24"/>
  <c r="M32" i="24"/>
  <c r="BD26" i="24"/>
  <c r="C27" i="23" s="1"/>
  <c r="Z27" i="24"/>
  <c r="V27" i="24"/>
  <c r="J27" i="24"/>
  <c r="AA27" i="24"/>
  <c r="T27" i="24"/>
  <c r="P27" i="24"/>
  <c r="M27" i="24"/>
  <c r="O27" i="24"/>
  <c r="R27" i="24"/>
  <c r="K27" i="24"/>
  <c r="Y27" i="24"/>
  <c r="S27" i="24"/>
  <c r="W27" i="24"/>
  <c r="Q27" i="24"/>
  <c r="H27" i="24"/>
  <c r="N27" i="24"/>
  <c r="X27" i="24"/>
  <c r="L27" i="24"/>
  <c r="AB27" i="24"/>
  <c r="U27" i="24"/>
  <c r="I27" i="24"/>
  <c r="G27" i="24"/>
  <c r="F27" i="24"/>
  <c r="AN93" i="24" l="1"/>
  <c r="P50" i="24"/>
  <c r="AU93" i="24"/>
  <c r="AU94" i="24" s="1"/>
  <c r="BD32" i="24"/>
  <c r="C33" i="23" s="1"/>
  <c r="C32" i="23"/>
  <c r="BD22" i="24"/>
  <c r="C23" i="23" s="1"/>
  <c r="C22" i="23"/>
  <c r="P52" i="27"/>
  <c r="Q51" i="27"/>
  <c r="P114" i="27"/>
  <c r="Q113" i="27"/>
  <c r="BA96" i="24"/>
  <c r="BA94" i="24"/>
  <c r="AL89" i="24"/>
  <c r="AL93" i="24"/>
  <c r="AN96" i="24"/>
  <c r="AN94" i="24"/>
  <c r="S96" i="24"/>
  <c r="S94" i="24"/>
  <c r="K94" i="24"/>
  <c r="K96" i="24"/>
  <c r="AY94" i="24"/>
  <c r="AY96" i="24"/>
  <c r="AQ96" i="24"/>
  <c r="AQ94" i="24"/>
  <c r="AH94" i="24"/>
  <c r="AH96" i="24"/>
  <c r="J94" i="24"/>
  <c r="J96" i="24"/>
  <c r="Q94" i="24"/>
  <c r="Q96" i="24"/>
  <c r="P94" i="24"/>
  <c r="P96" i="24"/>
  <c r="AS93" i="24"/>
  <c r="AS89" i="24"/>
  <c r="N96" i="24"/>
  <c r="N94" i="24"/>
  <c r="AD94" i="24"/>
  <c r="AD96" i="24"/>
  <c r="AP96" i="24"/>
  <c r="AP94" i="24"/>
  <c r="AV93" i="24"/>
  <c r="AV89" i="24"/>
  <c r="AI94" i="24"/>
  <c r="AI96" i="24"/>
  <c r="R94" i="24"/>
  <c r="R96" i="24"/>
  <c r="AC94" i="24"/>
  <c r="AC96" i="24"/>
  <c r="AW93" i="24"/>
  <c r="AW89" i="24"/>
  <c r="V96" i="24"/>
  <c r="V94" i="24"/>
  <c r="X96" i="24"/>
  <c r="X94" i="24"/>
  <c r="AR89" i="24"/>
  <c r="AR93" i="24"/>
  <c r="Z94" i="24"/>
  <c r="Z96" i="24"/>
  <c r="AF94" i="24"/>
  <c r="AF96" i="24"/>
  <c r="F96" i="24"/>
  <c r="F94" i="24"/>
  <c r="AG94" i="24"/>
  <c r="AG96" i="24"/>
  <c r="AE94" i="24"/>
  <c r="AE96" i="24"/>
  <c r="H96" i="24"/>
  <c r="H94" i="24"/>
  <c r="AZ93" i="24"/>
  <c r="AZ89" i="24"/>
  <c r="AJ94" i="24"/>
  <c r="AJ96" i="24"/>
  <c r="G96" i="24"/>
  <c r="G94" i="24"/>
  <c r="T96" i="24"/>
  <c r="T94" i="24"/>
  <c r="AO93" i="24"/>
  <c r="AO89" i="24"/>
  <c r="U96" i="24"/>
  <c r="U94" i="24"/>
  <c r="L96" i="24"/>
  <c r="L94" i="24"/>
  <c r="AM89" i="24"/>
  <c r="AM93" i="24"/>
  <c r="Y94" i="24"/>
  <c r="Y96" i="24"/>
  <c r="AA96" i="24"/>
  <c r="AA94" i="24"/>
  <c r="M94" i="24"/>
  <c r="M96" i="24"/>
  <c r="W96" i="24"/>
  <c r="W94" i="24"/>
  <c r="AK96" i="24"/>
  <c r="AK94" i="24"/>
  <c r="AX96" i="24"/>
  <c r="AX94" i="24"/>
  <c r="O96" i="24"/>
  <c r="O94" i="24"/>
  <c r="AT93" i="24"/>
  <c r="AT89" i="24"/>
  <c r="D88" i="24"/>
  <c r="BD83" i="24"/>
  <c r="I94" i="24"/>
  <c r="I96" i="24"/>
  <c r="AB96" i="24"/>
  <c r="AB94" i="24"/>
  <c r="AB35" i="24"/>
  <c r="AB50" i="24"/>
  <c r="Z50" i="24"/>
  <c r="Z35" i="24"/>
  <c r="X50" i="24"/>
  <c r="X35" i="24"/>
  <c r="V50" i="24"/>
  <c r="V35" i="24"/>
  <c r="Y50" i="24"/>
  <c r="Y35" i="24"/>
  <c r="W35" i="24"/>
  <c r="W50" i="24"/>
  <c r="AA35" i="24"/>
  <c r="AA50" i="24"/>
  <c r="T35" i="24"/>
  <c r="T50" i="24"/>
  <c r="K35" i="24"/>
  <c r="K50" i="24"/>
  <c r="M50" i="24"/>
  <c r="M35" i="24"/>
  <c r="Q50" i="24"/>
  <c r="Q35" i="24"/>
  <c r="S35" i="24"/>
  <c r="S50" i="24"/>
  <c r="L50" i="24"/>
  <c r="L35" i="24"/>
  <c r="O35" i="24"/>
  <c r="O50" i="24"/>
  <c r="BD34" i="24"/>
  <c r="C35" i="23" s="1"/>
  <c r="J50" i="24"/>
  <c r="J35" i="24"/>
  <c r="R50" i="24"/>
  <c r="R35" i="24"/>
  <c r="BD27" i="24"/>
  <c r="C28" i="23" s="1"/>
  <c r="AU96" i="24" l="1"/>
  <c r="AU112" i="24" s="1"/>
  <c r="BD84" i="24"/>
  <c r="D23" i="23" s="1"/>
  <c r="D22" i="23"/>
  <c r="Q52" i="27"/>
  <c r="R51" i="27"/>
  <c r="Q114" i="27"/>
  <c r="R113" i="27"/>
  <c r="BD35" i="24"/>
  <c r="C36" i="23" s="1"/>
  <c r="I112" i="24"/>
  <c r="I97" i="24"/>
  <c r="M112" i="24"/>
  <c r="M97" i="24"/>
  <c r="AE97" i="24"/>
  <c r="AE112" i="24"/>
  <c r="Z112" i="24"/>
  <c r="Z97" i="24"/>
  <c r="AH97" i="24"/>
  <c r="AH112" i="24"/>
  <c r="L112" i="24"/>
  <c r="L97" i="24"/>
  <c r="G97" i="24"/>
  <c r="G112" i="24"/>
  <c r="AW96" i="24"/>
  <c r="AW94" i="24"/>
  <c r="AV94" i="24"/>
  <c r="AV96" i="24"/>
  <c r="AS96" i="24"/>
  <c r="AS94" i="24"/>
  <c r="S112" i="24"/>
  <c r="S97" i="24"/>
  <c r="AJ97" i="24"/>
  <c r="AJ112" i="24"/>
  <c r="AG97" i="24"/>
  <c r="AG112" i="24"/>
  <c r="AR96" i="24"/>
  <c r="AR94" i="24"/>
  <c r="AC97" i="24"/>
  <c r="AC112" i="24"/>
  <c r="P97" i="24"/>
  <c r="P112" i="24"/>
  <c r="D93" i="24"/>
  <c r="BD88" i="24"/>
  <c r="AX97" i="24"/>
  <c r="AX112" i="24"/>
  <c r="AA112" i="24"/>
  <c r="AA97" i="24"/>
  <c r="U112" i="24"/>
  <c r="U97" i="24"/>
  <c r="AP97" i="24"/>
  <c r="AP112" i="24"/>
  <c r="AQ97" i="24"/>
  <c r="AQ112" i="24"/>
  <c r="AN97" i="24"/>
  <c r="AN112" i="24"/>
  <c r="Y97" i="24"/>
  <c r="Y112" i="24"/>
  <c r="R112" i="24"/>
  <c r="R97" i="24"/>
  <c r="AD97" i="24"/>
  <c r="AD112" i="24"/>
  <c r="Q97" i="24"/>
  <c r="Q112" i="24"/>
  <c r="AY97" i="24"/>
  <c r="AY112" i="24"/>
  <c r="AL96" i="24"/>
  <c r="AL94" i="24"/>
  <c r="AT96" i="24"/>
  <c r="AT94" i="24"/>
  <c r="AK97" i="24"/>
  <c r="AK112" i="24"/>
  <c r="AO96" i="24"/>
  <c r="AO94" i="24"/>
  <c r="AZ96" i="24"/>
  <c r="AZ94" i="24"/>
  <c r="F97" i="24"/>
  <c r="F112" i="24"/>
  <c r="X112" i="24"/>
  <c r="X97" i="24"/>
  <c r="AM96" i="24"/>
  <c r="AM94" i="24"/>
  <c r="AF97" i="24"/>
  <c r="AF112" i="24"/>
  <c r="AI97" i="24"/>
  <c r="AI112" i="24"/>
  <c r="J112" i="24"/>
  <c r="J97" i="24"/>
  <c r="K97" i="24"/>
  <c r="K112" i="24"/>
  <c r="O97" i="24"/>
  <c r="O112" i="24"/>
  <c r="W112" i="24"/>
  <c r="W97" i="24"/>
  <c r="T112" i="24"/>
  <c r="T97" i="24"/>
  <c r="H97" i="24"/>
  <c r="H112" i="24"/>
  <c r="V112" i="24"/>
  <c r="V97" i="24"/>
  <c r="N97" i="24"/>
  <c r="N112" i="24"/>
  <c r="BA97" i="24"/>
  <c r="BA112" i="24"/>
  <c r="AB97" i="24"/>
  <c r="AB112" i="24"/>
  <c r="AU97" i="24" l="1"/>
  <c r="BD89" i="24"/>
  <c r="D28" i="23" s="1"/>
  <c r="D27" i="23"/>
  <c r="R114" i="27"/>
  <c r="S113" i="27"/>
  <c r="R52" i="27"/>
  <c r="S51" i="27"/>
  <c r="AT97" i="24"/>
  <c r="AT112" i="24"/>
  <c r="AR97" i="24"/>
  <c r="AR112" i="24"/>
  <c r="AS97" i="24"/>
  <c r="AS112" i="24"/>
  <c r="AV97" i="24"/>
  <c r="AV112" i="24"/>
  <c r="AZ97" i="24"/>
  <c r="AZ112" i="24"/>
  <c r="AL97" i="24"/>
  <c r="AL112" i="24"/>
  <c r="D96" i="24"/>
  <c r="BD93" i="24"/>
  <c r="AM97" i="24"/>
  <c r="AM112" i="24"/>
  <c r="AO97" i="24"/>
  <c r="AO112" i="24"/>
  <c r="AW97" i="24"/>
  <c r="AW112" i="24"/>
  <c r="BD94" i="24" l="1"/>
  <c r="D33" i="23" s="1"/>
  <c r="D32" i="23"/>
  <c r="S52" i="27"/>
  <c r="T51" i="27"/>
  <c r="S114" i="27"/>
  <c r="T113" i="27"/>
  <c r="D112" i="24"/>
  <c r="BD96" i="24"/>
  <c r="D35" i="23" s="1"/>
  <c r="T114" i="27" l="1"/>
  <c r="U113" i="27"/>
  <c r="T52" i="27"/>
  <c r="U51" i="27"/>
  <c r="BD97" i="24"/>
  <c r="D36" i="23" s="1"/>
  <c r="D121" i="24"/>
  <c r="D46" i="23" s="1"/>
  <c r="D113" i="24"/>
  <c r="D117" i="24"/>
  <c r="D42" i="23" s="1"/>
  <c r="D116" i="24"/>
  <c r="D41" i="23" s="1"/>
  <c r="U52" i="27" l="1"/>
  <c r="V51" i="27"/>
  <c r="U114" i="27"/>
  <c r="V113" i="27"/>
  <c r="D114" i="24"/>
  <c r="E113" i="24"/>
  <c r="V114" i="27" l="1"/>
  <c r="W113" i="27"/>
  <c r="V52" i="27"/>
  <c r="W51" i="27"/>
  <c r="E114" i="24"/>
  <c r="F113" i="24"/>
  <c r="W52" i="27" l="1"/>
  <c r="X51" i="27"/>
  <c r="W114" i="27"/>
  <c r="X113" i="27"/>
  <c r="F114" i="24"/>
  <c r="G113" i="24"/>
  <c r="X114" i="27" l="1"/>
  <c r="Y113" i="27"/>
  <c r="X52" i="27"/>
  <c r="Y51" i="27"/>
  <c r="G114" i="24"/>
  <c r="H113" i="24"/>
  <c r="Y52" i="27" l="1"/>
  <c r="Z51" i="27"/>
  <c r="Y114" i="27"/>
  <c r="Z113" i="27"/>
  <c r="H114" i="24"/>
  <c r="I113" i="24"/>
  <c r="Z114" i="27" l="1"/>
  <c r="AA113" i="27"/>
  <c r="Z52" i="27"/>
  <c r="AA51" i="27"/>
  <c r="I114" i="24"/>
  <c r="J113" i="24"/>
  <c r="AA52" i="27" l="1"/>
  <c r="AB51" i="27"/>
  <c r="AB52" i="27" s="1"/>
  <c r="AA114" i="27"/>
  <c r="AB113" i="27"/>
  <c r="J114" i="24"/>
  <c r="K113" i="24"/>
  <c r="E48" i="23" l="1"/>
  <c r="AB114" i="27"/>
  <c r="AC113" i="27"/>
  <c r="K114" i="24"/>
  <c r="L113" i="24"/>
  <c r="AC114" i="27" l="1"/>
  <c r="AD113" i="27"/>
  <c r="L114" i="24"/>
  <c r="M113" i="24"/>
  <c r="AD114" i="27" l="1"/>
  <c r="AE113" i="27"/>
  <c r="M114" i="24"/>
  <c r="N113" i="24"/>
  <c r="AE114" i="27" l="1"/>
  <c r="AF113" i="27"/>
  <c r="N114" i="24"/>
  <c r="O113" i="24"/>
  <c r="AF114" i="27" l="1"/>
  <c r="AG113" i="27"/>
  <c r="O114" i="24"/>
  <c r="P113" i="24"/>
  <c r="AG114" i="27" l="1"/>
  <c r="AH113" i="27"/>
  <c r="P114" i="24"/>
  <c r="Q113" i="24"/>
  <c r="AH114" i="27" l="1"/>
  <c r="AI113" i="27"/>
  <c r="Q114" i="24"/>
  <c r="R113" i="24"/>
  <c r="AI114" i="27" l="1"/>
  <c r="AJ113" i="27"/>
  <c r="R114" i="24"/>
  <c r="S113" i="24"/>
  <c r="AJ114" i="27" l="1"/>
  <c r="AK113" i="27"/>
  <c r="S114" i="24"/>
  <c r="T113" i="24"/>
  <c r="AK114" i="27" l="1"/>
  <c r="AL113" i="27"/>
  <c r="T114" i="24"/>
  <c r="U113" i="24"/>
  <c r="AL114" i="27" l="1"/>
  <c r="AM113" i="27"/>
  <c r="U114" i="24"/>
  <c r="V113" i="24"/>
  <c r="AM114" i="27" l="1"/>
  <c r="AN113" i="27"/>
  <c r="V114" i="24"/>
  <c r="W113" i="24"/>
  <c r="AN114" i="27" l="1"/>
  <c r="AO113" i="27"/>
  <c r="W114" i="24"/>
  <c r="X113" i="24"/>
  <c r="AO114" i="27" l="1"/>
  <c r="AP113" i="27"/>
  <c r="X114" i="24"/>
  <c r="Y113" i="24"/>
  <c r="AP114" i="27" l="1"/>
  <c r="AQ113" i="27"/>
  <c r="Y114" i="24"/>
  <c r="Z113" i="24"/>
  <c r="I5" i="23"/>
  <c r="H5" i="23"/>
  <c r="G5" i="23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D50" i="20"/>
  <c r="C50" i="20"/>
  <c r="C28" i="20"/>
  <c r="AQ114" i="27" l="1"/>
  <c r="AR113" i="27"/>
  <c r="Z114" i="24"/>
  <c r="AA113" i="24"/>
  <c r="I10" i="20"/>
  <c r="J10" i="20"/>
  <c r="K10" i="20"/>
  <c r="L10" i="20"/>
  <c r="M10" i="20"/>
  <c r="N10" i="20"/>
  <c r="O10" i="20"/>
  <c r="P10" i="20"/>
  <c r="Q10" i="20"/>
  <c r="R10" i="20"/>
  <c r="S10" i="20"/>
  <c r="T10" i="20"/>
  <c r="U10" i="20"/>
  <c r="V10" i="20"/>
  <c r="H10" i="20"/>
  <c r="D24" i="20"/>
  <c r="C2" i="20" s="1"/>
  <c r="C24" i="20"/>
  <c r="K54" i="24" s="1"/>
  <c r="K116" i="24" s="1"/>
  <c r="G32" i="17"/>
  <c r="H26" i="17"/>
  <c r="H25" i="17"/>
  <c r="H24" i="17"/>
  <c r="H23" i="17"/>
  <c r="H17" i="17"/>
  <c r="H16" i="17"/>
  <c r="H15" i="17"/>
  <c r="H14" i="17"/>
  <c r="H8" i="17"/>
  <c r="H7" i="17"/>
  <c r="H6" i="17"/>
  <c r="H5" i="17"/>
  <c r="F32" i="17"/>
  <c r="E32" i="17"/>
  <c r="H27" i="17"/>
  <c r="AR114" i="27" l="1"/>
  <c r="AS113" i="27"/>
  <c r="AA114" i="24"/>
  <c r="AB113" i="24"/>
  <c r="G54" i="24"/>
  <c r="G116" i="24" s="1"/>
  <c r="H18" i="17"/>
  <c r="H29" i="17"/>
  <c r="H9" i="17"/>
  <c r="H28" i="17"/>
  <c r="H10" i="17"/>
  <c r="H20" i="17"/>
  <c r="H12" i="17"/>
  <c r="H21" i="17"/>
  <c r="H13" i="17"/>
  <c r="H22" i="17"/>
  <c r="H30" i="17"/>
  <c r="H11" i="17"/>
  <c r="H19" i="17"/>
  <c r="AS114" i="27" l="1"/>
  <c r="AT113" i="27"/>
  <c r="AB114" i="24"/>
  <c r="AC113" i="24"/>
  <c r="AT114" i="27" l="1"/>
  <c r="AU113" i="27"/>
  <c r="AC114" i="24"/>
  <c r="AD113" i="24"/>
  <c r="AU114" i="27" l="1"/>
  <c r="AV113" i="27"/>
  <c r="AD114" i="24"/>
  <c r="AE113" i="24"/>
  <c r="AV114" i="27" l="1"/>
  <c r="AW113" i="27"/>
  <c r="AE114" i="24"/>
  <c r="AF113" i="24"/>
  <c r="AW114" i="27" l="1"/>
  <c r="AX113" i="27"/>
  <c r="AF114" i="24"/>
  <c r="AG113" i="24"/>
  <c r="AX114" i="27" l="1"/>
  <c r="AY113" i="27"/>
  <c r="AH113" i="24"/>
  <c r="AG114" i="24"/>
  <c r="AY114" i="27" l="1"/>
  <c r="AZ113" i="27"/>
  <c r="AH114" i="24"/>
  <c r="AI113" i="24"/>
  <c r="AZ114" i="27" l="1"/>
  <c r="BA113" i="27"/>
  <c r="BA114" i="27" s="1"/>
  <c r="F48" i="23" s="1"/>
  <c r="AJ113" i="24"/>
  <c r="AI114" i="24"/>
  <c r="AJ114" i="24" l="1"/>
  <c r="AK113" i="24"/>
  <c r="AK114" i="24" l="1"/>
  <c r="AL113" i="24"/>
  <c r="AM113" i="24" l="1"/>
  <c r="AL114" i="24"/>
  <c r="AM114" i="24" l="1"/>
  <c r="AN113" i="24"/>
  <c r="AN114" i="24" l="1"/>
  <c r="AO113" i="24"/>
  <c r="AO114" i="24" l="1"/>
  <c r="AP113" i="24"/>
  <c r="AQ113" i="24" l="1"/>
  <c r="AP114" i="24"/>
  <c r="AQ114" i="24" l="1"/>
  <c r="AR113" i="24"/>
  <c r="AR114" i="24" l="1"/>
  <c r="AS113" i="24"/>
  <c r="AS114" i="24" l="1"/>
  <c r="AT113" i="24"/>
  <c r="AU113" i="24" l="1"/>
  <c r="AT114" i="24"/>
  <c r="AU114" i="24" l="1"/>
  <c r="AV113" i="24"/>
  <c r="AV114" i="24" l="1"/>
  <c r="AW113" i="24"/>
  <c r="AW114" i="24" l="1"/>
  <c r="AX113" i="24"/>
  <c r="AY113" i="24" l="1"/>
  <c r="AX114" i="24"/>
  <c r="AY114" i="24" l="1"/>
  <c r="AZ113" i="24"/>
  <c r="AZ114" i="24" l="1"/>
  <c r="BA113" i="24"/>
  <c r="BA114" i="24" s="1"/>
  <c r="D48" i="23" s="1"/>
  <c r="H46" i="24" l="1"/>
  <c r="H50" i="24" s="1"/>
  <c r="I46" i="24"/>
  <c r="I50" i="24" s="1"/>
  <c r="G46" i="24"/>
  <c r="G50" i="24" s="1"/>
  <c r="E46" i="24"/>
  <c r="E50" i="24" s="1"/>
  <c r="F46" i="24"/>
  <c r="D46" i="24"/>
  <c r="D58" i="24" l="1"/>
  <c r="D48" i="24"/>
  <c r="D57" i="24" a="1"/>
  <c r="D57" i="24" s="1"/>
  <c r="C44" i="23" s="1"/>
  <c r="H48" i="24"/>
  <c r="F48" i="24"/>
  <c r="E48" i="24"/>
  <c r="I48" i="24"/>
  <c r="F50" i="24"/>
  <c r="D50" i="24"/>
  <c r="D51" i="24" s="1"/>
  <c r="D52" i="24" s="1"/>
  <c r="G48" i="24"/>
  <c r="D59" i="24" l="1"/>
  <c r="C46" i="23" s="1"/>
  <c r="C45" i="23"/>
  <c r="D55" i="24"/>
  <c r="C42" i="23" s="1"/>
  <c r="E51" i="24"/>
  <c r="E52" i="24" s="1"/>
  <c r="D54" i="24"/>
  <c r="C41" i="23" l="1"/>
  <c r="F51" i="24"/>
  <c r="F52" i="24" s="1"/>
  <c r="G51" i="24" l="1"/>
  <c r="G52" i="24" s="1"/>
  <c r="H51" i="24" l="1"/>
  <c r="H52" i="24" s="1"/>
  <c r="I51" i="24" l="1"/>
  <c r="J51" i="24" s="1"/>
  <c r="I52" i="24" l="1"/>
  <c r="J52" i="24"/>
  <c r="K51" i="24"/>
  <c r="K52" i="24" l="1"/>
  <c r="L51" i="24"/>
  <c r="L52" i="24" l="1"/>
  <c r="M51" i="24"/>
  <c r="N51" i="24" l="1"/>
  <c r="M52" i="24"/>
  <c r="N52" i="24" l="1"/>
  <c r="O51" i="24"/>
  <c r="P51" i="24" l="1"/>
  <c r="O52" i="24"/>
  <c r="P52" i="24" l="1"/>
  <c r="Q51" i="24"/>
  <c r="R51" i="24" l="1"/>
  <c r="Q52" i="24"/>
  <c r="R52" i="24" l="1"/>
  <c r="S51" i="24"/>
  <c r="S52" i="24" l="1"/>
  <c r="T51" i="24"/>
  <c r="T52" i="24" l="1"/>
  <c r="U51" i="24"/>
  <c r="V51" i="24" l="1"/>
  <c r="U52" i="24"/>
  <c r="V52" i="24" l="1"/>
  <c r="W51" i="24"/>
  <c r="W52" i="24" l="1"/>
  <c r="X51" i="24"/>
  <c r="X52" i="24" l="1"/>
  <c r="Y51" i="24"/>
  <c r="Z51" i="24" l="1"/>
  <c r="Y52" i="24"/>
  <c r="Z52" i="24" l="1"/>
  <c r="AA51" i="24"/>
  <c r="AB51" i="24" l="1"/>
  <c r="AB52" i="24" s="1"/>
  <c r="AA52" i="24"/>
  <c r="C48" i="2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<sst xmlns="http://schemas.openxmlformats.org/spreadsheetml/2006/main" count="685" uniqueCount="248">
  <si>
    <t>EBITDA</t>
  </si>
  <si>
    <t> RFR</t>
  </si>
  <si>
    <t> Volume (MB/Y)</t>
  </si>
  <si>
    <t> Income</t>
  </si>
  <si>
    <t> EBITDA (%)</t>
  </si>
  <si>
    <t> USD/Barrel Fee</t>
  </si>
  <si>
    <t> Year 1</t>
  </si>
  <si>
    <t> Year 2</t>
  </si>
  <si>
    <t> Year 3</t>
  </si>
  <si>
    <t> Year 4</t>
  </si>
  <si>
    <t> Year 5</t>
  </si>
  <si>
    <t> Year 6</t>
  </si>
  <si>
    <t> Year 7</t>
  </si>
  <si>
    <t> Year 8</t>
  </si>
  <si>
    <t> Year 9</t>
  </si>
  <si>
    <t> Year 10</t>
  </si>
  <si>
    <t> Year 11</t>
  </si>
  <si>
    <t> Year 12</t>
  </si>
  <si>
    <t> Year 13</t>
  </si>
  <si>
    <t> Year 14</t>
  </si>
  <si>
    <t> Year 15</t>
  </si>
  <si>
    <t> Year 16</t>
  </si>
  <si>
    <t> Year 17</t>
  </si>
  <si>
    <t> Year 18</t>
  </si>
  <si>
    <t> Year 19</t>
  </si>
  <si>
    <t> Year 20</t>
  </si>
  <si>
    <t> Year 21</t>
  </si>
  <si>
    <t> Year 22</t>
  </si>
  <si>
    <t> Year 23</t>
  </si>
  <si>
    <t> Year 24</t>
  </si>
  <si>
    <t> Year 25</t>
  </si>
  <si>
    <t> Year 26</t>
  </si>
  <si>
    <t> Year 27</t>
  </si>
  <si>
    <t> Year 28</t>
  </si>
  <si>
    <t> Year 29</t>
  </si>
  <si>
    <t> Year 30</t>
  </si>
  <si>
    <t> MIDSTREAM</t>
  </si>
  <si>
    <t> Accum. FCF</t>
  </si>
  <si>
    <t> Real Project Numbers: OPTIMUS in Tuxpan, Veracruz, Mexico</t>
  </si>
  <si>
    <t> Total INV</t>
  </si>
  <si>
    <t> Year 31</t>
  </si>
  <si>
    <t> Year 32</t>
  </si>
  <si>
    <t> Year 33</t>
  </si>
  <si>
    <t> Year 34</t>
  </si>
  <si>
    <t> Year 35</t>
  </si>
  <si>
    <t> Year 36</t>
  </si>
  <si>
    <t> Year 37</t>
  </si>
  <si>
    <t> Year 38</t>
  </si>
  <si>
    <t> Year 39</t>
  </si>
  <si>
    <t> Year 40</t>
  </si>
  <si>
    <t> Year 41</t>
  </si>
  <si>
    <t> Year 42</t>
  </si>
  <si>
    <t> Year 43</t>
  </si>
  <si>
    <t> Year 44</t>
  </si>
  <si>
    <t> Year 45</t>
  </si>
  <si>
    <t> Year 46</t>
  </si>
  <si>
    <t> Year 47</t>
  </si>
  <si>
    <t> Year 48</t>
  </si>
  <si>
    <t> Year 49</t>
  </si>
  <si>
    <t> 50's</t>
  </si>
  <si>
    <t> 25-YEAR PROJECTION MIDSTREAM OPERATION ONLY IN USD M</t>
  </si>
  <si>
    <t> Total Market (MBY)</t>
  </si>
  <si>
    <t> Monthly Fixed Income</t>
  </si>
  <si>
    <t>Annual Fixed Income</t>
  </si>
  <si>
    <t> Projected Annual Variable Income</t>
  </si>
  <si>
    <t> Projected Annual Total Income</t>
  </si>
  <si>
    <t> Monthly Cost per m2</t>
  </si>
  <si>
    <t> Calendar year 2023</t>
  </si>
  <si>
    <t> Calendar year 2024</t>
  </si>
  <si>
    <t> Calendar year 2025</t>
  </si>
  <si>
    <t> Calendar year 2026</t>
  </si>
  <si>
    <t> Calendar year 2027</t>
  </si>
  <si>
    <t> Calendar year 2028</t>
  </si>
  <si>
    <t> Calendar year 2029</t>
  </si>
  <si>
    <t> Calendar year 2030</t>
  </si>
  <si>
    <t> Calendar year 2031</t>
  </si>
  <si>
    <t> Calendar year 2032</t>
  </si>
  <si>
    <t> Calendar year 2033</t>
  </si>
  <si>
    <t> Calendar year 2034</t>
  </si>
  <si>
    <t> Calendar year 2035</t>
  </si>
  <si>
    <t> Calendar year 2036</t>
  </si>
  <si>
    <t> Calendar year 2037</t>
  </si>
  <si>
    <t> Calendar year 2038</t>
  </si>
  <si>
    <t> Calendar year 2039</t>
  </si>
  <si>
    <t> Calendar year 2040</t>
  </si>
  <si>
    <t> Calendar year 2041</t>
  </si>
  <si>
    <t> Calendar year 2042</t>
  </si>
  <si>
    <t> Calendar year 2043</t>
  </si>
  <si>
    <t> Calendar year 2044</t>
  </si>
  <si>
    <t> Calendar year 2045</t>
  </si>
  <si>
    <t> Calendar year 2046</t>
  </si>
  <si>
    <t> Calendar year 2047</t>
  </si>
  <si>
    <t> Calendar year 2048</t>
  </si>
  <si>
    <t> 2023</t>
  </si>
  <si>
    <t> 2024</t>
  </si>
  <si>
    <t> 2025</t>
  </si>
  <si>
    <t> 2026</t>
  </si>
  <si>
    <t> 2027</t>
  </si>
  <si>
    <t> 2028</t>
  </si>
  <si>
    <t> 2029</t>
  </si>
  <si>
    <t> 2030</t>
  </si>
  <si>
    <t> 2031</t>
  </si>
  <si>
    <t> 2032</t>
  </si>
  <si>
    <t> 2033</t>
  </si>
  <si>
    <t> 2034</t>
  </si>
  <si>
    <t> 2035</t>
  </si>
  <si>
    <t> 2036</t>
  </si>
  <si>
    <t> 2037</t>
  </si>
  <si>
    <t> 2038</t>
  </si>
  <si>
    <t> 2039</t>
  </si>
  <si>
    <t> 2040</t>
  </si>
  <si>
    <t>2041</t>
  </si>
  <si>
    <t> 2042</t>
  </si>
  <si>
    <t> 2043</t>
  </si>
  <si>
    <t> 2044</t>
  </si>
  <si>
    <t> 2045</t>
  </si>
  <si>
    <t> 2046</t>
  </si>
  <si>
    <t> 2047</t>
  </si>
  <si>
    <t> 2048</t>
  </si>
  <si>
    <t> Interest</t>
  </si>
  <si>
    <t> Major</t>
  </si>
  <si>
    <t> Ending Balance</t>
  </si>
  <si>
    <t> 1</t>
  </si>
  <si>
    <t> 2</t>
  </si>
  <si>
    <t> 3</t>
  </si>
  <si>
    <t> 4</t>
  </si>
  <si>
    <t> 5</t>
  </si>
  <si>
    <t> 6</t>
  </si>
  <si>
    <t> 7</t>
  </si>
  <si>
    <t> 8</t>
  </si>
  <si>
    <t> 9</t>
  </si>
  <si>
    <t> 10</t>
  </si>
  <si>
    <t> eleven</t>
  </si>
  <si>
    <t> 12</t>
  </si>
  <si>
    <t> 13</t>
  </si>
  <si>
    <t> 14</t>
  </si>
  <si>
    <t> fifteen</t>
  </si>
  <si>
    <t> SUM</t>
  </si>
  <si>
    <t> loan</t>
  </si>
  <si>
    <t> Years</t>
  </si>
  <si>
    <t> waiting</t>
  </si>
  <si>
    <t> EBT</t>
  </si>
  <si>
    <t> EBT (%)</t>
  </si>
  <si>
    <t> USDM</t>
  </si>
  <si>
    <t> Rent to TWC (IPM)</t>
  </si>
  <si>
    <t> Total Interests</t>
  </si>
  <si>
    <t> Year</t>
  </si>
  <si>
    <t> 400K</t>
  </si>
  <si>
    <t> 800K</t>
  </si>
  <si>
    <t> A1</t>
  </si>
  <si>
    <t> A2</t>
  </si>
  <si>
    <t> B1</t>
  </si>
  <si>
    <t> B2</t>
  </si>
  <si>
    <t> Max Market Share</t>
  </si>
  <si>
    <t> Cash Out (TWC)</t>
  </si>
  <si>
    <t> Total Expenses</t>
  </si>
  <si>
    <t> Delivery of land with construction license and environmental impact</t>
  </si>
  <si>
    <t> Tree census update and permission to deforest</t>
  </si>
  <si>
    <t> Payments for the year 2024</t>
  </si>
  <si>
    <t> Obtaining a license to install a hydrocarbon plant</t>
  </si>
  <si>
    <t> Payments for the year 2025</t>
  </si>
  <si>
    <t> Obtaining a hydrocarbon plant operating license</t>
  </si>
  <si>
    <t> Continuous operation without problems with municipality / government</t>
  </si>
  <si>
    <t> Coordination of work tables with IPM and EPQ</t>
  </si>
  <si>
    <t> Payments for the year 2026</t>
  </si>
  <si>
    <t>Participation of TWC (2 executives - RM, AB) on the board of directors</t>
  </si>
  <si>
    <t> Obtaining ZDEEP denomination and authorization as beneficiary</t>
  </si>
  <si>
    <t> Continuous smooth operation with Zolic (ZDEEP)</t>
  </si>
  <si>
    <t> Payments for the year 2027</t>
  </si>
  <si>
    <t> Payments for the year 2028</t>
  </si>
  <si>
    <t> Payments for the year 2029</t>
  </si>
  <si>
    <t> Extension of contracts to X additional years</t>
  </si>
  <si>
    <t> CAPEX</t>
  </si>
  <si>
    <t> OPEX</t>
  </si>
  <si>
    <t> INVESTMENT</t>
  </si>
  <si>
    <t> Nominal Capacity (MB)</t>
  </si>
  <si>
    <t> Throughput Rate (X/Month)</t>
  </si>
  <si>
    <t> Throughput Capacity (MB/Month)</t>
  </si>
  <si>
    <t> Throughput Capacity (MB/Year)</t>
  </si>
  <si>
    <t> Depreciation</t>
  </si>
  <si>
    <t> Taxes</t>
  </si>
  <si>
    <t> Interest Payment</t>
  </si>
  <si>
    <t> Main Payment</t>
  </si>
  <si>
    <t> Net Income</t>
  </si>
  <si>
    <t> FCF from Operations</t>
  </si>
  <si>
    <t> Financing</t>
  </si>
  <si>
    <t> Net Income (%)</t>
  </si>
  <si>
    <t> FCF from Ops (%)</t>
  </si>
  <si>
    <t> FCF After CO (FCF)</t>
  </si>
  <si>
    <t> Barrel Fee Inflation</t>
  </si>
  <si>
    <t> Rent Inflation</t>
  </si>
  <si>
    <t> Cash Out Base</t>
  </si>
  <si>
    <t> Bonus Cash Out</t>
  </si>
  <si>
    <t> NPV After CO</t>
  </si>
  <si>
    <t> IRR After CO</t>
  </si>
  <si>
    <t> CO NPV</t>
  </si>
  <si>
    <t> CO SUM</t>
  </si>
  <si>
    <t> CO SUM to FCF</t>
  </si>
  <si>
    <t> Scenario</t>
  </si>
  <si>
    <t> Capacity</t>
  </si>
  <si>
    <t> Debt</t>
  </si>
  <si>
    <t> Duration (Years)</t>
  </si>
  <si>
    <t> Loan Amount</t>
  </si>
  <si>
    <t> Loan Duration</t>
  </si>
  <si>
    <t>Grace Period</t>
  </si>
  <si>
    <t> Market Share (%)</t>
  </si>
  <si>
    <t> Total Market (MB)</t>
  </si>
  <si>
    <t> Volume (MB)</t>
  </si>
  <si>
    <t> SUM OF THE PERIOD (USD M)</t>
  </si>
  <si>
    <t> Payback w/CO (Years)</t>
  </si>
  <si>
    <t> *CO = Cash Out</t>
  </si>
  <si>
    <t> NPV After *CO</t>
  </si>
  <si>
    <t> IRR After *CO</t>
  </si>
  <si>
    <t> *CO NPV</t>
  </si>
  <si>
    <t> *CO SUM</t>
  </si>
  <si>
    <t> *CO SUM / FCF</t>
  </si>
  <si>
    <t> The model includes the possibility to analyze the impact of a potential cash out for TWC</t>
  </si>
  <si>
    <t> A potential cash out would include cash payments spread along a fixed period of time and linked to a deliverables/achievements schedule</t>
  </si>
  <si>
    <t> Examples of Key Items for Cash Out Schedule</t>
  </si>
  <si>
    <t> Enter Data</t>
  </si>
  <si>
    <t> Interest Rate</t>
  </si>
  <si>
    <t xml:space="preserve"> Volumes above 20%-25% MS -&gt; Export</t>
  </si>
  <si>
    <t xml:space="preserve"> TBC exact amount of CAPEX vs OPEX for construction</t>
  </si>
  <si>
    <t xml:space="preserve"> OPEX after construction based on OPTIMUS (Tuxpan)</t>
  </si>
  <si>
    <t xml:space="preserve"> Income of USD 5 per barrel with 4% annual increase</t>
  </si>
  <si>
    <t xml:space="preserve"> 5% of topline for 400K capacity and 3.5% of topline for 800K capacity. Official simplified rate is 7% of topline and 0% for exports for ZDEEP</t>
  </si>
  <si>
    <t> ASP</t>
  </si>
  <si>
    <t> IRR</t>
  </si>
  <si>
    <t> FCF Ops (%)</t>
  </si>
  <si>
    <t> Payback</t>
  </si>
  <si>
    <t>OPEX Fixed</t>
  </si>
  <si>
    <t> Variable OPEX</t>
  </si>
  <si>
    <t> IRR A1</t>
  </si>
  <si>
    <t> IRR A2</t>
  </si>
  <si>
    <t> Net Income A1</t>
  </si>
  <si>
    <t> Net Income A2</t>
  </si>
  <si>
    <t> Net Income B1</t>
  </si>
  <si>
    <t> Net Income B2</t>
  </si>
  <si>
    <t> IRR B1</t>
  </si>
  <si>
    <t> IRR B2</t>
  </si>
  <si>
    <t> FCF Ops A1</t>
  </si>
  <si>
    <t> FCF Ops A2</t>
  </si>
  <si>
    <t> FCF Ops B1</t>
  </si>
  <si>
    <t> FCF Ops B2</t>
  </si>
  <si>
    <t> Payback A1</t>
  </si>
  <si>
    <t> Payback A2</t>
  </si>
  <si>
    <t> Payback A3</t>
  </si>
  <si>
    <t> Payback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</si>
</sst>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"/>
    <numFmt numFmtId="167" formatCode="_-* #,##0.00_-;\-* #,##0.00_-;_-* &quot;-&quot;??_-;_-@_-"/>
    <numFmt numFmtId="168" formatCode="0.0%"/>
  </numFmts>
  <fonts count="2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6"/>
      <name val="Calibri"/>
      <family val="2"/>
      <scheme val="minor"/>
    </font>
    <font>
      <sz val="12"/>
      <color theme="6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0" tint="-4.9989318521683403E-2"/>
      <name val="Calibri"/>
      <family val="2"/>
      <scheme val="minor"/>
    </font>
    <font>
      <sz val="12"/>
      <color theme="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2" tint="-9.9978637043366805E-2"/>
      <name val="Calibri"/>
      <family val="2"/>
      <scheme val="minor"/>
    </font>
    <font>
      <u/>
      <sz val="12"/>
      <color theme="2" tint="-9.9978637043366805E-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2"/>
      <color rgb="FFC00000"/>
      <name val="Calibri"/>
      <family val="2"/>
      <scheme val="minor"/>
    </font>
    <font>
      <i/>
      <sz val="12"/>
      <color rgb="FFC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i/>
      <sz val="10"/>
      <color theme="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/>
      <right/>
      <top/>
      <bottom style="double">
        <color theme="5"/>
      </bottom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58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0" fillId="2" borderId="5" xfId="0" applyFill="1" applyBorder="1"/>
    <xf numFmtId="0" fontId="0" fillId="2" borderId="8" xfId="0" applyFill="1" applyBorder="1"/>
    <xf numFmtId="9" fontId="0" fillId="2" borderId="0" xfId="0" applyNumberFormat="1" applyFill="1"/>
    <xf numFmtId="165" fontId="0" fillId="2" borderId="0" xfId="0" applyNumberFormat="1" applyFill="1"/>
    <xf numFmtId="0" fontId="0" fillId="2" borderId="0" xfId="0" applyFill="1" applyAlignment="1">
      <alignment horizontal="center"/>
    </xf>
    <xf numFmtId="0" fontId="3" fillId="2" borderId="4" xfId="0" applyFont="1" applyFill="1" applyBorder="1"/>
    <xf numFmtId="0" fontId="0" fillId="3" borderId="0" xfId="0" applyFill="1"/>
    <xf numFmtId="43" fontId="0" fillId="3" borderId="0" xfId="1" applyFont="1" applyFill="1" applyBorder="1"/>
    <xf numFmtId="165" fontId="0" fillId="3" borderId="0" xfId="2" applyNumberFormat="1" applyFont="1" applyFill="1" applyBorder="1"/>
    <xf numFmtId="0" fontId="4" fillId="2" borderId="0" xfId="0" applyFont="1" applyFill="1"/>
    <xf numFmtId="165" fontId="0" fillId="3" borderId="0" xfId="0" applyNumberFormat="1" applyFill="1"/>
    <xf numFmtId="0" fontId="3" fillId="2" borderId="6" xfId="0" applyFont="1" applyFill="1" applyBorder="1"/>
    <xf numFmtId="0" fontId="0" fillId="2" borderId="7" xfId="0" applyFill="1" applyBorder="1"/>
    <xf numFmtId="10" fontId="0" fillId="2" borderId="0" xfId="0" applyNumberFormat="1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3" fillId="2" borderId="1" xfId="0" applyFont="1" applyFill="1" applyBorder="1"/>
    <xf numFmtId="0" fontId="0" fillId="2" borderId="2" xfId="0" applyFill="1" applyBorder="1"/>
    <xf numFmtId="9" fontId="0" fillId="2" borderId="2" xfId="0" applyNumberFormat="1" applyFill="1" applyBorder="1"/>
    <xf numFmtId="0" fontId="0" fillId="2" borderId="3" xfId="0" applyFill="1" applyBorder="1"/>
    <xf numFmtId="43" fontId="0" fillId="2" borderId="0" xfId="0" applyNumberFormat="1" applyFill="1"/>
    <xf numFmtId="166" fontId="0" fillId="2" borderId="0" xfId="0" applyNumberFormat="1" applyFill="1"/>
    <xf numFmtId="9" fontId="5" fillId="2" borderId="0" xfId="0" applyNumberFormat="1" applyFont="1" applyFill="1" applyAlignment="1">
      <alignment horizontal="center"/>
    </xf>
    <xf numFmtId="165" fontId="4" fillId="2" borderId="0" xfId="0" applyNumberFormat="1" applyFont="1" applyFill="1"/>
    <xf numFmtId="9" fontId="6" fillId="4" borderId="0" xfId="0" applyNumberFormat="1" applyFont="1" applyFill="1"/>
    <xf numFmtId="0" fontId="7" fillId="2" borderId="0" xfId="0" applyFont="1" applyFill="1"/>
    <xf numFmtId="165" fontId="3" fillId="2" borderId="0" xfId="0" applyNumberFormat="1" applyFont="1" applyFill="1"/>
    <xf numFmtId="0" fontId="5" fillId="2" borderId="0" xfId="0" applyFont="1" applyFill="1"/>
    <xf numFmtId="0" fontId="7" fillId="5" borderId="0" xfId="0" applyFont="1" applyFill="1"/>
    <xf numFmtId="10" fontId="7" fillId="5" borderId="0" xfId="0" applyNumberFormat="1" applyFont="1" applyFill="1"/>
    <xf numFmtId="6" fontId="7" fillId="5" borderId="0" xfId="0" applyNumberFormat="1" applyFont="1" applyFill="1"/>
    <xf numFmtId="10" fontId="7" fillId="5" borderId="0" xfId="3" applyNumberFormat="1" applyFont="1" applyFill="1" applyBorder="1"/>
    <xf numFmtId="0" fontId="3" fillId="2" borderId="4" xfId="0" applyFont="1" applyFill="1" applyBorder="1" applyAlignment="1">
      <alignment horizontal="right"/>
    </xf>
    <xf numFmtId="165" fontId="3" fillId="2" borderId="0" xfId="0" applyNumberFormat="1" applyFont="1" applyFill="1" applyAlignment="1">
      <alignment horizontal="center"/>
    </xf>
    <xf numFmtId="10" fontId="0" fillId="2" borderId="0" xfId="3" applyNumberFormat="1" applyFont="1" applyFill="1"/>
    <xf numFmtId="0" fontId="0" fillId="2" borderId="12" xfId="0" applyFill="1" applyBorder="1"/>
    <xf numFmtId="0" fontId="0" fillId="2" borderId="13" xfId="0" applyFill="1" applyBorder="1"/>
    <xf numFmtId="9" fontId="0" fillId="2" borderId="13" xfId="0" applyNumberForma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9" fontId="10" fillId="2" borderId="0" xfId="0" applyNumberFormat="1" applyFont="1" applyFill="1" applyAlignment="1">
      <alignment horizontal="center"/>
    </xf>
    <xf numFmtId="43" fontId="10" fillId="2" borderId="0" xfId="1" applyFont="1" applyFill="1" applyAlignment="1">
      <alignment horizontal="center"/>
    </xf>
    <xf numFmtId="0" fontId="0" fillId="2" borderId="16" xfId="0" applyFill="1" applyBorder="1"/>
    <xf numFmtId="0" fontId="3" fillId="2" borderId="0" xfId="0" applyFont="1" applyFill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44" fontId="0" fillId="2" borderId="0" xfId="2" applyFont="1" applyFill="1" applyBorder="1"/>
    <xf numFmtId="44" fontId="0" fillId="2" borderId="0" xfId="0" applyNumberFormat="1" applyFill="1"/>
    <xf numFmtId="44" fontId="0" fillId="2" borderId="16" xfId="0" applyNumberFormat="1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0" xfId="0" quotePrefix="1" applyFill="1" applyAlignment="1">
      <alignment horizontal="center"/>
    </xf>
    <xf numFmtId="44" fontId="0" fillId="3" borderId="0" xfId="0" applyNumberFormat="1" applyFill="1"/>
    <xf numFmtId="6" fontId="0" fillId="2" borderId="0" xfId="0" applyNumberFormat="1" applyFill="1"/>
    <xf numFmtId="0" fontId="11" fillId="2" borderId="0" xfId="0" applyFont="1" applyFill="1"/>
    <xf numFmtId="0" fontId="12" fillId="2" borderId="0" xfId="0" applyFont="1" applyFill="1" applyAlignment="1">
      <alignment horizontal="center"/>
    </xf>
    <xf numFmtId="0" fontId="13" fillId="2" borderId="0" xfId="0" applyFont="1" applyFill="1"/>
    <xf numFmtId="6" fontId="13" fillId="2" borderId="0" xfId="0" applyNumberFormat="1" applyFont="1" applyFill="1"/>
    <xf numFmtId="165" fontId="0" fillId="2" borderId="0" xfId="2" applyNumberFormat="1" applyFont="1" applyFill="1"/>
    <xf numFmtId="0" fontId="0" fillId="7" borderId="0" xfId="0" applyFill="1"/>
    <xf numFmtId="165" fontId="0" fillId="7" borderId="0" xfId="2" applyNumberFormat="1" applyFont="1" applyFill="1" applyAlignment="1">
      <alignment horizontal="left"/>
    </xf>
    <xf numFmtId="9" fontId="0" fillId="7" borderId="0" xfId="3" applyFont="1" applyFill="1"/>
    <xf numFmtId="164" fontId="0" fillId="7" borderId="0" xfId="1" applyNumberFormat="1" applyFont="1" applyFill="1"/>
    <xf numFmtId="0" fontId="0" fillId="7" borderId="0" xfId="0" applyFill="1" applyAlignment="1">
      <alignment horizontal="right"/>
    </xf>
    <xf numFmtId="6" fontId="0" fillId="7" borderId="0" xfId="0" applyNumberFormat="1" applyFill="1"/>
    <xf numFmtId="44" fontId="0" fillId="3" borderId="0" xfId="2" applyFont="1" applyFill="1" applyBorder="1"/>
    <xf numFmtId="10" fontId="0" fillId="3" borderId="0" xfId="3" applyNumberFormat="1" applyFont="1" applyFill="1"/>
    <xf numFmtId="0" fontId="3" fillId="2" borderId="21" xfId="0" applyFon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9" fontId="0" fillId="2" borderId="21" xfId="3" applyFont="1" applyFill="1" applyBorder="1" applyAlignment="1">
      <alignment horizontal="center"/>
    </xf>
    <xf numFmtId="6" fontId="0" fillId="2" borderId="21" xfId="2" applyNumberFormat="1" applyFont="1" applyFill="1" applyBorder="1"/>
    <xf numFmtId="0" fontId="14" fillId="2" borderId="0" xfId="0" applyFont="1" applyFill="1"/>
    <xf numFmtId="0" fontId="15" fillId="2" borderId="0" xfId="0" applyFont="1" applyFill="1"/>
    <xf numFmtId="9" fontId="15" fillId="2" borderId="0" xfId="3" applyFont="1" applyFill="1"/>
    <xf numFmtId="0" fontId="0" fillId="8" borderId="0" xfId="0" applyFill="1"/>
    <xf numFmtId="9" fontId="16" fillId="8" borderId="22" xfId="3" applyFont="1" applyFill="1" applyBorder="1"/>
    <xf numFmtId="165" fontId="3" fillId="2" borderId="22" xfId="0" applyNumberFormat="1" applyFont="1" applyFill="1" applyBorder="1" applyAlignment="1">
      <alignment horizontal="center"/>
    </xf>
    <xf numFmtId="9" fontId="15" fillId="2" borderId="23" xfId="3" applyFont="1" applyFill="1" applyBorder="1"/>
    <xf numFmtId="9" fontId="16" fillId="8" borderId="23" xfId="3" applyFont="1" applyFill="1" applyBorder="1"/>
    <xf numFmtId="9" fontId="16" fillId="8" borderId="24" xfId="3" applyFont="1" applyFill="1" applyBorder="1"/>
    <xf numFmtId="9" fontId="15" fillId="2" borderId="24" xfId="3" applyFont="1" applyFill="1" applyBorder="1"/>
    <xf numFmtId="164" fontId="4" fillId="2" borderId="0" xfId="1" applyNumberFormat="1" applyFont="1" applyFill="1" applyAlignment="1">
      <alignment horizontal="center"/>
    </xf>
    <xf numFmtId="2" fontId="0" fillId="3" borderId="0" xfId="0" applyNumberFormat="1" applyFill="1"/>
    <xf numFmtId="9" fontId="4" fillId="2" borderId="0" xfId="3" applyFont="1" applyFill="1"/>
    <xf numFmtId="43" fontId="0" fillId="2" borderId="0" xfId="1" applyFont="1" applyFill="1" applyBorder="1"/>
    <xf numFmtId="0" fontId="0" fillId="2" borderId="0" xfId="0" applyFill="1" applyAlignment="1">
      <alignment horizontal="right"/>
    </xf>
    <xf numFmtId="2" fontId="0" fillId="2" borderId="0" xfId="0" applyNumberFormat="1" applyFill="1" applyAlignment="1">
      <alignment horizontal="right"/>
    </xf>
    <xf numFmtId="9" fontId="17" fillId="2" borderId="4" xfId="0" applyNumberFormat="1" applyFont="1" applyFill="1" applyBorder="1"/>
    <xf numFmtId="0" fontId="18" fillId="2" borderId="0" xfId="0" applyFont="1" applyFill="1" applyAlignment="1">
      <alignment horizontal="right"/>
    </xf>
    <xf numFmtId="165" fontId="17" fillId="2" borderId="0" xfId="0" applyNumberFormat="1" applyFont="1" applyFill="1"/>
    <xf numFmtId="44" fontId="0" fillId="3" borderId="0" xfId="3" applyNumberFormat="1" applyFont="1" applyFill="1"/>
    <xf numFmtId="165" fontId="0" fillId="2" borderId="0" xfId="2" applyNumberFormat="1" applyFont="1" applyFill="1" applyBorder="1"/>
    <xf numFmtId="0" fontId="19" fillId="3" borderId="0" xfId="0" applyFont="1" applyFill="1" applyAlignment="1">
      <alignment horizontal="right"/>
    </xf>
    <xf numFmtId="44" fontId="19" fillId="3" borderId="0" xfId="0" applyNumberFormat="1" applyFont="1" applyFill="1"/>
    <xf numFmtId="0" fontId="20" fillId="3" borderId="0" xfId="0" applyFont="1" applyFill="1" applyAlignment="1">
      <alignment horizontal="right"/>
    </xf>
    <xf numFmtId="9" fontId="20" fillId="3" borderId="0" xfId="0" applyNumberFormat="1" applyFont="1" applyFill="1"/>
    <xf numFmtId="10" fontId="20" fillId="3" borderId="0" xfId="0" applyNumberFormat="1" applyFont="1" applyFill="1"/>
    <xf numFmtId="10" fontId="20" fillId="3" borderId="0" xfId="3" applyNumberFormat="1" applyFont="1" applyFill="1"/>
    <xf numFmtId="0" fontId="2" fillId="8" borderId="0" xfId="0" applyFont="1" applyFill="1" applyAlignment="1">
      <alignment horizontal="left"/>
    </xf>
    <xf numFmtId="10" fontId="7" fillId="5" borderId="0" xfId="3" applyNumberFormat="1" applyFont="1" applyFill="1"/>
    <xf numFmtId="9" fontId="21" fillId="2" borderId="0" xfId="0" applyNumberFormat="1" applyFont="1" applyFill="1"/>
    <xf numFmtId="0" fontId="21" fillId="2" borderId="0" xfId="0" applyFont="1" applyFill="1"/>
    <xf numFmtId="168" fontId="21" fillId="2" borderId="0" xfId="0" applyNumberFormat="1" applyFont="1" applyFill="1"/>
    <xf numFmtId="164" fontId="1" fillId="2" borderId="0" xfId="1" applyNumberFormat="1" applyFont="1" applyFill="1"/>
    <xf numFmtId="0" fontId="22" fillId="2" borderId="0" xfId="0" applyFont="1" applyFill="1"/>
    <xf numFmtId="9" fontId="19" fillId="3" borderId="0" xfId="0" applyNumberFormat="1" applyFont="1" applyFill="1"/>
    <xf numFmtId="10" fontId="19" fillId="3" borderId="0" xfId="0" applyNumberFormat="1" applyFont="1" applyFill="1"/>
    <xf numFmtId="9" fontId="23" fillId="4" borderId="0" xfId="0" applyNumberFormat="1" applyFont="1" applyFill="1"/>
    <xf numFmtId="0" fontId="10" fillId="2" borderId="0" xfId="0" applyFont="1" applyFill="1"/>
    <xf numFmtId="0" fontId="10" fillId="2" borderId="5" xfId="0" applyFont="1" applyFill="1" applyBorder="1"/>
    <xf numFmtId="10" fontId="19" fillId="3" borderId="0" xfId="3" applyNumberFormat="1" applyFont="1" applyFill="1"/>
    <xf numFmtId="0" fontId="10" fillId="3" borderId="0" xfId="0" applyFont="1" applyFill="1"/>
    <xf numFmtId="10" fontId="10" fillId="3" borderId="0" xfId="3" applyNumberFormat="1" applyFont="1" applyFill="1"/>
    <xf numFmtId="165" fontId="0" fillId="3" borderId="0" xfId="1" applyNumberFormat="1" applyFont="1" applyFill="1" applyBorder="1"/>
    <xf numFmtId="165" fontId="19" fillId="3" borderId="0" xfId="0" applyNumberFormat="1" applyFont="1" applyFill="1"/>
    <xf numFmtId="165" fontId="0" fillId="3" borderId="0" xfId="3" applyNumberFormat="1" applyFont="1" applyFill="1"/>
    <xf numFmtId="1" fontId="0" fillId="3" borderId="0" xfId="0" applyNumberFormat="1" applyFill="1"/>
    <xf numFmtId="10" fontId="0" fillId="2" borderId="0" xfId="0" applyNumberFormat="1" applyFill="1"/>
    <xf numFmtId="10" fontId="0" fillId="2" borderId="0" xfId="3" applyNumberFormat="1" applyFont="1" applyFill="1" applyBorder="1"/>
    <xf numFmtId="0" fontId="24" fillId="2" borderId="0" xfId="0" applyFont="1" applyFill="1" applyAlignment="1">
      <alignment horizontal="center"/>
    </xf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25" xfId="0" applyFill="1" applyBorder="1" applyAlignment="1">
      <alignment horizontal="right"/>
    </xf>
    <xf numFmtId="0" fontId="0" fillId="2" borderId="35" xfId="0" applyFill="1" applyBorder="1" applyAlignment="1">
      <alignment horizontal="right"/>
    </xf>
    <xf numFmtId="0" fontId="0" fillId="2" borderId="26" xfId="0" applyFill="1" applyBorder="1" applyAlignment="1">
      <alignment horizontal="right"/>
    </xf>
    <xf numFmtId="9" fontId="0" fillId="2" borderId="27" xfId="3" applyFont="1" applyFill="1" applyBorder="1"/>
    <xf numFmtId="9" fontId="0" fillId="2" borderId="28" xfId="3" applyFont="1" applyFill="1" applyBorder="1"/>
    <xf numFmtId="9" fontId="0" fillId="2" borderId="29" xfId="3" applyFont="1" applyFill="1" applyBorder="1"/>
    <xf numFmtId="9" fontId="0" fillId="2" borderId="33" xfId="3" applyFont="1" applyFill="1" applyBorder="1"/>
    <xf numFmtId="9" fontId="0" fillId="2" borderId="0" xfId="3" applyFont="1" applyFill="1" applyBorder="1"/>
    <xf numFmtId="9" fontId="0" fillId="2" borderId="34" xfId="3" applyFont="1" applyFill="1" applyBorder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9" fontId="25" fillId="2" borderId="21" xfId="3" applyFont="1" applyFill="1" applyBorder="1"/>
    <xf numFmtId="164" fontId="25" fillId="2" borderId="21" xfId="1" applyNumberFormat="1" applyFont="1" applyFill="1" applyBorder="1"/>
    <xf numFmtId="0" fontId="25" fillId="2" borderId="21" xfId="0" applyFont="1" applyFill="1" applyBorder="1"/>
    <xf numFmtId="44" fontId="25" fillId="2" borderId="21" xfId="2" applyFont="1" applyFill="1" applyBorder="1"/>
    <xf numFmtId="9" fontId="26" fillId="2" borderId="0" xfId="3" applyFont="1" applyFill="1" applyAlignment="1">
      <alignment horizontal="center"/>
    </xf>
    <xf numFmtId="8" fontId="0" fillId="7" borderId="25" xfId="2" applyNumberFormat="1" applyFont="1" applyFill="1" applyBorder="1" applyAlignment="1">
      <alignment horizontal="center" vertical="center"/>
    </xf>
    <xf numFmtId="8" fontId="0" fillId="7" borderId="26" xfId="2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6" fontId="0" fillId="7" borderId="25" xfId="2" applyNumberFormat="1" applyFont="1" applyFill="1" applyBorder="1" applyAlignment="1">
      <alignment horizontal="center" vertical="center"/>
    </xf>
    <xf numFmtId="6" fontId="0" fillId="7" borderId="26" xfId="2" applyNumberFormat="1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2" fontId="0" fillId="2" borderId="27" xfId="0" applyNumberFormat="1" applyFill="1" applyBorder="1" applyAlignment="1">
      <alignment horizontal="center"/>
    </xf>
    <xf numFmtId="2" fontId="0" fillId="2" borderId="28" xfId="0" applyNumberFormat="1" applyFill="1" applyBorder="1" applyAlignment="1">
      <alignment horizontal="center"/>
    </xf>
    <xf numFmtId="2" fontId="0" fillId="2" borderId="29" xfId="0" applyNumberForma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</cellXfs>
  <cellStyles count="7">
    <cellStyle name="Comma" xfId="1" builtinId="3"/>
    <cellStyle name="Comma 2" xfId="5" xr:uid="{23B0C13C-74B5-FB43-8497-24CC587154D6}"/>
    <cellStyle name="Currency" xfId="2" builtinId="4"/>
    <cellStyle name="Normal" xfId="0" builtinId="0"/>
    <cellStyle name="Normal 2" xfId="4" xr:uid="{5FEB0B48-CDEA-6B4F-A171-3431178E174C}"/>
    <cellStyle name="Percent" xfId="3" builtinId="5"/>
    <cellStyle name="Percent 2" xfId="6" xr:uid="{8121A898-90A5-BA46-B7DD-024D0FAF7CE1}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151534</xdr:colOff>
      <xdr:row>8</xdr:row>
      <xdr:rowOff>50510</xdr:rowOff>
    </xdr:from>
    <xdr:to>
      <xdr:col>10</xdr:col>
      <xdr:colOff>858693</xdr:colOff>
      <xdr:row>9</xdr:row>
      <xdr:rowOff>21648</xdr:rowOff>
    </xdr:to>
    <xdr:sp macro="" textlink="">
      <xdr:nvSpPr>
        <xdr:cNvPr id="2" name="Triangle 1">
          <a:extLst>
            <a:ext uri="{FF2B5EF4-FFF2-40B4-BE49-F238E27FC236}">
              <a16:creationId xmlns:a16="http://schemas.microsoft.com/office/drawing/2014/main" id="{1D8D7FDA-72EA-0D4C-99FF-3151AA9FFA5B}"/>
            </a:ext>
          </a:extLst>
        </xdr:cNvPr>
        <xdr:cNvSpPr/>
      </xdr:nvSpPr>
      <xdr:spPr>
        <a:xfrm>
          <a:off x="9690966" y="1666874"/>
          <a:ext cx="707159" cy="173183"/>
        </a:xfrm>
        <a:prstGeom prst="triangle">
          <a:avLst>
            <a:gd name="adj" fmla="val 51020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72278</xdr:colOff>
      <xdr:row>8</xdr:row>
      <xdr:rowOff>56819</xdr:rowOff>
    </xdr:from>
    <xdr:to>
      <xdr:col>12</xdr:col>
      <xdr:colOff>779437</xdr:colOff>
      <xdr:row>9</xdr:row>
      <xdr:rowOff>27957</xdr:rowOff>
    </xdr:to>
    <xdr:sp macro="" textlink="">
      <xdr:nvSpPr>
        <xdr:cNvPr id="3" name="Triangle 2">
          <a:extLst>
            <a:ext uri="{FF2B5EF4-FFF2-40B4-BE49-F238E27FC236}">
              <a16:creationId xmlns:a16="http://schemas.microsoft.com/office/drawing/2014/main" id="{124B1986-CB4F-FC46-B916-19554B73E0FF}"/>
            </a:ext>
          </a:extLst>
        </xdr:cNvPr>
        <xdr:cNvSpPr/>
      </xdr:nvSpPr>
      <xdr:spPr>
        <a:xfrm>
          <a:off x="10940147" y="1666874"/>
          <a:ext cx="707159" cy="172394"/>
        </a:xfrm>
        <a:prstGeom prst="triangle">
          <a:avLst>
            <a:gd name="adj" fmla="val 51020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342900</xdr:colOff>
      <xdr:row>21</xdr:row>
      <xdr:rowOff>145153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21A59B-DB50-004B-C2A4-5C737271B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0" y="609600"/>
          <a:ext cx="7772400" cy="38027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10</xdr:col>
      <xdr:colOff>342900</xdr:colOff>
      <xdr:row>41</xdr:row>
      <xdr:rowOff>159612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97A334-F6F4-2835-7998-24DC73DF0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5500" y="4470400"/>
          <a:ext cx="7772400" cy="4020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23DB4-52AD-D848-A00F-71175B6A47DF}">
  <dimension ref="B4:M98"/>
  <sheetViews>
    <sheetView tabSelected="1" zoomScale="125" zoomScaleNormal="140" workbookViewId="0">
      <selection activeCell="M9" sqref="M9"/>
    </sheetView>
  </sheetViews>
  <sheetFormatPr baseColWidth="10" defaultRowHeight="16" x14ac:dyDescent="0.2"/>
  <cols>
    <col min="1" max="1" width="10.83203125" style="1"/>
    <col min="2" max="2" width="18.33203125" style="1" bestFit="1" customWidth="1"/>
    <col min="3" max="3" width="12.1640625" style="1" customWidth="1"/>
    <col min="4" max="4" width="14.6640625" style="1" customWidth="1"/>
    <col min="5" max="5" width="14.5" style="1" customWidth="1"/>
    <col min="6" max="6" width="16" style="1" customWidth="1"/>
    <col min="7" max="7" width="11.83203125" style="1" bestFit="1" customWidth="1"/>
    <col min="8" max="8" width="12.5" style="1" customWidth="1"/>
    <col min="9" max="9" width="11.6640625" style="1" bestFit="1" customWidth="1"/>
    <col min="10" max="10" width="3.83203125" style="1" customWidth="1"/>
    <col min="11" max="11" width="13.33203125" style="1" customWidth="1"/>
    <col min="12" max="12" width="3" style="1" customWidth="1"/>
    <col min="13" max="16" width="10.83203125" style="1"/>
    <col min="17" max="17" width="14" style="1" bestFit="1" customWidth="1"/>
    <col min="18" max="41" width="5.83203125" style="1" customWidth="1"/>
    <col min="42" max="16384" width="10.83203125" style="1"/>
  </cols>
  <sheetData>
    <row r="4" spans="2:13" x14ac:dyDescent="0.2">
      <c r="B4" s="72" t="s">
        <v>198</v>
      </c>
      <c r="C4" s="72" t="s">
        <v>199</v>
      </c>
      <c r="D4" s="72" t="s">
        <v>185</v>
      </c>
      <c r="E4" s="72" t="s">
        <v>201</v>
      </c>
      <c r="F4" s="72" t="s">
        <v>202</v>
      </c>
      <c r="G4" s="72" t="s">
        <v>220</v>
      </c>
      <c r="H4" s="72" t="s">
        <v>203</v>
      </c>
      <c r="I4" s="72" t="s">
        <v>204</v>
      </c>
      <c r="K4" s="72" t="s">
        <v>191</v>
      </c>
      <c r="M4" s="72" t="s">
        <v>226</v>
      </c>
    </row>
    <row r="5" spans="2:13" x14ac:dyDescent="0.2">
      <c r="B5" s="73" t="s">
        <v>149</v>
      </c>
      <c r="C5" s="150" t="s">
        <v>147</v>
      </c>
      <c r="D5" s="150" t="s">
        <v>200</v>
      </c>
      <c r="E5" s="73">
        <v>25</v>
      </c>
      <c r="F5" s="75">
        <f>'Financial Cost'!C2/1000000</f>
        <v>176</v>
      </c>
      <c r="G5" s="74">
        <f>'Financial Cost'!C3</f>
        <v>0.06</v>
      </c>
      <c r="H5" s="73">
        <f>'Financial Cost'!C4</f>
        <v>15</v>
      </c>
      <c r="I5" s="73">
        <f>'Financial Cost'!C5</f>
        <v>2</v>
      </c>
      <c r="K5" s="148">
        <v>0</v>
      </c>
      <c r="M5" s="145">
        <v>5</v>
      </c>
    </row>
    <row r="6" spans="2:13" x14ac:dyDescent="0.2">
      <c r="B6" s="73" t="s">
        <v>150</v>
      </c>
      <c r="C6" s="150"/>
      <c r="D6" s="150"/>
      <c r="E6" s="73">
        <v>50</v>
      </c>
      <c r="F6" s="75">
        <f>'Financial Cost'!C2/1000000</f>
        <v>176</v>
      </c>
      <c r="G6" s="74">
        <f>'Financial Cost'!C3</f>
        <v>0.06</v>
      </c>
      <c r="H6" s="73">
        <f>'Financial Cost'!C4</f>
        <v>15</v>
      </c>
      <c r="I6" s="73">
        <f>'Financial Cost'!C5</f>
        <v>2</v>
      </c>
      <c r="K6" s="149"/>
      <c r="M6" s="146"/>
    </row>
    <row r="7" spans="2:13" x14ac:dyDescent="0.2">
      <c r="B7" s="73" t="s">
        <v>151</v>
      </c>
      <c r="C7" s="150" t="s">
        <v>148</v>
      </c>
      <c r="D7" s="150" t="s">
        <v>200</v>
      </c>
      <c r="E7" s="73">
        <v>25</v>
      </c>
      <c r="F7" s="75">
        <f>'Financial Cost'!C28/1000000</f>
        <v>216</v>
      </c>
      <c r="G7" s="74">
        <f>'Financial Cost'!C29</f>
        <v>0.06</v>
      </c>
      <c r="H7" s="73">
        <f>'Financial Cost'!C30</f>
        <v>15</v>
      </c>
      <c r="I7" s="73">
        <f>'Financial Cost'!C31</f>
        <v>2</v>
      </c>
      <c r="K7" s="148">
        <v>0</v>
      </c>
      <c r="M7" s="145">
        <v>5</v>
      </c>
    </row>
    <row r="8" spans="2:13" x14ac:dyDescent="0.2">
      <c r="B8" s="73" t="s">
        <v>152</v>
      </c>
      <c r="C8" s="150"/>
      <c r="D8" s="150"/>
      <c r="E8" s="73">
        <v>50</v>
      </c>
      <c r="F8" s="75">
        <f>'Financial Cost'!C28/1000000</f>
        <v>216</v>
      </c>
      <c r="G8" s="74">
        <f>'Financial Cost'!C29</f>
        <v>0.06</v>
      </c>
      <c r="H8" s="73">
        <f>'Financial Cost'!C30</f>
        <v>15</v>
      </c>
      <c r="I8" s="73">
        <f>'Financial Cost'!C31</f>
        <v>2</v>
      </c>
      <c r="K8" s="149"/>
      <c r="M8" s="146"/>
    </row>
    <row r="10" spans="2:13" x14ac:dyDescent="0.2">
      <c r="K10" s="124" t="s">
        <v>219</v>
      </c>
      <c r="M10" s="124" t="s">
        <v>219</v>
      </c>
    </row>
    <row r="11" spans="2:13" x14ac:dyDescent="0.2">
      <c r="K11" s="8"/>
    </row>
    <row r="13" spans="2:13" x14ac:dyDescent="0.2">
      <c r="C13" s="147" t="s">
        <v>208</v>
      </c>
      <c r="D13" s="147"/>
      <c r="E13" s="147"/>
      <c r="F13" s="147"/>
    </row>
    <row r="14" spans="2:13" x14ac:dyDescent="0.2">
      <c r="C14" s="2" t="s">
        <v>149</v>
      </c>
      <c r="D14" s="2" t="s">
        <v>150</v>
      </c>
      <c r="E14" s="2" t="s">
        <v>151</v>
      </c>
      <c r="F14" s="2" t="s">
        <v>152</v>
      </c>
    </row>
    <row r="15" spans="2:13" x14ac:dyDescent="0.2">
      <c r="B15" s="10" t="s">
        <v>207</v>
      </c>
      <c r="C15" s="108">
        <f/>
        <v>295.92</v>
      </c>
      <c r="D15" s="108">
        <f/>
        <v>619.91999999999996</v>
      </c>
      <c r="E15" s="108">
        <f/>
        <v>561.60000000000014</v>
      </c>
      <c r="F15" s="108">
        <f/>
        <v>1209.5999999999999</v>
      </c>
    </row>
    <row r="16" spans="2:13" x14ac:dyDescent="0.2">
      <c r="B16" s="10" t="s">
        <v>3</v>
      </c>
      <c r="C16" s="7">
        <f/>
        <v>2554.6258266096229</v>
      </c>
      <c r="D16" s="7">
        <f/>
        <v>9748.7979905708744</v>
      </c>
      <c r="E16" s="7">
        <f/>
        <v>4941.6268427232462</v>
      </c>
      <c r="F16" s="7">
        <f/>
        <v>19329.971170645746</v>
      </c>
      <c r="G16" s="1" t="s">
        <v>224</v>
      </c>
    </row>
    <row r="17" spans="2:7" x14ac:dyDescent="0.2">
      <c r="C17" s="27"/>
      <c r="D17" s="27"/>
      <c r="E17" s="27">
        <f/>
        <v>0</v>
      </c>
      <c r="F17" s="27">
        <f/>
        <v>0</v>
      </c>
    </row>
    <row r="18" spans="2:7" x14ac:dyDescent="0.2">
      <c r="B18" s="10" t="s">
        <v>155</v>
      </c>
      <c r="C18" s="7">
        <f/>
        <v>-669.83243735459257</v>
      </c>
      <c r="D18" s="7">
        <f/>
        <v>-2314.9771568577266</v>
      </c>
      <c r="E18" s="7">
        <f/>
        <v>-1115.622610093908</v>
      </c>
      <c r="F18" s="7">
        <f/>
        <v>-3983.7765974704535</v>
      </c>
    </row>
    <row r="19" spans="2:7" x14ac:dyDescent="0.2">
      <c r="B19" s="97" t="s">
        <v>173</v>
      </c>
      <c r="C19" s="27">
        <f/>
        <v>-255.46258266096225</v>
      </c>
      <c r="D19" s="27">
        <f/>
        <v>-974.87979905708721</v>
      </c>
      <c r="E19" s="27">
        <f/>
        <v>-494.16268427232433</v>
      </c>
      <c r="F19" s="27">
        <f/>
        <v>-1932.9971170645733</v>
      </c>
      <c r="G19" s="1" t="s">
        <v>223</v>
      </c>
    </row>
    <row r="20" spans="2:7" x14ac:dyDescent="0.2">
      <c r="B20" s="97" t="s">
        <v>172</v>
      </c>
      <c r="C20" s="27">
        <f/>
        <v>-123.19999999999999</v>
      </c>
      <c r="D20" s="27">
        <f/>
        <v>-123.19999999999999</v>
      </c>
      <c r="E20" s="27">
        <f/>
        <v>-151.19999999999999</v>
      </c>
      <c r="F20" s="27">
        <f/>
        <v>-151.19999999999999</v>
      </c>
      <c r="G20" s="1" t="s">
        <v>222</v>
      </c>
    </row>
    <row r="21" spans="2:7" x14ac:dyDescent="0.2">
      <c r="B21" s="97" t="s">
        <v>144</v>
      </c>
      <c r="C21" s="27">
        <f/>
        <v>-59.546046830956541</v>
      </c>
      <c r="D21" s="27">
        <f/>
        <v>-481.68149846067797</v>
      </c>
      <c r="E21" s="27">
        <f/>
        <v>-59.546046830956541</v>
      </c>
      <c r="F21" s="27">
        <f/>
        <v>-481.68149846067797</v>
      </c>
    </row>
    <row r="22" spans="2:7" x14ac:dyDescent="0.2">
      <c r="B22" s="10" t="s">
        <v>0</v>
      </c>
      <c r="C22" s="7">
        <f/>
        <v>1884.7933892550302</v>
      </c>
      <c r="D22" s="7">
        <f/>
        <v>7433.8208337131482</v>
      </c>
      <c r="E22" s="7">
        <f/>
        <v>3826.0042326293374</v>
      </c>
      <c r="F22" s="7">
        <f/>
        <v>15346.194573175289</v>
      </c>
    </row>
    <row r="23" spans="2:7" x14ac:dyDescent="0.2">
      <c r="B23" s="99" t="s">
        <v>4</v>
      </c>
      <c r="C23" s="88">
        <f/>
        <v>0.73779626339894866</v>
      </c>
      <c r="D23" s="88">
        <f/>
        <v>0.76253717031609503</v>
      </c>
      <c r="E23" s="88">
        <f/>
        <v>0.77423981097708539</v>
      </c>
      <c r="F23" s="88">
        <f/>
        <v>0.79390674914610482</v>
      </c>
    </row>
    <row r="25" spans="2:7" x14ac:dyDescent="0.2">
      <c r="B25" s="10" t="s">
        <v>181</v>
      </c>
      <c r="C25" s="7">
        <f/>
        <v>-91.333843129999977</v>
      </c>
      <c r="D25" s="7">
        <f/>
        <v>-91.333843129999977</v>
      </c>
      <c r="E25" s="7">
        <f/>
        <v>-112.09153474999999</v>
      </c>
      <c r="F25" s="7">
        <f/>
        <v>-112.09153474999999</v>
      </c>
    </row>
    <row r="26" spans="2:7" x14ac:dyDescent="0.2">
      <c r="B26" s="10" t="s">
        <v>179</v>
      </c>
      <c r="C26" s="7">
        <f/>
        <v>-123.20000000000003</v>
      </c>
      <c r="D26" s="7">
        <f/>
        <v>-123.20000000000003</v>
      </c>
      <c r="E26" s="7">
        <f/>
        <v>-151.19999999999999</v>
      </c>
      <c r="F26" s="7">
        <f/>
        <v>-151.19999999999999</v>
      </c>
    </row>
    <row r="27" spans="2:7" x14ac:dyDescent="0.2">
      <c r="B27" s="10" t="s">
        <v>141</v>
      </c>
      <c r="C27" s="7">
        <f/>
        <v>1670.2595461250303</v>
      </c>
      <c r="D27" s="7">
        <f/>
        <v>7219.2869905831476</v>
      </c>
      <c r="E27" s="7">
        <f/>
        <v>3562.7126978793381</v>
      </c>
      <c r="F27" s="7">
        <f/>
        <v>15082.903038425291</v>
      </c>
    </row>
    <row r="28" spans="2:7" x14ac:dyDescent="0.2">
      <c r="B28" s="99" t="s">
        <v>142</v>
      </c>
      <c r="C28" s="88">
        <f/>
        <v>0.65381768583374844</v>
      </c>
      <c r="D28" s="88">
        <f/>
        <v>0.7405309862370425</v>
      </c>
      <c r="E28" s="88">
        <f/>
        <v>0.72095947574948571</v>
      </c>
      <c r="F28" s="88">
        <f/>
        <v>0.78028585274508844</v>
      </c>
    </row>
    <row r="29" spans="2:7" x14ac:dyDescent="0.2">
      <c r="C29" s="88"/>
      <c r="D29" s="88"/>
      <c r="E29" s="88">
        <f/>
        <v>0</v>
      </c>
      <c r="F29" s="88">
        <f/>
        <v>0</v>
      </c>
    </row>
    <row r="30" spans="2:7" x14ac:dyDescent="0.2">
      <c r="B30" s="10" t="s">
        <v>180</v>
      </c>
      <c r="C30" s="7">
        <f/>
        <v>-127.73129133048113</v>
      </c>
      <c r="D30" s="7">
        <f/>
        <v>-487.43989952854361</v>
      </c>
      <c r="E30" s="7">
        <f/>
        <v>-172.95693949531366</v>
      </c>
      <c r="F30" s="7">
        <f/>
        <v>-676.54899097260113</v>
      </c>
      <c r="G30" s="1" t="s">
        <v>225</v>
      </c>
    </row>
    <row r="31" spans="2:7" x14ac:dyDescent="0.2">
      <c r="B31" s="10" t="s">
        <v>182</v>
      </c>
      <c r="C31" s="7">
        <f/>
        <v>-176</v>
      </c>
      <c r="D31" s="7">
        <f/>
        <v>-176</v>
      </c>
      <c r="E31" s="7">
        <f/>
        <v>-216</v>
      </c>
      <c r="F31" s="7">
        <f/>
        <v>-216</v>
      </c>
    </row>
    <row r="32" spans="2:7" x14ac:dyDescent="0.2">
      <c r="B32" s="10" t="s">
        <v>183</v>
      </c>
      <c r="C32" s="7">
        <f/>
        <v>1366.5282547945494</v>
      </c>
      <c r="D32" s="7">
        <f/>
        <v>6555.847091054603</v>
      </c>
      <c r="E32" s="7">
        <f/>
        <v>3173.7557583840239</v>
      </c>
      <c r="F32" s="7">
        <f/>
        <v>14190.354047452693</v>
      </c>
    </row>
    <row r="33" spans="2:6" x14ac:dyDescent="0.2">
      <c r="B33" s="99" t="s">
        <v>186</v>
      </c>
      <c r="C33" s="88">
        <f/>
        <v>0.53492305626931691</v>
      </c>
      <c r="D33" s="88">
        <f/>
        <v>0.67247747849483364</v>
      </c>
      <c r="E33" s="88">
        <f/>
        <v>0.64224917408677129</v>
      </c>
      <c r="F33" s="88">
        <f/>
        <v>0.73411149567579226</v>
      </c>
    </row>
    <row r="35" spans="2:6" x14ac:dyDescent="0.2">
      <c r="B35" s="10" t="s">
        <v>184</v>
      </c>
      <c r="C35" s="7">
        <f/>
        <v>1489.7282547945495</v>
      </c>
      <c r="D35" s="7">
        <f/>
        <v>6679.0470910546037</v>
      </c>
      <c r="E35" s="7">
        <f/>
        <v>3324.9557583840237</v>
      </c>
      <c r="F35" s="7">
        <f/>
        <v>14341.554047452692</v>
      </c>
    </row>
    <row r="36" spans="2:6" x14ac:dyDescent="0.2">
      <c r="B36" s="99" t="s">
        <v>187</v>
      </c>
      <c r="C36" s="88">
        <f/>
        <v>0.58314929696441908</v>
      </c>
      <c r="D36" s="88">
        <f/>
        <v>0.68511493391437983</v>
      </c>
      <c r="E36" s="88">
        <f/>
        <v>0.67284638525067131</v>
      </c>
      <c r="F36" s="88">
        <f/>
        <v>0.74193354562429958</v>
      </c>
    </row>
    <row r="38" spans="2:6" x14ac:dyDescent="0.2">
      <c r="B38" s="10" t="s">
        <v>206</v>
      </c>
      <c r="C38" s="108">
        <f/>
        <v>1464.0570559867451</v>
      </c>
      <c r="D38" s="108">
        <f/>
        <v>5366.9935472067245</v>
      </c>
      <c r="E38" s="108">
        <f/>
        <v>1464.0570559867451</v>
      </c>
      <c r="F38" s="108">
        <f/>
        <v>5366.9935472067245</v>
      </c>
    </row>
    <row r="39" spans="2:6" x14ac:dyDescent="0.2">
      <c r="B39" s="99" t="s">
        <v>205</v>
      </c>
      <c r="C39" s="88">
        <f/>
        <v>0.20212327025776727</v>
      </c>
      <c r="D39" s="88">
        <f/>
        <v>0.1155060080746026</v>
      </c>
      <c r="E39" s="88">
        <f/>
        <v>0.38359160778846352</v>
      </c>
      <c r="F39" s="88">
        <f/>
        <v>0.22537757673093189</v>
      </c>
    </row>
    <row r="41" spans="2:6" x14ac:dyDescent="0.2">
      <c r="B41" s="10" t="s">
        <v>211</v>
      </c>
      <c r="C41" s="58">
        <f/>
        <v>258.28037357390036</v>
      </c>
      <c r="D41" s="58">
        <f/>
        <v>405.44482796270978</v>
      </c>
      <c r="E41" s="58">
        <f/>
        <v>665.08664504346496</v>
      </c>
      <c r="F41" s="58">
        <f/>
        <v>974.53295430054959</v>
      </c>
    </row>
    <row r="42" spans="2:6" x14ac:dyDescent="0.2">
      <c r="B42" s="10" t="s">
        <v>212</v>
      </c>
      <c r="C42" s="122">
        <f/>
        <v>0.22861976572196085</v>
      </c>
      <c r="D42" s="122">
        <f/>
        <v>0.23339262671027661</v>
      </c>
      <c r="E42" s="122">
        <f/>
        <v>0.30637105953140309</v>
      </c>
      <c r="F42" s="122">
        <f/>
        <v>0.30805116932461929</v>
      </c>
    </row>
    <row r="43" spans="2:6" x14ac:dyDescent="0.2">
      <c r="B43" s="10" t="s">
        <v>1</v>
      </c>
      <c r="C43" s="123">
        <f/>
        <v>0.1</v>
      </c>
      <c r="D43" s="123">
        <f/>
        <v>0.1</v>
      </c>
      <c r="E43" s="123">
        <f/>
        <v>0.1</v>
      </c>
      <c r="F43" s="123">
        <f/>
        <v>0.1</v>
      </c>
    </row>
    <row r="44" spans="2:6" x14ac:dyDescent="0.2">
      <c r="B44" s="10" t="s">
        <v>213</v>
      </c>
      <c r="C44" s="58">
        <f/>
        <v>0</v>
      </c>
      <c r="D44" s="58">
        <f/>
        <v>0</v>
      </c>
      <c r="E44" s="58">
        <f/>
        <v>0</v>
      </c>
      <c r="F44" s="58">
        <f/>
        <v>0</v>
      </c>
    </row>
    <row r="45" spans="2:6" x14ac:dyDescent="0.2">
      <c r="B45" s="10" t="s">
        <v>214</v>
      </c>
      <c r="C45" s="69">
        <f/>
        <v>0</v>
      </c>
      <c r="D45" s="69">
        <f/>
        <v>0</v>
      </c>
      <c r="E45" s="69">
        <f/>
        <v>0</v>
      </c>
      <c r="F45" s="69">
        <f/>
        <v>0</v>
      </c>
    </row>
    <row r="46" spans="2:6" x14ac:dyDescent="0.2">
      <c r="B46" s="10" t="s">
        <v>215</v>
      </c>
      <c r="C46" s="38">
        <f/>
        <v>0</v>
      </c>
      <c r="D46" s="38">
        <f/>
        <v>0</v>
      </c>
      <c r="E46" s="38">
        <f/>
        <v>0</v>
      </c>
      <c r="F46" s="38">
        <f/>
        <v>0</v>
      </c>
    </row>
    <row r="48" spans="2:6" x14ac:dyDescent="0.2">
      <c r="B48" s="1" t="s">
        <v>209</v>
      </c>
      <c r="C48" s="1">
        <f/>
        <v>6</v>
      </c>
      <c r="D48" s="1">
        <f/>
        <v>6</v>
      </c>
      <c r="E48" s="1">
        <f/>
        <v>5</v>
      </c>
      <c r="F48" s="1">
        <f/>
        <v>5</v>
      </c>
    </row>
    <row r="49" spans="2:7" x14ac:dyDescent="0.2">
      <c r="B49" s="1" t="s">
        <v>153</v>
      </c>
      <c r="C49" s="6">
        <f/>
        <v>0.31512726535917679</v>
      </c>
      <c r="D49" s="6">
        <f/>
        <v>0.31512726535917679</v>
      </c>
      <c r="E49" s="6">
        <f/>
        <v>0.60601397184457073</v>
      </c>
      <c r="F49" s="6">
        <f/>
        <v>0.60601397184457073</v>
      </c>
      <c r="G49" s="1" t="s">
        <v>221</v>
      </c>
    </row>
    <row r="51" spans="2:7" x14ac:dyDescent="0.2">
      <c r="B51" s="113" t="s">
        <v>210</v>
      </c>
      <c r="C51" s="113" t="s">
        <v>216</v>
      </c>
    </row>
    <row r="52" spans="2:7" x14ac:dyDescent="0.2">
      <c r="C52" s="113" t="s">
        <v>217</v>
      </c>
    </row>
    <row r="55" spans="2:7" x14ac:dyDescent="0.2">
      <c r="B55" s="1" t="s">
        <v>218</v>
      </c>
    </row>
    <row r="57" spans="2:7" x14ac:dyDescent="0.2">
      <c r="B57" s="1" t="s">
        <v>158</v>
      </c>
    </row>
    <row r="58" spans="2:7" x14ac:dyDescent="0.2">
      <c r="B58" s="6">
        <v>0.4</v>
      </c>
      <c r="C58" s="1" t="s">
        <v>156</v>
      </c>
    </row>
    <row r="59" spans="2:7" x14ac:dyDescent="0.2">
      <c r="B59" s="6">
        <v>0.2</v>
      </c>
      <c r="C59" s="1" t="s">
        <v>157</v>
      </c>
    </row>
    <row r="60" spans="2:7" x14ac:dyDescent="0.2">
      <c r="B60" s="6">
        <v>0.2</v>
      </c>
      <c r="C60" s="1" t="s">
        <v>159</v>
      </c>
    </row>
    <row r="61" spans="2:7" x14ac:dyDescent="0.2">
      <c r="B61" s="6">
        <v>0.2</v>
      </c>
      <c r="C61" s="1" t="s">
        <v>163</v>
      </c>
    </row>
    <row r="62" spans="2:7" x14ac:dyDescent="0.2">
      <c r="B62" s="6">
        <f>SUM(B58:B61)</f>
        <v>1</v>
      </c>
    </row>
    <row r="64" spans="2:7" x14ac:dyDescent="0.2">
      <c r="B64" s="1" t="s">
        <v>160</v>
      </c>
    </row>
    <row r="65" spans="2:3" x14ac:dyDescent="0.2">
      <c r="B65" s="6">
        <v>0.2</v>
      </c>
      <c r="C65" s="1" t="s">
        <v>161</v>
      </c>
    </row>
    <row r="66" spans="2:3" x14ac:dyDescent="0.2">
      <c r="B66" s="6">
        <v>0.2</v>
      </c>
      <c r="C66" s="1" t="s">
        <v>162</v>
      </c>
    </row>
    <row r="67" spans="2:3" x14ac:dyDescent="0.2">
      <c r="B67" s="6">
        <v>0.2</v>
      </c>
      <c r="C67" s="1" t="s">
        <v>163</v>
      </c>
    </row>
    <row r="68" spans="2:3" x14ac:dyDescent="0.2">
      <c r="B68" s="6">
        <v>0.4</v>
      </c>
      <c r="C68" s="1" t="s">
        <v>166</v>
      </c>
    </row>
    <row r="69" spans="2:3" x14ac:dyDescent="0.2">
      <c r="B69" s="6">
        <f>SUM(B65:B68)</f>
        <v>1</v>
      </c>
    </row>
    <row r="71" spans="2:3" x14ac:dyDescent="0.2">
      <c r="B71" s="1" t="s">
        <v>164</v>
      </c>
    </row>
    <row r="72" spans="2:3" x14ac:dyDescent="0.2">
      <c r="B72" s="6">
        <v>0.2</v>
      </c>
      <c r="C72" s="1" t="s">
        <v>162</v>
      </c>
    </row>
    <row r="73" spans="2:3" x14ac:dyDescent="0.2">
      <c r="B73" s="6">
        <v>0.4</v>
      </c>
      <c r="C73" s="1" t="s">
        <v>167</v>
      </c>
    </row>
    <row r="74" spans="2:3" x14ac:dyDescent="0.2">
      <c r="B74" s="6">
        <v>0.2</v>
      </c>
      <c r="C74" s="1" t="s">
        <v>163</v>
      </c>
    </row>
    <row r="75" spans="2:3" x14ac:dyDescent="0.2">
      <c r="B75" s="6">
        <v>0.2</v>
      </c>
      <c r="C75" s="1" t="s">
        <v>165</v>
      </c>
    </row>
    <row r="76" spans="2:3" x14ac:dyDescent="0.2">
      <c r="B76" s="6">
        <f>SUM(B72:B75)</f>
        <v>1</v>
      </c>
    </row>
    <row r="78" spans="2:3" x14ac:dyDescent="0.2">
      <c r="B78" s="1" t="s">
        <v>168</v>
      </c>
    </row>
    <row r="79" spans="2:3" x14ac:dyDescent="0.2">
      <c r="B79" s="6">
        <v>0.2</v>
      </c>
      <c r="C79" s="1" t="s">
        <v>162</v>
      </c>
    </row>
    <row r="80" spans="2:3" x14ac:dyDescent="0.2">
      <c r="B80" s="6">
        <v>0.4</v>
      </c>
      <c r="C80" s="1" t="s">
        <v>167</v>
      </c>
    </row>
    <row r="81" spans="2:3" x14ac:dyDescent="0.2">
      <c r="B81" s="6">
        <v>0.2</v>
      </c>
      <c r="C81" s="1" t="s">
        <v>163</v>
      </c>
    </row>
    <row r="82" spans="2:3" x14ac:dyDescent="0.2">
      <c r="B82" s="6">
        <v>0.2</v>
      </c>
      <c r="C82" s="1" t="s">
        <v>165</v>
      </c>
    </row>
    <row r="83" spans="2:3" x14ac:dyDescent="0.2">
      <c r="B83" s="6">
        <f>SUM(B79:B82)</f>
        <v>1</v>
      </c>
    </row>
    <row r="85" spans="2:3" x14ac:dyDescent="0.2">
      <c r="B85" s="1" t="s">
        <v>169</v>
      </c>
    </row>
    <row r="86" spans="2:3" x14ac:dyDescent="0.2">
      <c r="B86" s="6">
        <v>0.2</v>
      </c>
      <c r="C86" s="1" t="s">
        <v>162</v>
      </c>
    </row>
    <row r="87" spans="2:3" x14ac:dyDescent="0.2">
      <c r="B87" s="6">
        <v>0.4</v>
      </c>
      <c r="C87" s="1" t="s">
        <v>167</v>
      </c>
    </row>
    <row r="88" spans="2:3" x14ac:dyDescent="0.2">
      <c r="B88" s="6">
        <v>0.2</v>
      </c>
      <c r="C88" s="1" t="s">
        <v>163</v>
      </c>
    </row>
    <row r="89" spans="2:3" x14ac:dyDescent="0.2">
      <c r="B89" s="6">
        <v>0.2</v>
      </c>
      <c r="C89" s="1" t="s">
        <v>165</v>
      </c>
    </row>
    <row r="90" spans="2:3" x14ac:dyDescent="0.2">
      <c r="B90" s="6">
        <f>SUM(B86:B89)</f>
        <v>1</v>
      </c>
    </row>
    <row r="92" spans="2:3" x14ac:dyDescent="0.2">
      <c r="B92" s="1" t="s">
        <v>170</v>
      </c>
    </row>
    <row r="93" spans="2:3" x14ac:dyDescent="0.2">
      <c r="B93" s="6">
        <v>0.5</v>
      </c>
      <c r="C93" s="1" t="s">
        <v>171</v>
      </c>
    </row>
    <row r="94" spans="2:3" x14ac:dyDescent="0.2">
      <c r="B94" s="6">
        <v>0.1</v>
      </c>
      <c r="C94" s="1" t="s">
        <v>162</v>
      </c>
    </row>
    <row r="95" spans="2:3" x14ac:dyDescent="0.2">
      <c r="B95" s="6">
        <v>0.2</v>
      </c>
      <c r="C95" s="1" t="s">
        <v>167</v>
      </c>
    </row>
    <row r="96" spans="2:3" x14ac:dyDescent="0.2">
      <c r="B96" s="6">
        <v>0.1</v>
      </c>
      <c r="C96" s="1" t="s">
        <v>163</v>
      </c>
    </row>
    <row r="97" spans="2:3" x14ac:dyDescent="0.2">
      <c r="B97" s="6">
        <v>0.1</v>
      </c>
      <c r="C97" s="1" t="s">
        <v>165</v>
      </c>
    </row>
    <row r="98" spans="2:3" x14ac:dyDescent="0.2">
      <c r="B98" s="6">
        <f>SUM(B93:B97)</f>
        <v>1</v>
      </c>
    </row>
  </sheetData>
  <mergeCells count="9">
    <mergeCell ref="M5:M6"/>
    <mergeCell ref="M7:M8"/>
    <mergeCell ref="C13:F13"/>
    <mergeCell ref="K5:K6"/>
    <mergeCell ref="K7:K8"/>
    <mergeCell ref="C5:C6"/>
    <mergeCell ref="C7:C8"/>
    <mergeCell ref="D5:D6"/>
    <mergeCell ref="D7:D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D41E4-3FF7-8149-8EE2-2604B41D725B}">
  <dimension ref="C4:AA28"/>
  <sheetViews>
    <sheetView zoomScale="138" workbookViewId="0">
      <selection activeCell="K20" sqref="K20"/>
    </sheetView>
  </sheetViews>
  <sheetFormatPr baseColWidth="10" defaultRowHeight="16" x14ac:dyDescent="0.2"/>
  <cols>
    <col min="1" max="2" width="10.83203125" style="1"/>
    <col min="3" max="3" width="14" style="1" bestFit="1" customWidth="1"/>
    <col min="4" max="9" width="7" style="1" bestFit="1" customWidth="1"/>
    <col min="10" max="27" width="4.6640625" style="1" bestFit="1" customWidth="1"/>
    <col min="28" max="16384" width="10.83203125" style="1"/>
  </cols>
  <sheetData>
    <row r="4" spans="3:27" x14ac:dyDescent="0.2">
      <c r="D4" s="151">
        <v>2.5</v>
      </c>
      <c r="E4" s="152"/>
      <c r="F4" s="152"/>
      <c r="G4" s="153"/>
      <c r="H4" s="151">
        <v>3</v>
      </c>
      <c r="I4" s="152"/>
      <c r="J4" s="152"/>
      <c r="K4" s="153"/>
      <c r="L4" s="151">
        <v>3.5</v>
      </c>
      <c r="M4" s="152"/>
      <c r="N4" s="152"/>
      <c r="O4" s="153"/>
      <c r="P4" s="151">
        <v>4</v>
      </c>
      <c r="Q4" s="152"/>
      <c r="R4" s="152"/>
      <c r="S4" s="153"/>
      <c r="T4" s="151">
        <v>4.5</v>
      </c>
      <c r="U4" s="152"/>
      <c r="V4" s="152"/>
      <c r="W4" s="153"/>
      <c r="X4" s="151">
        <v>5</v>
      </c>
      <c r="Y4" s="152"/>
      <c r="Z4" s="152"/>
      <c r="AA4" s="153"/>
    </row>
    <row r="5" spans="3:27" x14ac:dyDescent="0.2">
      <c r="D5" s="137" t="s">
        <v>149</v>
      </c>
      <c r="E5" s="138" t="s">
        <v>150</v>
      </c>
      <c r="F5" s="138" t="s">
        <v>151</v>
      </c>
      <c r="G5" s="139" t="s">
        <v>152</v>
      </c>
      <c r="H5" s="137" t="s">
        <v>149</v>
      </c>
      <c r="I5" s="138" t="s">
        <v>150</v>
      </c>
      <c r="J5" s="138" t="s">
        <v>151</v>
      </c>
      <c r="K5" s="139" t="s">
        <v>152</v>
      </c>
      <c r="L5" s="137" t="s">
        <v>149</v>
      </c>
      <c r="M5" s="138" t="s">
        <v>150</v>
      </c>
      <c r="N5" s="138" t="s">
        <v>151</v>
      </c>
      <c r="O5" s="139" t="s">
        <v>152</v>
      </c>
      <c r="P5" s="137" t="s">
        <v>149</v>
      </c>
      <c r="Q5" s="138" t="s">
        <v>150</v>
      </c>
      <c r="R5" s="138" t="s">
        <v>151</v>
      </c>
      <c r="S5" s="139" t="s">
        <v>152</v>
      </c>
      <c r="T5" s="137" t="s">
        <v>149</v>
      </c>
      <c r="U5" s="138" t="s">
        <v>150</v>
      </c>
      <c r="V5" s="138" t="s">
        <v>151</v>
      </c>
      <c r="W5" s="139" t="s">
        <v>152</v>
      </c>
      <c r="X5" s="137" t="s">
        <v>149</v>
      </c>
      <c r="Y5" s="138" t="s">
        <v>150</v>
      </c>
      <c r="Z5" s="138" t="s">
        <v>151</v>
      </c>
      <c r="AA5" s="139" t="s">
        <v>152</v>
      </c>
    </row>
    <row r="6" spans="3:27" x14ac:dyDescent="0.2">
      <c r="C6" s="128" t="s">
        <v>227</v>
      </c>
      <c r="D6" s="131">
        <v>7.2765179875928121E-2</v>
      </c>
      <c r="E6" s="132">
        <v>0.10449164503707031</v>
      </c>
      <c r="F6" s="132">
        <v>0.13914077047016904</v>
      </c>
      <c r="G6" s="133">
        <v>0.15483163160064617</v>
      </c>
      <c r="H6" s="131">
        <v>0.10845718444711272</v>
      </c>
      <c r="I6" s="132">
        <v>0.13049038190857165</v>
      </c>
      <c r="J6" s="132">
        <v>0.17816657907018252</v>
      </c>
      <c r="K6" s="133">
        <v>0.18783852445605387</v>
      </c>
      <c r="L6" s="131">
        <v>0.14093256012855671</v>
      </c>
      <c r="M6" s="132">
        <v>0.15610243162738269</v>
      </c>
      <c r="N6" s="132">
        <v>0.21353213544373983</v>
      </c>
      <c r="O6" s="133">
        <v>0.21959577862887758</v>
      </c>
      <c r="P6" s="131">
        <v>0.17139730203928427</v>
      </c>
      <c r="Q6" s="132">
        <v>0.18175738707779709</v>
      </c>
      <c r="R6" s="132">
        <v>0.24631656953772452</v>
      </c>
      <c r="S6" s="133">
        <v>0.25019165874022309</v>
      </c>
      <c r="T6" s="131">
        <v>0.20050166033399686</v>
      </c>
      <c r="U6" s="132">
        <v>0.20753986294726556</v>
      </c>
      <c r="V6" s="132">
        <v>0.27713437715564604</v>
      </c>
      <c r="W6" s="133">
        <v>0.27966091465217047</v>
      </c>
      <c r="X6" s="131">
        <v>0.22861976572196085</v>
      </c>
      <c r="Y6" s="132">
        <v>0.23339262671027661</v>
      </c>
      <c r="Z6" s="132">
        <v>0.30637105953140309</v>
      </c>
      <c r="AA6" s="133">
        <v>0.30805116932461929</v>
      </c>
    </row>
    <row r="7" spans="3:27" x14ac:dyDescent="0.2">
      <c r="C7" s="129" t="s">
        <v>186</v>
      </c>
      <c r="D7" s="134">
        <v>0.18984611253863368</v>
      </c>
      <c r="E7" s="135">
        <v>0.46495495698966738</v>
      </c>
      <c r="F7" s="135">
        <v>0.38949834817354262</v>
      </c>
      <c r="G7" s="136">
        <v>0.57322299135158428</v>
      </c>
      <c r="H7" s="134">
        <v>0.30487176044886133</v>
      </c>
      <c r="I7" s="135">
        <v>0.53412913082472269</v>
      </c>
      <c r="J7" s="135">
        <v>0.47374862347795221</v>
      </c>
      <c r="K7" s="136">
        <v>0.62685249279298672</v>
      </c>
      <c r="L7" s="134">
        <v>0.38703293752759543</v>
      </c>
      <c r="M7" s="135">
        <v>0.58353925499261983</v>
      </c>
      <c r="N7" s="135">
        <v>0.53392739155253033</v>
      </c>
      <c r="O7" s="136">
        <v>0.66515927953684595</v>
      </c>
      <c r="P7" s="134">
        <v>0.44865382033664597</v>
      </c>
      <c r="Q7" s="135">
        <v>0.62059684811854221</v>
      </c>
      <c r="R7" s="135">
        <v>0.57906146760846422</v>
      </c>
      <c r="S7" s="136">
        <v>0.69388936959474001</v>
      </c>
      <c r="T7" s="134">
        <v>0.49658117363257415</v>
      </c>
      <c r="U7" s="135">
        <v>0.64941942054981516</v>
      </c>
      <c r="V7" s="135">
        <v>0.61416574898530152</v>
      </c>
      <c r="W7" s="136">
        <v>0.71623499519532452</v>
      </c>
      <c r="X7" s="134">
        <v>0.53492305626931691</v>
      </c>
      <c r="Y7" s="135">
        <v>0.67247747849483364</v>
      </c>
      <c r="Z7" s="135">
        <v>0.64224917408677129</v>
      </c>
      <c r="AA7" s="136">
        <v>0.73411149567579226</v>
      </c>
    </row>
    <row r="8" spans="3:27" x14ac:dyDescent="0.2">
      <c r="C8" s="129" t="s">
        <v>228</v>
      </c>
      <c r="D8" s="134">
        <v>0.286298593928838</v>
      </c>
      <c r="E8" s="135">
        <v>0.49022986782875971</v>
      </c>
      <c r="F8" s="135">
        <v>0.45069277050134271</v>
      </c>
      <c r="G8" s="136">
        <v>0.58886709124859926</v>
      </c>
      <c r="H8" s="134">
        <v>0.38524882827403167</v>
      </c>
      <c r="I8" s="135">
        <v>0.55519155652396623</v>
      </c>
      <c r="J8" s="135">
        <v>0.52474397541778572</v>
      </c>
      <c r="K8" s="136">
        <v>0.63988924270716574</v>
      </c>
      <c r="L8" s="134">
        <v>0.45592756709202703</v>
      </c>
      <c r="M8" s="135">
        <v>0.60159276273482853</v>
      </c>
      <c r="N8" s="135">
        <v>0.57763769321524472</v>
      </c>
      <c r="O8" s="136">
        <v>0.67633363660614232</v>
      </c>
      <c r="P8" s="134">
        <v>0.50893662120552374</v>
      </c>
      <c r="Q8" s="135">
        <v>0.63639366739297498</v>
      </c>
      <c r="R8" s="135">
        <v>0.61730798156333933</v>
      </c>
      <c r="S8" s="136">
        <v>0.70366693203037434</v>
      </c>
      <c r="T8" s="134">
        <v>0.55016588551602097</v>
      </c>
      <c r="U8" s="135">
        <v>0.66346103768264431</v>
      </c>
      <c r="V8" s="135">
        <v>0.64816265027852382</v>
      </c>
      <c r="W8" s="136">
        <v>0.72492616180477731</v>
      </c>
      <c r="X8" s="134">
        <v>0.58314929696441908</v>
      </c>
      <c r="Y8" s="135">
        <v>0.68511493391437983</v>
      </c>
      <c r="Z8" s="135">
        <v>0.67284638525067131</v>
      </c>
      <c r="AA8" s="136">
        <v>0.74193354562429958</v>
      </c>
    </row>
    <row r="9" spans="3:27" x14ac:dyDescent="0.2">
      <c r="C9" s="130" t="s">
        <v>229</v>
      </c>
      <c r="D9" s="125">
        <v>17</v>
      </c>
      <c r="E9" s="126">
        <v>17</v>
      </c>
      <c r="F9" s="126">
        <v>10</v>
      </c>
      <c r="G9" s="127">
        <v>10</v>
      </c>
      <c r="H9" s="125">
        <v>12</v>
      </c>
      <c r="I9" s="126">
        <v>12</v>
      </c>
      <c r="J9" s="126">
        <v>8</v>
      </c>
      <c r="K9" s="127">
        <v>8</v>
      </c>
      <c r="L9" s="125">
        <v>10</v>
      </c>
      <c r="M9" s="126">
        <v>10</v>
      </c>
      <c r="N9" s="126">
        <v>7</v>
      </c>
      <c r="O9" s="127">
        <v>7</v>
      </c>
      <c r="P9" s="125">
        <v>8</v>
      </c>
      <c r="Q9" s="126">
        <v>8</v>
      </c>
      <c r="R9" s="126">
        <v>6</v>
      </c>
      <c r="S9" s="127">
        <v>6</v>
      </c>
      <c r="T9" s="125">
        <v>7</v>
      </c>
      <c r="U9" s="126">
        <v>7</v>
      </c>
      <c r="V9" s="126">
        <v>6</v>
      </c>
      <c r="W9" s="127">
        <v>6</v>
      </c>
      <c r="X9" s="125">
        <v>6</v>
      </c>
      <c r="Y9" s="126">
        <v>6</v>
      </c>
      <c r="Z9" s="126">
        <v>5</v>
      </c>
      <c r="AA9" s="127">
        <v>5</v>
      </c>
    </row>
    <row r="11" spans="3:27" x14ac:dyDescent="0.2">
      <c r="D11" s="144">
        <f t="shared" ref="D11:G11" si="0">-($I$12-D12)/$I$12</f>
        <v>-0.5</v>
      </c>
      <c r="E11" s="144">
        <f t="shared" si="0"/>
        <v>-0.4</v>
      </c>
      <c r="F11" s="144">
        <f t="shared" si="0"/>
        <v>-0.3</v>
      </c>
      <c r="G11" s="144">
        <f t="shared" si="0"/>
        <v>-0.2</v>
      </c>
      <c r="H11" s="144">
        <f>-($I$12-H12)/$I$12</f>
        <v>-0.1</v>
      </c>
    </row>
    <row r="12" spans="3:27" x14ac:dyDescent="0.2">
      <c r="C12" s="142"/>
      <c r="D12" s="143">
        <v>2.5</v>
      </c>
      <c r="E12" s="143">
        <v>3</v>
      </c>
      <c r="F12" s="143">
        <v>3.5</v>
      </c>
      <c r="G12" s="143">
        <v>4</v>
      </c>
      <c r="H12" s="143">
        <v>4.5</v>
      </c>
      <c r="I12" s="143">
        <v>5</v>
      </c>
    </row>
    <row r="13" spans="3:27" x14ac:dyDescent="0.2">
      <c r="C13" s="142" t="s">
        <v>232</v>
      </c>
      <c r="D13" s="140" cm="1">
        <f t="array" ref="D13:D16">TRANSPOSE(D6:G6)</f>
        <v>7.2765179875928121E-2</v>
      </c>
      <c r="E13" s="140" cm="1">
        <f t="array" ref="E13:E16">TRANSPOSE(H6:K6)</f>
        <v>0.10845718444711272</v>
      </c>
      <c r="F13" s="140" cm="1">
        <f t="array" ref="F13:F16">TRANSPOSE(L6:O6)</f>
        <v>0.14093256012855671</v>
      </c>
      <c r="G13" s="140" cm="1">
        <f t="array" ref="G13:G16">TRANSPOSE(P6:S6)</f>
        <v>0.17139730203928427</v>
      </c>
      <c r="H13" s="140" cm="1">
        <f t="array" ref="H13:H16">TRANSPOSE(T6:W6)</f>
        <v>0.20050166033399686</v>
      </c>
      <c r="I13" s="140" cm="1">
        <f t="array" ref="I13:I16">TRANSPOSE(X6:AA6)</f>
        <v>0.22861976572196085</v>
      </c>
    </row>
    <row r="14" spans="3:27" x14ac:dyDescent="0.2">
      <c r="C14" s="142" t="s">
        <v>233</v>
      </c>
      <c r="D14" s="140">
        <v>0.10449164503707031</v>
      </c>
      <c r="E14" s="140">
        <v>0.13049038190857165</v>
      </c>
      <c r="F14" s="140">
        <v>0.15610243162738269</v>
      </c>
      <c r="G14" s="140">
        <v>0.18175738707779709</v>
      </c>
      <c r="H14" s="140">
        <v>0.20753986294726556</v>
      </c>
      <c r="I14" s="140">
        <v>0.23339262671027661</v>
      </c>
    </row>
    <row r="15" spans="3:27" x14ac:dyDescent="0.2">
      <c r="C15" s="142" t="s">
        <v>238</v>
      </c>
      <c r="D15" s="140">
        <v>0.13914077047016904</v>
      </c>
      <c r="E15" s="140">
        <v>0.17816657907018252</v>
      </c>
      <c r="F15" s="140">
        <v>0.21353213544373983</v>
      </c>
      <c r="G15" s="140">
        <v>0.24631656953772452</v>
      </c>
      <c r="H15" s="140">
        <v>0.27713437715564604</v>
      </c>
      <c r="I15" s="140">
        <v>0.30637105953140309</v>
      </c>
    </row>
    <row r="16" spans="3:27" x14ac:dyDescent="0.2">
      <c r="C16" s="142" t="s">
        <v>239</v>
      </c>
      <c r="D16" s="140">
        <v>0.15483163160064617</v>
      </c>
      <c r="E16" s="140">
        <v>0.18783852445605387</v>
      </c>
      <c r="F16" s="140">
        <v>0.21959577862887758</v>
      </c>
      <c r="G16" s="140">
        <v>0.25019165874022309</v>
      </c>
      <c r="H16" s="140">
        <v>0.27966091465217047</v>
      </c>
      <c r="I16" s="140">
        <v>0.30805116932461929</v>
      </c>
    </row>
    <row r="17" spans="3:9" x14ac:dyDescent="0.2">
      <c r="C17" s="142" t="s">
        <v>234</v>
      </c>
      <c r="D17" s="140" cm="1">
        <f t="array" ref="D17:D20">TRANSPOSE(D7:G7)</f>
        <v>0.18984611253863368</v>
      </c>
      <c r="E17" s="140" cm="1">
        <f t="array" ref="E17:E20">TRANSPOSE(H7:K7)</f>
        <v>0.30487176044886133</v>
      </c>
      <c r="F17" s="140" cm="1">
        <f t="array" ref="F17:F20">TRANSPOSE(L7:O7)</f>
        <v>0.38703293752759543</v>
      </c>
      <c r="G17" s="140" cm="1">
        <f t="array" ref="G17:G20">TRANSPOSE(P7:S7)</f>
        <v>0.44865382033664597</v>
      </c>
      <c r="H17" s="140" cm="1">
        <f t="array" ref="H17:H20">TRANSPOSE(T7:W7)</f>
        <v>0.49658117363257415</v>
      </c>
      <c r="I17" s="140" cm="1">
        <f t="array" ref="I17:I20">TRANSPOSE(X7:AA7)</f>
        <v>0.53492305626931691</v>
      </c>
    </row>
    <row r="18" spans="3:9" x14ac:dyDescent="0.2">
      <c r="C18" s="142" t="s">
        <v>235</v>
      </c>
      <c r="D18" s="140">
        <v>0.46495495698966738</v>
      </c>
      <c r="E18" s="140">
        <v>0.53412913082472269</v>
      </c>
      <c r="F18" s="140">
        <v>0.58353925499261983</v>
      </c>
      <c r="G18" s="140">
        <v>0.62059684811854221</v>
      </c>
      <c r="H18" s="140">
        <v>0.64941942054981516</v>
      </c>
      <c r="I18" s="140">
        <v>0.67247747849483364</v>
      </c>
    </row>
    <row r="19" spans="3:9" x14ac:dyDescent="0.2">
      <c r="C19" s="142" t="s">
        <v>236</v>
      </c>
      <c r="D19" s="140">
        <v>0.38949834817354262</v>
      </c>
      <c r="E19" s="140">
        <v>0.47374862347795221</v>
      </c>
      <c r="F19" s="140">
        <v>0.53392739155253033</v>
      </c>
      <c r="G19" s="140">
        <v>0.57906146760846422</v>
      </c>
      <c r="H19" s="140">
        <v>0.61416574898530152</v>
      </c>
      <c r="I19" s="140">
        <v>0.64224917408677129</v>
      </c>
    </row>
    <row r="20" spans="3:9" x14ac:dyDescent="0.2">
      <c r="C20" s="142" t="s">
        <v>237</v>
      </c>
      <c r="D20" s="140">
        <v>0.57322299135158428</v>
      </c>
      <c r="E20" s="140">
        <v>0.62685249279298672</v>
      </c>
      <c r="F20" s="140">
        <v>0.66515927953684595</v>
      </c>
      <c r="G20" s="140">
        <v>0.69388936959474001</v>
      </c>
      <c r="H20" s="140">
        <v>0.71623499519532452</v>
      </c>
      <c r="I20" s="140">
        <v>0.73411149567579226</v>
      </c>
    </row>
    <row r="21" spans="3:9" x14ac:dyDescent="0.2">
      <c r="C21" s="142" t="s">
        <v>240</v>
      </c>
      <c r="D21" s="140" cm="1">
        <f t="array" ref="D21:D24">TRANSPOSE(D8:G8)</f>
        <v>0.286298593928838</v>
      </c>
      <c r="E21" s="140" cm="1">
        <f t="array" ref="E21:E24">TRANSPOSE(H8:K8)</f>
        <v>0.38524882827403167</v>
      </c>
      <c r="F21" s="140" cm="1">
        <f t="array" ref="F21:F24">TRANSPOSE(L8:O8)</f>
        <v>0.45592756709202703</v>
      </c>
      <c r="G21" s="140" cm="1">
        <f t="array" ref="G21:G24">TRANSPOSE(P8:S8)</f>
        <v>0.50893662120552374</v>
      </c>
      <c r="H21" s="140" cm="1">
        <f t="array" ref="H21:H24">TRANSPOSE(T8:W8)</f>
        <v>0.55016588551602097</v>
      </c>
      <c r="I21" s="140" cm="1">
        <f t="array" ref="I21:I24">TRANSPOSE(X8:AA8)</f>
        <v>0.58314929696441908</v>
      </c>
    </row>
    <row r="22" spans="3:9" x14ac:dyDescent="0.2">
      <c r="C22" s="142" t="s">
        <v>241</v>
      </c>
      <c r="D22" s="140">
        <v>0.49022986782875971</v>
      </c>
      <c r="E22" s="140">
        <v>0.55519155652396623</v>
      </c>
      <c r="F22" s="140">
        <v>0.60159276273482853</v>
      </c>
      <c r="G22" s="140">
        <v>0.63639366739297498</v>
      </c>
      <c r="H22" s="140">
        <v>0.66346103768264431</v>
      </c>
      <c r="I22" s="140">
        <v>0.68511493391437983</v>
      </c>
    </row>
    <row r="23" spans="3:9" x14ac:dyDescent="0.2">
      <c r="C23" s="142" t="s">
        <v>242</v>
      </c>
      <c r="D23" s="140">
        <v>0.45069277050134271</v>
      </c>
      <c r="E23" s="140">
        <v>0.52474397541778572</v>
      </c>
      <c r="F23" s="140">
        <v>0.57763769321524472</v>
      </c>
      <c r="G23" s="140">
        <v>0.61730798156333933</v>
      </c>
      <c r="H23" s="140">
        <v>0.64816265027852382</v>
      </c>
      <c r="I23" s="140">
        <v>0.67284638525067131</v>
      </c>
    </row>
    <row r="24" spans="3:9" x14ac:dyDescent="0.2">
      <c r="C24" s="142" t="s">
        <v>243</v>
      </c>
      <c r="D24" s="140">
        <v>0.58886709124859926</v>
      </c>
      <c r="E24" s="140">
        <v>0.63988924270716574</v>
      </c>
      <c r="F24" s="140">
        <v>0.67633363660614232</v>
      </c>
      <c r="G24" s="140">
        <v>0.70366693203037434</v>
      </c>
      <c r="H24" s="140">
        <v>0.72492616180477731</v>
      </c>
      <c r="I24" s="140">
        <v>0.74193354562429958</v>
      </c>
    </row>
    <row r="25" spans="3:9" x14ac:dyDescent="0.2">
      <c r="C25" s="142" t="s">
        <v>244</v>
      </c>
      <c r="D25" s="141" cm="1">
        <f t="array" ref="D25:D28">TRANSPOSE(D9:G9)</f>
        <v>17</v>
      </c>
      <c r="E25" s="141" cm="1">
        <f t="array" ref="E25:E28">TRANSPOSE(H9:K9)</f>
        <v>12</v>
      </c>
      <c r="F25" s="141" cm="1">
        <f t="array" ref="F25:F28">TRANSPOSE(L9:O9)</f>
        <v>10</v>
      </c>
      <c r="G25" s="141" cm="1">
        <f t="array" ref="G25:G28">TRANSPOSE(P9:S9)</f>
        <v>8</v>
      </c>
      <c r="H25" s="141" cm="1">
        <f t="array" ref="H25:H28">TRANSPOSE(T9:W9)</f>
        <v>7</v>
      </c>
      <c r="I25" s="141" cm="1">
        <f t="array" ref="I25:I28">TRANSPOSE(X9:AA9)</f>
        <v>6</v>
      </c>
    </row>
    <row r="26" spans="3:9" x14ac:dyDescent="0.2">
      <c r="C26" s="142" t="s">
        <v>245</v>
      </c>
      <c r="D26" s="141">
        <v>17</v>
      </c>
      <c r="E26" s="141">
        <v>12</v>
      </c>
      <c r="F26" s="141">
        <v>10</v>
      </c>
      <c r="G26" s="141">
        <v>8</v>
      </c>
      <c r="H26" s="141">
        <v>7</v>
      </c>
      <c r="I26" s="141">
        <v>6</v>
      </c>
    </row>
    <row r="27" spans="3:9" x14ac:dyDescent="0.2">
      <c r="C27" s="142" t="s">
        <v>246</v>
      </c>
      <c r="D27" s="141">
        <v>10</v>
      </c>
      <c r="E27" s="141">
        <v>8</v>
      </c>
      <c r="F27" s="141">
        <v>7</v>
      </c>
      <c r="G27" s="141">
        <v>6</v>
      </c>
      <c r="H27" s="141">
        <v>6</v>
      </c>
      <c r="I27" s="141">
        <v>5</v>
      </c>
    </row>
    <row r="28" spans="3:9" x14ac:dyDescent="0.2">
      <c r="C28" s="142" t="s">
        <v>247</v>
      </c>
      <c r="D28" s="141">
        <v>10</v>
      </c>
      <c r="E28" s="141">
        <v>8</v>
      </c>
      <c r="F28" s="141">
        <v>7</v>
      </c>
      <c r="G28" s="141">
        <v>6</v>
      </c>
      <c r="H28" s="141">
        <v>6</v>
      </c>
      <c r="I28" s="141">
        <v>5</v>
      </c>
    </row>
  </sheetData>
  <mergeCells count="6">
    <mergeCell ref="X4:AA4"/>
    <mergeCell ref="D4:G4"/>
    <mergeCell ref="H4:K4"/>
    <mergeCell ref="L4:O4"/>
    <mergeCell ref="P4:S4"/>
    <mergeCell ref="T4:W4"/>
  </mergeCells>
  <phoneticPr fontId="9" type="noConversion"/>
  <conditionalFormatting sqref="D13:I16">
    <cfRule type="colorScale" priority="2">
      <colorScale>
        <cfvo type="min"/>
        <cfvo type="percentile" val="50"/>
        <cfvo type="max"/>
        <color rgb="FFFF7128"/>
        <color theme="9" tint="0.79998168889431442"/>
        <color theme="9"/>
      </colorScale>
    </cfRule>
  </conditionalFormatting>
  <conditionalFormatting sqref="D25:I28">
    <cfRule type="colorScale" priority="1">
      <colorScale>
        <cfvo type="min"/>
        <cfvo type="percentile" val="50"/>
        <cfvo type="max"/>
        <color theme="9"/>
        <color theme="9" tint="0.79998168889431442"/>
        <color theme="5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C5853-5269-AD42-85D5-2AA17BA0624D}">
  <sheetPr>
    <pageSetUpPr fitToPage="1"/>
  </sheetPr>
  <dimension ref="A1:BF122"/>
  <sheetViews>
    <sheetView zoomScale="161" zoomScaleNormal="100" workbookViewId="0">
      <selection activeCell="W17" sqref="W17:W18"/>
    </sheetView>
  </sheetViews>
  <sheetFormatPr baseColWidth="10" defaultRowHeight="16" x14ac:dyDescent="0.2"/>
  <cols>
    <col min="1" max="1" width="5.1640625" style="106" bestFit="1" customWidth="1"/>
    <col min="2" max="2" width="19.83203125" style="3" customWidth="1"/>
    <col min="3" max="3" width="18.6640625" style="1" bestFit="1" customWidth="1"/>
    <col min="4" max="4" width="9.33203125" style="1" bestFit="1" customWidth="1"/>
    <col min="5" max="5" width="9.83203125" style="1" bestFit="1" customWidth="1"/>
    <col min="6" max="6" width="9.5" style="1" customWidth="1"/>
    <col min="7" max="9" width="9.33203125" style="1" bestFit="1" customWidth="1"/>
    <col min="10" max="10" width="9.1640625" style="1" customWidth="1"/>
    <col min="11" max="17" width="9.33203125" style="1" bestFit="1" customWidth="1"/>
    <col min="18" max="18" width="9.83203125" style="1" bestFit="1" customWidth="1"/>
    <col min="19" max="28" width="9.33203125" style="1" bestFit="1" customWidth="1"/>
    <col min="29" max="30" width="9.1640625" style="1" bestFit="1" customWidth="1"/>
    <col min="31" max="31" width="10.33203125" style="1" bestFit="1" customWidth="1"/>
    <col min="32" max="44" width="10.5" style="1" bestFit="1" customWidth="1"/>
    <col min="45" max="53" width="11.83203125" style="1" bestFit="1" customWidth="1"/>
    <col min="54" max="54" width="4.33203125" style="1" customWidth="1"/>
    <col min="55" max="55" width="17.5" style="1" customWidth="1"/>
    <col min="56" max="56" width="10.6640625" style="1" bestFit="1" customWidth="1"/>
    <col min="57" max="57" width="5.1640625" style="1" bestFit="1" customWidth="1"/>
    <col min="58" max="58" width="2.83203125" style="1" customWidth="1"/>
    <col min="59" max="16384" width="10.83203125" style="1"/>
  </cols>
  <sheetData>
    <row r="1" spans="1:58" ht="17" thickBot="1" x14ac:dyDescent="0.25">
      <c r="H1" s="17"/>
      <c r="I1" s="17"/>
      <c r="J1" s="18"/>
      <c r="K1" s="19"/>
      <c r="L1" s="18"/>
      <c r="M1" s="8"/>
    </row>
    <row r="2" spans="1:58" ht="17" thickBot="1" x14ac:dyDescent="0.25">
      <c r="B2" s="154" t="s">
        <v>60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6"/>
    </row>
    <row r="3" spans="1:58" x14ac:dyDescent="0.2">
      <c r="B3" s="20"/>
      <c r="C3" s="90" t="s">
        <v>175</v>
      </c>
      <c r="D3" s="91">
        <v>0.4</v>
      </c>
      <c r="E3" s="21"/>
      <c r="F3" s="21"/>
      <c r="G3" s="21"/>
      <c r="H3" s="22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3"/>
    </row>
    <row r="4" spans="1:58" x14ac:dyDescent="0.2">
      <c r="B4" s="9"/>
      <c r="C4" s="90" t="s">
        <v>176</v>
      </c>
      <c r="D4" s="89">
        <v>3</v>
      </c>
      <c r="H4" s="6"/>
      <c r="BF4" s="4"/>
    </row>
    <row r="5" spans="1:58" x14ac:dyDescent="0.2">
      <c r="B5" s="9"/>
      <c r="C5" s="90" t="s">
        <v>177</v>
      </c>
      <c r="D5" s="89">
        <f>D3*D4</f>
        <v>1.2000000000000002</v>
      </c>
      <c r="H5" s="6"/>
      <c r="BF5" s="4"/>
    </row>
    <row r="6" spans="1:58" x14ac:dyDescent="0.2">
      <c r="B6" s="9"/>
      <c r="C6" s="90" t="s">
        <v>178</v>
      </c>
      <c r="D6" s="24">
        <f>D5*12</f>
        <v>14.400000000000002</v>
      </c>
      <c r="H6" s="6"/>
      <c r="BF6" s="4"/>
    </row>
    <row r="7" spans="1:58" x14ac:dyDescent="0.2">
      <c r="B7" s="9"/>
      <c r="C7" s="90" t="s">
        <v>5</v>
      </c>
      <c r="D7" s="25">
        <f> SUMMARY!M5</f>
        <v>5</v>
      </c>
      <c r="E7" s="25">
        <f>D7*(1+$D$8)</f>
        <v>5.2</v>
      </c>
      <c r="F7" s="25">
        <f>E7*(1+$D$8)</f>
        <v>5.4080000000000004</v>
      </c>
      <c r="G7" s="25">
        <f t="shared" ref="G7:AB7" si="0">F7*(1+$D$8)</f>
        <v>5.6243200000000009</v>
      </c>
      <c r="H7" s="25">
        <f t="shared" si="0"/>
        <v>5.8492928000000015</v>
      </c>
      <c r="I7" s="25">
        <f t="shared" si="0"/>
        <v>6.0832645120000022</v>
      </c>
      <c r="J7" s="25">
        <f t="shared" si="0"/>
        <v>6.3265950924800025</v>
      </c>
      <c r="K7" s="25">
        <f t="shared" si="0"/>
        <v>6.5796588961792031</v>
      </c>
      <c r="L7" s="25">
        <f t="shared" si="0"/>
        <v>6.8428452520263718</v>
      </c>
      <c r="M7" s="25">
        <f t="shared" si="0"/>
        <v>7.1165590621074273</v>
      </c>
      <c r="N7" s="25">
        <f t="shared" si="0"/>
        <v>7.4012214245917249</v>
      </c>
      <c r="O7" s="25">
        <f t="shared" si="0"/>
        <v>7.6972702815753946</v>
      </c>
      <c r="P7" s="25">
        <f t="shared" si="0"/>
        <v>8.00516109283841</v>
      </c>
      <c r="Q7" s="25">
        <f t="shared" si="0"/>
        <v>8.3253675365519459</v>
      </c>
      <c r="R7" s="25">
        <f t="shared" si="0"/>
        <v>8.6583822380140241</v>
      </c>
      <c r="S7" s="25">
        <f t="shared" si="0"/>
        <v>9.0047175275345861</v>
      </c>
      <c r="T7" s="25">
        <f t="shared" si="0"/>
        <v>9.3649062286359701</v>
      </c>
      <c r="U7" s="25">
        <f t="shared" si="0"/>
        <v>9.739502477781409</v>
      </c>
      <c r="V7" s="25">
        <f t="shared" si="0"/>
        <v>10.129082576892666</v>
      </c>
      <c r="W7" s="25">
        <f t="shared" si="0"/>
        <v>10.534245879968372</v>
      </c>
      <c r="X7" s="25">
        <f t="shared" si="0"/>
        <v>10.955615715167108</v>
      </c>
      <c r="Y7" s="25">
        <f t="shared" si="0"/>
        <v>11.393840343773793</v>
      </c>
      <c r="Z7" s="25">
        <f t="shared" si="0"/>
        <v>11.849593957524744</v>
      </c>
      <c r="AA7" s="25">
        <f t="shared" si="0"/>
        <v>12.323577715825735</v>
      </c>
      <c r="AB7" s="25">
        <f t="shared" si="0"/>
        <v>12.816520824458765</v>
      </c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F7" s="4"/>
    </row>
    <row r="8" spans="1:58" x14ac:dyDescent="0.2">
      <c r="B8" s="9"/>
      <c r="C8" s="90" t="s">
        <v>189</v>
      </c>
      <c r="D8" s="6">
        <v>0.04</v>
      </c>
      <c r="H8" s="6"/>
      <c r="BF8" s="4"/>
    </row>
    <row r="9" spans="1:58" x14ac:dyDescent="0.2">
      <c r="B9" s="9"/>
      <c r="BF9" s="4"/>
    </row>
    <row r="10" spans="1:58" x14ac:dyDescent="0.2">
      <c r="B10" s="9"/>
      <c r="H10" s="6"/>
      <c r="BF10" s="4"/>
    </row>
    <row r="11" spans="1:58" x14ac:dyDescent="0.2">
      <c r="B11" s="9"/>
      <c r="D11" s="26">
        <v>0</v>
      </c>
      <c r="E11" s="26">
        <v>0</v>
      </c>
      <c r="F11" s="26">
        <v>0.8</v>
      </c>
      <c r="G11" s="26">
        <v>0.85</v>
      </c>
      <c r="H11" s="26">
        <v>0.9</v>
      </c>
      <c r="I11" s="26">
        <v>0.9</v>
      </c>
      <c r="J11" s="26">
        <v>0.9</v>
      </c>
      <c r="K11" s="26">
        <v>0.9</v>
      </c>
      <c r="L11" s="26">
        <v>0.9</v>
      </c>
      <c r="M11" s="26">
        <v>0.9</v>
      </c>
      <c r="N11" s="26">
        <v>0.9</v>
      </c>
      <c r="O11" s="26">
        <v>0.9</v>
      </c>
      <c r="P11" s="26">
        <v>0.9</v>
      </c>
      <c r="Q11" s="26">
        <v>0.9</v>
      </c>
      <c r="R11" s="26">
        <v>0.9</v>
      </c>
      <c r="S11" s="26">
        <v>0.9</v>
      </c>
      <c r="T11" s="26">
        <v>0.9</v>
      </c>
      <c r="U11" s="26">
        <v>0.9</v>
      </c>
      <c r="V11" s="26">
        <v>0.9</v>
      </c>
      <c r="W11" s="26">
        <v>0.9</v>
      </c>
      <c r="X11" s="26">
        <v>0.9</v>
      </c>
      <c r="Y11" s="26">
        <v>0.9</v>
      </c>
      <c r="Z11" s="26">
        <v>0.9</v>
      </c>
      <c r="AA11" s="26">
        <v>0.9</v>
      </c>
      <c r="AB11" s="26">
        <v>0.9</v>
      </c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F11" s="4"/>
    </row>
    <row r="12" spans="1:58" x14ac:dyDescent="0.2">
      <c r="B12" s="9"/>
      <c r="D12" s="2" t="s">
        <v>6</v>
      </c>
      <c r="E12" s="2" t="s">
        <v>7</v>
      </c>
      <c r="F12" s="2" t="s">
        <v>8</v>
      </c>
      <c r="G12" s="2" t="s">
        <v>9</v>
      </c>
      <c r="H12" s="2" t="s">
        <v>10</v>
      </c>
      <c r="I12" s="2" t="s">
        <v>11</v>
      </c>
      <c r="J12" s="2" t="s">
        <v>12</v>
      </c>
      <c r="K12" s="2" t="s">
        <v>13</v>
      </c>
      <c r="L12" s="2" t="s">
        <v>14</v>
      </c>
      <c r="M12" s="2" t="s">
        <v>15</v>
      </c>
      <c r="N12" s="2" t="s">
        <v>16</v>
      </c>
      <c r="O12" s="2" t="s">
        <v>17</v>
      </c>
      <c r="P12" s="2" t="s">
        <v>18</v>
      </c>
      <c r="Q12" s="2" t="s">
        <v>19</v>
      </c>
      <c r="R12" s="2" t="s">
        <v>20</v>
      </c>
      <c r="S12" s="2" t="s">
        <v>21</v>
      </c>
      <c r="T12" s="2" t="s">
        <v>22</v>
      </c>
      <c r="U12" s="2" t="s">
        <v>23</v>
      </c>
      <c r="V12" s="2" t="s">
        <v>24</v>
      </c>
      <c r="W12" s="2" t="s">
        <v>25</v>
      </c>
      <c r="X12" s="2" t="s">
        <v>26</v>
      </c>
      <c r="Y12" s="2" t="s">
        <v>27</v>
      </c>
      <c r="Z12" s="2" t="s">
        <v>28</v>
      </c>
      <c r="AA12" s="2" t="s">
        <v>29</v>
      </c>
      <c r="AB12" s="2" t="s">
        <v>30</v>
      </c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86" t="s">
        <v>137</v>
      </c>
      <c r="BF12" s="4"/>
    </row>
    <row r="13" spans="1:58" ht="16" customHeight="1" x14ac:dyDescent="0.2">
      <c r="B13" s="157" t="s">
        <v>36</v>
      </c>
      <c r="C13" s="10" t="s">
        <v>2</v>
      </c>
      <c r="D13" s="11">
        <f t="shared" ref="D13:AB13" si="1">$D$6*D11</f>
        <v>0</v>
      </c>
      <c r="E13" s="11">
        <f t="shared" si="1"/>
        <v>0</v>
      </c>
      <c r="F13" s="11">
        <f t="shared" si="1"/>
        <v>11.520000000000003</v>
      </c>
      <c r="G13" s="11">
        <f t="shared" si="1"/>
        <v>12.240000000000002</v>
      </c>
      <c r="H13" s="11">
        <f t="shared" si="1"/>
        <v>12.960000000000003</v>
      </c>
      <c r="I13" s="11">
        <f t="shared" si="1"/>
        <v>12.960000000000003</v>
      </c>
      <c r="J13" s="11">
        <f t="shared" si="1"/>
        <v>12.960000000000003</v>
      </c>
      <c r="K13" s="11">
        <f t="shared" si="1"/>
        <v>12.960000000000003</v>
      </c>
      <c r="L13" s="11">
        <f t="shared" si="1"/>
        <v>12.960000000000003</v>
      </c>
      <c r="M13" s="11">
        <f t="shared" si="1"/>
        <v>12.960000000000003</v>
      </c>
      <c r="N13" s="11">
        <f t="shared" si="1"/>
        <v>12.960000000000003</v>
      </c>
      <c r="O13" s="11">
        <f t="shared" si="1"/>
        <v>12.960000000000003</v>
      </c>
      <c r="P13" s="11">
        <f t="shared" si="1"/>
        <v>12.960000000000003</v>
      </c>
      <c r="Q13" s="11">
        <f t="shared" si="1"/>
        <v>12.960000000000003</v>
      </c>
      <c r="R13" s="11">
        <f t="shared" si="1"/>
        <v>12.960000000000003</v>
      </c>
      <c r="S13" s="11">
        <f t="shared" si="1"/>
        <v>12.960000000000003</v>
      </c>
      <c r="T13" s="11">
        <f t="shared" si="1"/>
        <v>12.960000000000003</v>
      </c>
      <c r="U13" s="11">
        <f t="shared" si="1"/>
        <v>12.960000000000003</v>
      </c>
      <c r="V13" s="11">
        <f t="shared" si="1"/>
        <v>12.960000000000003</v>
      </c>
      <c r="W13" s="11">
        <f t="shared" si="1"/>
        <v>12.960000000000003</v>
      </c>
      <c r="X13" s="11">
        <f t="shared" si="1"/>
        <v>12.960000000000003</v>
      </c>
      <c r="Y13" s="11">
        <f t="shared" si="1"/>
        <v>12.960000000000003</v>
      </c>
      <c r="Z13" s="11">
        <f t="shared" si="1"/>
        <v>12.960000000000003</v>
      </c>
      <c r="AA13" s="11">
        <f t="shared" si="1"/>
        <v>12.960000000000003</v>
      </c>
      <c r="AB13" s="11">
        <f t="shared" si="1"/>
        <v>12.960000000000003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0" t="s">
        <v>2</v>
      </c>
      <c r="BD13" s="118">
        <f>SUM(D13:BB13)</f>
        <v>295.92</v>
      </c>
      <c r="BE13" s="13"/>
      <c r="BF13" s="4"/>
    </row>
    <row r="14" spans="1:58" x14ac:dyDescent="0.2">
      <c r="B14" s="157"/>
      <c r="C14" s="10" t="s">
        <v>3</v>
      </c>
      <c r="D14" s="70">
        <f>D13*D7</f>
        <v>0</v>
      </c>
      <c r="E14" s="70">
        <f>E13*E7</f>
        <v>0</v>
      </c>
      <c r="F14" s="70">
        <f>F13*F7</f>
        <v>62.30016000000002</v>
      </c>
      <c r="G14" s="70">
        <f t="shared" ref="G14:AB14" si="2">G13*G7</f>
        <v>68.841676800000016</v>
      </c>
      <c r="H14" s="70">
        <f t="shared" si="2"/>
        <v>75.806834688000038</v>
      </c>
      <c r="I14" s="70">
        <f t="shared" si="2"/>
        <v>78.839108075520045</v>
      </c>
      <c r="J14" s="70">
        <f t="shared" si="2"/>
        <v>81.992672398540847</v>
      </c>
      <c r="K14" s="70">
        <f t="shared" si="2"/>
        <v>85.272379294482491</v>
      </c>
      <c r="L14" s="70">
        <f t="shared" si="2"/>
        <v>88.683274466261793</v>
      </c>
      <c r="M14" s="70">
        <f t="shared" si="2"/>
        <v>92.230605444912271</v>
      </c>
      <c r="N14" s="70">
        <f t="shared" si="2"/>
        <v>95.919829662708779</v>
      </c>
      <c r="O14" s="70">
        <f t="shared" si="2"/>
        <v>99.756622849217138</v>
      </c>
      <c r="P14" s="70">
        <f t="shared" si="2"/>
        <v>103.74688776318581</v>
      </c>
      <c r="Q14" s="70">
        <f t="shared" si="2"/>
        <v>107.89676327371325</v>
      </c>
      <c r="R14" s="70">
        <f t="shared" si="2"/>
        <v>112.21263380466178</v>
      </c>
      <c r="S14" s="70">
        <f t="shared" si="2"/>
        <v>116.70113915684826</v>
      </c>
      <c r="T14" s="70">
        <f t="shared" si="2"/>
        <v>121.3691847231222</v>
      </c>
      <c r="U14" s="70">
        <f t="shared" si="2"/>
        <v>126.22395211204709</v>
      </c>
      <c r="V14" s="70">
        <f t="shared" si="2"/>
        <v>131.27291019652898</v>
      </c>
      <c r="W14" s="70">
        <f t="shared" si="2"/>
        <v>136.52382660439014</v>
      </c>
      <c r="X14" s="70">
        <f t="shared" si="2"/>
        <v>141.98477966856575</v>
      </c>
      <c r="Y14" s="70">
        <f t="shared" si="2"/>
        <v>147.66417085530838</v>
      </c>
      <c r="Z14" s="70">
        <f t="shared" si="2"/>
        <v>153.57073768952071</v>
      </c>
      <c r="AA14" s="70">
        <f t="shared" si="2"/>
        <v>159.71356719710155</v>
      </c>
      <c r="AB14" s="70">
        <f t="shared" si="2"/>
        <v>166.10210988498562</v>
      </c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0" t="s">
        <v>3</v>
      </c>
      <c r="BD14" s="12">
        <f t="shared" ref="BD14:BD37" si="3">SUM(D14:BB14)</f>
        <v>2554.6258266096229</v>
      </c>
      <c r="BE14" s="13"/>
      <c r="BF14" s="4"/>
    </row>
    <row r="15" spans="1:58" x14ac:dyDescent="0.2">
      <c r="B15" s="157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D15" s="49"/>
      <c r="BE15" s="13"/>
      <c r="BF15" s="4"/>
    </row>
    <row r="16" spans="1:58" x14ac:dyDescent="0.2">
      <c r="A16" s="105"/>
      <c r="B16" s="157"/>
      <c r="C16" s="10" t="s">
        <v>155</v>
      </c>
      <c r="D16" s="57">
        <f>SUM(D17:D20)</f>
        <v>-70.758993055000005</v>
      </c>
      <c r="E16" s="57">
        <f>SUM(E17:E20)</f>
        <v>-106.91416464239998</v>
      </c>
      <c r="F16" s="57">
        <f>SUM(F17:F20)</f>
        <v>-11.964640573900004</v>
      </c>
      <c r="G16" s="57">
        <f>SUM(G17:G20)</f>
        <v>-13.267614751920007</v>
      </c>
      <c r="H16" s="57">
        <f t="shared" ref="H16:AB16" si="4">SUM(H17:H20)</f>
        <v>-14.712600398141257</v>
      </c>
      <c r="I16" s="57">
        <f t="shared" si="4"/>
        <v>-15.301771532958721</v>
      </c>
      <c r="J16" s="57">
        <f t="shared" si="4"/>
        <v>-15.914431738791075</v>
      </c>
      <c r="K16" s="57">
        <f t="shared" si="4"/>
        <v>-16.491254150168352</v>
      </c>
      <c r="L16" s="57">
        <f t="shared" si="4"/>
        <v>-17.160055640487034</v>
      </c>
      <c r="M16" s="57">
        <f t="shared" si="4"/>
        <v>-17.856045165509279</v>
      </c>
      <c r="N16" s="57">
        <f t="shared" si="4"/>
        <v>-18.580331128771736</v>
      </c>
      <c r="O16" s="57">
        <f t="shared" si="4"/>
        <v>-19.334067288125283</v>
      </c>
      <c r="P16" s="57">
        <f t="shared" si="4"/>
        <v>-20.118454611409785</v>
      </c>
      <c r="Q16" s="57">
        <f t="shared" si="4"/>
        <v>-20.934743197329084</v>
      </c>
      <c r="R16" s="57">
        <f t="shared" si="4"/>
        <v>-21.747952773531217</v>
      </c>
      <c r="S16" s="57">
        <f t="shared" si="4"/>
        <v>-22.593433685862763</v>
      </c>
      <c r="T16" s="57">
        <f t="shared" si="4"/>
        <v>-23.47248391636575</v>
      </c>
      <c r="U16" s="57">
        <f t="shared" si="4"/>
        <v>-24.386454166289525</v>
      </c>
      <c r="V16" s="57">
        <f t="shared" si="4"/>
        <v>-25.336749975239151</v>
      </c>
      <c r="W16" s="57">
        <f t="shared" si="4"/>
        <v>-26.32483397000637</v>
      </c>
      <c r="X16" s="57">
        <f t="shared" si="4"/>
        <v>-27.352228230278723</v>
      </c>
      <c r="Y16" s="57">
        <f t="shared" si="4"/>
        <v>-28.420516682832577</v>
      </c>
      <c r="Z16" s="57">
        <f t="shared" si="4"/>
        <v>-29.531347671842667</v>
      </c>
      <c r="AA16" s="57">
        <f t="shared" si="4"/>
        <v>-30.686436566126876</v>
      </c>
      <c r="AB16" s="57">
        <f t="shared" si="4"/>
        <v>-30.670831841305223</v>
      </c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0" t="s">
        <v>155</v>
      </c>
      <c r="BD16" s="14">
        <f t="shared" si="3"/>
        <v>-669.83243735459257</v>
      </c>
      <c r="BE16" s="13"/>
      <c r="BF16" s="4"/>
    </row>
    <row r="17" spans="1:58" x14ac:dyDescent="0.2">
      <c r="A17" s="105">
        <v>0.1</v>
      </c>
      <c r="B17" s="157"/>
      <c r="C17" s="97" t="s">
        <v>230</v>
      </c>
      <c r="D17" s="98">
        <v>0</v>
      </c>
      <c r="E17" s="98">
        <v>0</v>
      </c>
      <c r="F17" s="98">
        <f>(-$A$17*F13*5.408)</f>
        <v>-6.2300160000000027</v>
      </c>
      <c r="G17" s="98">
        <f>F17*(1+$D$8)*(G11/F11)</f>
        <v>-6.8841676800000036</v>
      </c>
      <c r="H17" s="98">
        <f>G17*(1+$D$8)*(H11/G11)</f>
        <v>-7.5806834688000047</v>
      </c>
      <c r="I17" s="98">
        <f>H17*(1+$D$8)*(I11/H11)</f>
        <v>-7.883910807552005</v>
      </c>
      <c r="J17" s="98">
        <f>I17*(1+$D$8)*(J11/I11)</f>
        <v>-8.1992672398540858</v>
      </c>
      <c r="K17" s="98">
        <f>J17*(1+$D$8)*(K11/J11)</f>
        <v>-8.5272379294482494</v>
      </c>
      <c r="L17" s="98">
        <f t="shared" ref="L17:AB17" si="5">K17*(1+$D$8)*(L11/K11)</f>
        <v>-8.8683274466261803</v>
      </c>
      <c r="M17" s="98">
        <f t="shared" si="5"/>
        <v>-9.2230605444912275</v>
      </c>
      <c r="N17" s="98">
        <f t="shared" si="5"/>
        <v>-9.5919829662708764</v>
      </c>
      <c r="O17" s="98">
        <f t="shared" si="5"/>
        <v>-9.9756622849217127</v>
      </c>
      <c r="P17" s="98">
        <f t="shared" si="5"/>
        <v>-10.374688776318582</v>
      </c>
      <c r="Q17" s="98">
        <f t="shared" si="5"/>
        <v>-10.789676327371325</v>
      </c>
      <c r="R17" s="98">
        <f t="shared" si="5"/>
        <v>-11.221263380466178</v>
      </c>
      <c r="S17" s="98">
        <f t="shared" si="5"/>
        <v>-11.670113915684826</v>
      </c>
      <c r="T17" s="98">
        <f t="shared" si="5"/>
        <v>-12.136918472312219</v>
      </c>
      <c r="U17" s="98">
        <f t="shared" si="5"/>
        <v>-12.622395211204708</v>
      </c>
      <c r="V17" s="98">
        <f t="shared" si="5"/>
        <v>-13.127291019652898</v>
      </c>
      <c r="W17" s="98">
        <f t="shared" si="5"/>
        <v>-13.652382660439015</v>
      </c>
      <c r="X17" s="98">
        <f t="shared" si="5"/>
        <v>-14.198477966856576</v>
      </c>
      <c r="Y17" s="98">
        <f t="shared" si="5"/>
        <v>-14.76641708553084</v>
      </c>
      <c r="Z17" s="98">
        <f t="shared" si="5"/>
        <v>-15.357073768952073</v>
      </c>
      <c r="AA17" s="98">
        <f t="shared" si="5"/>
        <v>-15.971356719710156</v>
      </c>
      <c r="AB17" s="98">
        <f t="shared" si="5"/>
        <v>-16.610210988498562</v>
      </c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97" t="s">
        <v>173</v>
      </c>
      <c r="BD17" s="119">
        <f t="shared" si="3"/>
        <v>-255.46258266096225</v>
      </c>
      <c r="BE17" s="13"/>
      <c r="BF17" s="4"/>
    </row>
    <row r="18" spans="1:58" x14ac:dyDescent="0.2">
      <c r="A18" s="105">
        <v>7.0000000000000007E-2</v>
      </c>
      <c r="B18" s="157"/>
      <c r="C18" s="97" t="s">
        <v>231</v>
      </c>
      <c r="D18" s="98">
        <f>(-D14*$A$18)+D43</f>
        <v>-21</v>
      </c>
      <c r="E18" s="98">
        <f t="shared" ref="E18:AB18" si="6">(-E14*$A$18)+E43</f>
        <v>-31.799999999999997</v>
      </c>
      <c r="F18" s="98">
        <f t="shared" si="6"/>
        <v>-4.3610112000000019</v>
      </c>
      <c r="G18" s="98">
        <f t="shared" si="6"/>
        <v>-4.8189173760000017</v>
      </c>
      <c r="H18" s="98">
        <f t="shared" si="6"/>
        <v>-5.3064784281600028</v>
      </c>
      <c r="I18" s="98">
        <f t="shared" si="6"/>
        <v>-5.5187375652864032</v>
      </c>
      <c r="J18" s="98">
        <f t="shared" si="6"/>
        <v>-5.7394870678978602</v>
      </c>
      <c r="K18" s="98">
        <f t="shared" si="6"/>
        <v>-5.9690665506137748</v>
      </c>
      <c r="L18" s="98">
        <f t="shared" si="6"/>
        <v>-6.2078292126383259</v>
      </c>
      <c r="M18" s="98">
        <f t="shared" si="6"/>
        <v>-6.4561423811438594</v>
      </c>
      <c r="N18" s="98">
        <f t="shared" si="6"/>
        <v>-6.7143880763896151</v>
      </c>
      <c r="O18" s="98">
        <f t="shared" si="6"/>
        <v>-6.9829635994452</v>
      </c>
      <c r="P18" s="98">
        <f t="shared" si="6"/>
        <v>-7.2622821434230076</v>
      </c>
      <c r="Q18" s="98">
        <f t="shared" si="6"/>
        <v>-7.5527734291599282</v>
      </c>
      <c r="R18" s="98">
        <f t="shared" si="6"/>
        <v>-7.854884366326325</v>
      </c>
      <c r="S18" s="98">
        <f t="shared" si="6"/>
        <v>-8.1690797409793792</v>
      </c>
      <c r="T18" s="98">
        <f t="shared" si="6"/>
        <v>-8.4958429306185543</v>
      </c>
      <c r="U18" s="98">
        <f t="shared" si="6"/>
        <v>-8.8356766478432966</v>
      </c>
      <c r="V18" s="98">
        <f t="shared" si="6"/>
        <v>-9.1891037137570297</v>
      </c>
      <c r="W18" s="98">
        <f t="shared" si="6"/>
        <v>-9.5566678623073109</v>
      </c>
      <c r="X18" s="98">
        <f t="shared" si="6"/>
        <v>-9.9389345767996033</v>
      </c>
      <c r="Y18" s="98">
        <f t="shared" si="6"/>
        <v>-10.336491959871587</v>
      </c>
      <c r="Z18" s="98">
        <f t="shared" si="6"/>
        <v>-10.749951638266451</v>
      </c>
      <c r="AA18" s="98">
        <f t="shared" si="6"/>
        <v>-11.17994970379711</v>
      </c>
      <c r="AB18" s="98">
        <f t="shared" si="6"/>
        <v>-11.627147691948995</v>
      </c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97"/>
      <c r="BD18" s="119"/>
      <c r="BE18" s="13"/>
      <c r="BF18" s="4"/>
    </row>
    <row r="19" spans="1:58" x14ac:dyDescent="0.2">
      <c r="A19" s="105"/>
      <c r="B19" s="157"/>
      <c r="C19" s="97" t="s">
        <v>172</v>
      </c>
      <c r="D19" s="98">
        <f>D42</f>
        <v>-49</v>
      </c>
      <c r="E19" s="98">
        <f>E42</f>
        <v>-74.199999999999989</v>
      </c>
      <c r="F19" s="98">
        <f>F42</f>
        <v>0</v>
      </c>
      <c r="G19" s="98">
        <f>G42</f>
        <v>0</v>
      </c>
      <c r="H19" s="98">
        <f t="shared" ref="H19:AB19" si="7">H42</f>
        <v>0</v>
      </c>
      <c r="I19" s="98">
        <f t="shared" si="7"/>
        <v>0</v>
      </c>
      <c r="J19" s="98">
        <f t="shared" si="7"/>
        <v>0</v>
      </c>
      <c r="K19" s="98">
        <f t="shared" si="7"/>
        <v>0</v>
      </c>
      <c r="L19" s="98">
        <f t="shared" si="7"/>
        <v>0</v>
      </c>
      <c r="M19" s="98">
        <f t="shared" si="7"/>
        <v>0</v>
      </c>
      <c r="N19" s="98">
        <f t="shared" si="7"/>
        <v>0</v>
      </c>
      <c r="O19" s="98">
        <f t="shared" si="7"/>
        <v>0</v>
      </c>
      <c r="P19" s="98">
        <f t="shared" si="7"/>
        <v>0</v>
      </c>
      <c r="Q19" s="98">
        <f t="shared" si="7"/>
        <v>0</v>
      </c>
      <c r="R19" s="98">
        <f t="shared" si="7"/>
        <v>0</v>
      </c>
      <c r="S19" s="98">
        <f t="shared" si="7"/>
        <v>0</v>
      </c>
      <c r="T19" s="98">
        <f t="shared" si="7"/>
        <v>0</v>
      </c>
      <c r="U19" s="98">
        <f t="shared" si="7"/>
        <v>0</v>
      </c>
      <c r="V19" s="98">
        <f t="shared" si="7"/>
        <v>0</v>
      </c>
      <c r="W19" s="98">
        <f t="shared" si="7"/>
        <v>0</v>
      </c>
      <c r="X19" s="98">
        <f t="shared" si="7"/>
        <v>0</v>
      </c>
      <c r="Y19" s="98">
        <f t="shared" si="7"/>
        <v>0</v>
      </c>
      <c r="Z19" s="98">
        <f t="shared" si="7"/>
        <v>0</v>
      </c>
      <c r="AA19" s="98">
        <f t="shared" si="7"/>
        <v>0</v>
      </c>
      <c r="AB19" s="98">
        <f t="shared" si="7"/>
        <v>0</v>
      </c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97" t="s">
        <v>172</v>
      </c>
      <c r="BD19" s="119">
        <f t="shared" si="3"/>
        <v>-123.19999999999999</v>
      </c>
      <c r="BE19" s="13"/>
      <c r="BF19" s="4"/>
    </row>
    <row r="20" spans="1:58" x14ac:dyDescent="0.2">
      <c r="B20" s="157"/>
      <c r="C20" s="97" t="s">
        <v>144</v>
      </c>
      <c r="D20" s="98">
        <f>-'Rents to TWC-IPM'!L6/1000000</f>
        <v>-0.75899305499999992</v>
      </c>
      <c r="E20" s="98">
        <f>-'Rents to TWC-IPM'!M6/1000000</f>
        <v>-0.91416464240000006</v>
      </c>
      <c r="F20" s="98">
        <f>-'Rents to TWC-IPM'!N6/1000000</f>
        <v>-1.3736133739</v>
      </c>
      <c r="G20" s="98">
        <f>-'Rents to TWC-IPM'!O6/1000000</f>
        <v>-1.5645296959200004</v>
      </c>
      <c r="H20" s="98">
        <f>-'Rents to TWC-IPM'!P6/1000000</f>
        <v>-1.82543850118125</v>
      </c>
      <c r="I20" s="98">
        <f>-'Rents to TWC-IPM'!Q6/1000000</f>
        <v>-1.8991231601203129</v>
      </c>
      <c r="J20" s="98">
        <f>-'Rents to TWC-IPM'!R6/1000000</f>
        <v>-1.9756774310391283</v>
      </c>
      <c r="K20" s="98">
        <f>-'Rents to TWC-IPM'!S6/1000000</f>
        <v>-1.9949496701063294</v>
      </c>
      <c r="L20" s="98">
        <f>-'Rents to TWC-IPM'!T6/1000000</f>
        <v>-2.0838989812225281</v>
      </c>
      <c r="M20" s="98">
        <f>-'Rents to TWC-IPM'!U6/1000000</f>
        <v>-2.1768422398741936</v>
      </c>
      <c r="N20" s="98">
        <f>-'Rents to TWC-IPM'!V6/1000000</f>
        <v>-2.2739600861112446</v>
      </c>
      <c r="O20" s="98">
        <f>-'Rents to TWC-IPM'!W6/1000000</f>
        <v>-2.3754414037583689</v>
      </c>
      <c r="P20" s="98">
        <f>-'Rents to TWC-IPM'!X6/1000000</f>
        <v>-2.4814836916681946</v>
      </c>
      <c r="Q20" s="98">
        <f>-'Rents to TWC-IPM'!Y6/1000000</f>
        <v>-2.5922934407978326</v>
      </c>
      <c r="R20" s="98">
        <f>-'Rents to TWC-IPM'!Z6/1000000</f>
        <v>-2.6718050267387126</v>
      </c>
      <c r="S20" s="98">
        <f>-'Rents to TWC-IPM'!AA6/1000000</f>
        <v>-2.7542400291985567</v>
      </c>
      <c r="T20" s="98">
        <f>-'Rents to TWC-IPM'!AB6/1000000</f>
        <v>-2.8397225134349742</v>
      </c>
      <c r="U20" s="98">
        <f>-'Rents to TWC-IPM'!AC6/1000000</f>
        <v>-2.9283823072415189</v>
      </c>
      <c r="V20" s="98">
        <f>-'Rents to TWC-IPM'!AD6/1000000</f>
        <v>-3.0203552418292214</v>
      </c>
      <c r="W20" s="98">
        <f>-'Rents to TWC-IPM'!AE6/1000000</f>
        <v>-3.1157834472600476</v>
      </c>
      <c r="X20" s="98">
        <f>-'Rents to TWC-IPM'!AF6/1000000</f>
        <v>-3.2148156866225421</v>
      </c>
      <c r="Y20" s="98">
        <f>-'Rents to TWC-IPM'!AG6/1000000</f>
        <v>-3.3176076374301511</v>
      </c>
      <c r="Z20" s="98">
        <f>-'Rents to TWC-IPM'!AH6/1000000</f>
        <v>-3.4243222646241458</v>
      </c>
      <c r="AA20" s="98">
        <f>-'Rents to TWC-IPM'!AI6/1000000</f>
        <v>-3.5351301426196122</v>
      </c>
      <c r="AB20" s="98">
        <f>-'Rents to TWC-IPM'!AJ6/1000000</f>
        <v>-2.4334731608576674</v>
      </c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97" t="s">
        <v>144</v>
      </c>
      <c r="BD20" s="119">
        <f t="shared" si="3"/>
        <v>-59.546046830956541</v>
      </c>
      <c r="BE20" s="13"/>
      <c r="BF20" s="4"/>
    </row>
    <row r="21" spans="1:58" x14ac:dyDescent="0.2">
      <c r="B21" s="157"/>
      <c r="C21" s="10" t="s">
        <v>0</v>
      </c>
      <c r="D21" s="57">
        <f>D14+D16</f>
        <v>-70.758993055000005</v>
      </c>
      <c r="E21" s="57">
        <f>E14+E16</f>
        <v>-106.91416464239998</v>
      </c>
      <c r="F21" s="57">
        <f t="shared" ref="F21:AB21" si="8">F14+F16</f>
        <v>50.335519426100014</v>
      </c>
      <c r="G21" s="57">
        <f t="shared" si="8"/>
        <v>55.574062048080009</v>
      </c>
      <c r="H21" s="57">
        <f t="shared" si="8"/>
        <v>61.094234289858782</v>
      </c>
      <c r="I21" s="57">
        <f t="shared" si="8"/>
        <v>63.53733654256132</v>
      </c>
      <c r="J21" s="57">
        <f t="shared" si="8"/>
        <v>66.078240659749767</v>
      </c>
      <c r="K21" s="57">
        <f t="shared" si="8"/>
        <v>68.781125144314132</v>
      </c>
      <c r="L21" s="57">
        <f t="shared" si="8"/>
        <v>71.523218825774762</v>
      </c>
      <c r="M21" s="57">
        <f t="shared" si="8"/>
        <v>74.374560279402999</v>
      </c>
      <c r="N21" s="57">
        <f t="shared" si="8"/>
        <v>77.339498533937046</v>
      </c>
      <c r="O21" s="57">
        <f t="shared" si="8"/>
        <v>80.422555561091855</v>
      </c>
      <c r="P21" s="57">
        <f t="shared" si="8"/>
        <v>83.628433151776022</v>
      </c>
      <c r="Q21" s="57">
        <f t="shared" si="8"/>
        <v>86.962020076384164</v>
      </c>
      <c r="R21" s="57">
        <f t="shared" si="8"/>
        <v>90.464681031130567</v>
      </c>
      <c r="S21" s="57">
        <f t="shared" si="8"/>
        <v>94.107705470985493</v>
      </c>
      <c r="T21" s="57">
        <f t="shared" si="8"/>
        <v>97.896700806756456</v>
      </c>
      <c r="U21" s="57">
        <f t="shared" si="8"/>
        <v>101.83749794575756</v>
      </c>
      <c r="V21" s="57">
        <f t="shared" si="8"/>
        <v>105.93616022128984</v>
      </c>
      <c r="W21" s="57">
        <f t="shared" si="8"/>
        <v>110.19899263438377</v>
      </c>
      <c r="X21" s="57">
        <f t="shared" si="8"/>
        <v>114.63255143828702</v>
      </c>
      <c r="Y21" s="57">
        <f t="shared" si="8"/>
        <v>119.2436541724758</v>
      </c>
      <c r="Z21" s="57">
        <f t="shared" si="8"/>
        <v>124.03939001767804</v>
      </c>
      <c r="AA21" s="57">
        <f t="shared" si="8"/>
        <v>129.02713063097468</v>
      </c>
      <c r="AB21" s="57">
        <f t="shared" si="8"/>
        <v>135.43127804368041</v>
      </c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0" t="s">
        <v>0</v>
      </c>
      <c r="BD21" s="14">
        <f t="shared" si="3"/>
        <v>1884.7933892550302</v>
      </c>
      <c r="BE21" s="13"/>
      <c r="BF21" s="4"/>
    </row>
    <row r="22" spans="1:58" x14ac:dyDescent="0.2">
      <c r="B22" s="157"/>
      <c r="C22" s="97" t="s">
        <v>4</v>
      </c>
      <c r="D22" s="100">
        <v>0</v>
      </c>
      <c r="E22" s="100">
        <v>0</v>
      </c>
      <c r="F22" s="101">
        <f t="shared" ref="F22:AB22" si="9">F21/F14</f>
        <v>0.80795168786243887</v>
      </c>
      <c r="G22" s="101">
        <f t="shared" si="9"/>
        <v>0.80727350975971568</v>
      </c>
      <c r="H22" s="101">
        <f t="shared" si="9"/>
        <v>0.80591986911609947</v>
      </c>
      <c r="I22" s="101">
        <f t="shared" si="9"/>
        <v>0.80591140733985545</v>
      </c>
      <c r="J22" s="101">
        <f t="shared" si="9"/>
        <v>0.80590421956932956</v>
      </c>
      <c r="K22" s="101">
        <f t="shared" si="9"/>
        <v>0.80660497236488604</v>
      </c>
      <c r="L22" s="101">
        <f t="shared" si="9"/>
        <v>0.80650178126862793</v>
      </c>
      <c r="M22" s="101">
        <f t="shared" si="9"/>
        <v>0.80639783204964022</v>
      </c>
      <c r="N22" s="101">
        <f t="shared" si="9"/>
        <v>0.80629311797042003</v>
      </c>
      <c r="O22" s="101">
        <f t="shared" si="9"/>
        <v>0.80618763209988709</v>
      </c>
      <c r="P22" s="101">
        <f t="shared" si="9"/>
        <v>0.80608136740128078</v>
      </c>
      <c r="Q22" s="101">
        <f t="shared" si="9"/>
        <v>0.80597431691049259</v>
      </c>
      <c r="R22" s="101">
        <f t="shared" si="9"/>
        <v>0.80618980202006707</v>
      </c>
      <c r="S22" s="101">
        <f t="shared" si="9"/>
        <v>0.80639920184929115</v>
      </c>
      <c r="T22" s="101">
        <f t="shared" si="9"/>
        <v>0.80660260699688158</v>
      </c>
      <c r="U22" s="101">
        <f t="shared" si="9"/>
        <v>0.80680010601599572</v>
      </c>
      <c r="V22" s="101">
        <f t="shared" si="9"/>
        <v>0.80699178575909203</v>
      </c>
      <c r="W22" s="101">
        <f t="shared" si="9"/>
        <v>0.80717773135462456</v>
      </c>
      <c r="X22" s="101">
        <f t="shared" si="9"/>
        <v>0.80735802602133222</v>
      </c>
      <c r="Y22" s="101">
        <f t="shared" si="9"/>
        <v>0.80753275138976688</v>
      </c>
      <c r="Z22" s="101">
        <f t="shared" si="9"/>
        <v>0.80770198726565201</v>
      </c>
      <c r="AA22" s="101">
        <f t="shared" si="9"/>
        <v>0.80786581187397233</v>
      </c>
      <c r="AB22" s="101">
        <f t="shared" si="9"/>
        <v>0.81534953491835427</v>
      </c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97" t="s">
        <v>4</v>
      </c>
      <c r="BD22" s="110">
        <f>BD21/BD14</f>
        <v>0.73779626339894866</v>
      </c>
      <c r="BF22" s="4"/>
    </row>
    <row r="23" spans="1:58" x14ac:dyDescent="0.2">
      <c r="B23" s="157"/>
      <c r="BF23" s="4"/>
    </row>
    <row r="24" spans="1:58" x14ac:dyDescent="0.2">
      <c r="B24" s="157"/>
      <c r="C24" s="10" t="s">
        <v>181</v>
      </c>
      <c r="D24" s="57">
        <v>0</v>
      </c>
      <c r="E24" s="57">
        <v>0</v>
      </c>
      <c r="F24" s="57">
        <f>-'Financial Cost'!H8/1000000</f>
        <v>-10.35692167</v>
      </c>
      <c r="G24" s="57">
        <f>-'Financial Cost'!I8/1000000</f>
        <v>-9.8964761699999997</v>
      </c>
      <c r="H24" s="57">
        <f>-'Financial Cost'!J8/1000000</f>
        <v>-9.4076313999999996</v>
      </c>
      <c r="I24" s="57">
        <f>-'Financial Cost'!K8/1000000</f>
        <v>-8.8886357599999997</v>
      </c>
      <c r="J24" s="57">
        <f>-'Financial Cost'!L8/1000000</f>
        <v>-8.3376295999999996</v>
      </c>
      <c r="K24" s="57">
        <f>-'Financial Cost'!M8/1000000</f>
        <v>-7.7526385800000002</v>
      </c>
      <c r="L24" s="57">
        <f>-'Financial Cost'!N8/1000000</f>
        <v>-7.1315665999999993</v>
      </c>
      <c r="M24" s="57">
        <f>-'Financial Cost'!O8/1000000</f>
        <v>-6.4721882599999994</v>
      </c>
      <c r="N24" s="57">
        <f>-'Financial Cost'!P8/1000000</f>
        <v>-5.7721409000000001</v>
      </c>
      <c r="O24" s="57">
        <f>-'Financial Cost'!Q8/1000000</f>
        <v>-5.0289161600000005</v>
      </c>
      <c r="P24" s="57">
        <f>-'Financial Cost'!R8/1000000</f>
        <v>-4.2398509400000002</v>
      </c>
      <c r="Q24" s="57">
        <f>-'Financial Cost'!S8/1000000</f>
        <v>-3.4021178999999999</v>
      </c>
      <c r="R24" s="57">
        <f>-'Financial Cost'!T8/1000000</f>
        <v>-2.5127153199999999</v>
      </c>
      <c r="S24" s="57">
        <f>-'Financial Cost'!U8/1000000</f>
        <v>-1.56845634</v>
      </c>
      <c r="T24" s="57">
        <f>-'Financial Cost'!V8/1000000</f>
        <v>-0.56595753000000004</v>
      </c>
      <c r="U24" s="57">
        <f>-'Financial Cost'!W8/1000000</f>
        <v>0</v>
      </c>
      <c r="V24" s="57">
        <f>-'Financial Cost'!X8/1000000</f>
        <v>0</v>
      </c>
      <c r="W24" s="57">
        <f>-'Financial Cost'!Y8/1000000</f>
        <v>0</v>
      </c>
      <c r="X24" s="57">
        <f>-'Financial Cost'!Z8/1000000</f>
        <v>0</v>
      </c>
      <c r="Y24" s="57">
        <f>-'Financial Cost'!AA8/1000000</f>
        <v>0</v>
      </c>
      <c r="Z24" s="57">
        <f>-'Financial Cost'!AB8/1000000</f>
        <v>0</v>
      </c>
      <c r="AA24" s="57">
        <f>-'Financial Cost'!AC8/1000000</f>
        <v>0</v>
      </c>
      <c r="AB24" s="57">
        <f>-'Financial Cost'!AD8/1000000</f>
        <v>0</v>
      </c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 t="s">
        <v>181</v>
      </c>
      <c r="BD24" s="14">
        <f t="shared" si="3"/>
        <v>-91.333843129999977</v>
      </c>
      <c r="BE24" s="13"/>
      <c r="BF24" s="4"/>
    </row>
    <row r="25" spans="1:58" x14ac:dyDescent="0.2">
      <c r="A25" s="106">
        <v>15</v>
      </c>
      <c r="B25" s="157"/>
      <c r="C25" s="10" t="s">
        <v>179</v>
      </c>
      <c r="D25" s="57">
        <f>($D$42)/($A$25)</f>
        <v>-3.2666666666666666</v>
      </c>
      <c r="E25" s="57">
        <f t="shared" ref="E25:R25" si="10">($D$42)/($A$25)+($E$42/$A$25)</f>
        <v>-8.2133333333333329</v>
      </c>
      <c r="F25" s="57">
        <f t="shared" si="10"/>
        <v>-8.2133333333333329</v>
      </c>
      <c r="G25" s="57">
        <f t="shared" si="10"/>
        <v>-8.2133333333333329</v>
      </c>
      <c r="H25" s="57">
        <f t="shared" si="10"/>
        <v>-8.2133333333333329</v>
      </c>
      <c r="I25" s="57">
        <f t="shared" si="10"/>
        <v>-8.2133333333333329</v>
      </c>
      <c r="J25" s="57">
        <f t="shared" si="10"/>
        <v>-8.2133333333333329</v>
      </c>
      <c r="K25" s="57">
        <f t="shared" si="10"/>
        <v>-8.2133333333333329</v>
      </c>
      <c r="L25" s="57">
        <f t="shared" si="10"/>
        <v>-8.2133333333333329</v>
      </c>
      <c r="M25" s="57">
        <f t="shared" si="10"/>
        <v>-8.2133333333333329</v>
      </c>
      <c r="N25" s="57">
        <f t="shared" si="10"/>
        <v>-8.2133333333333329</v>
      </c>
      <c r="O25" s="57">
        <f t="shared" si="10"/>
        <v>-8.2133333333333329</v>
      </c>
      <c r="P25" s="57">
        <f t="shared" si="10"/>
        <v>-8.2133333333333329</v>
      </c>
      <c r="Q25" s="57">
        <f t="shared" si="10"/>
        <v>-8.2133333333333329</v>
      </c>
      <c r="R25" s="57">
        <f t="shared" si="10"/>
        <v>-8.2133333333333329</v>
      </c>
      <c r="S25" s="57">
        <f>($E$42)/($A$25)</f>
        <v>-4.9466666666666663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 t="s">
        <v>179</v>
      </c>
      <c r="BD25" s="14">
        <f t="shared" si="3"/>
        <v>-123.20000000000003</v>
      </c>
      <c r="BE25" s="13"/>
      <c r="BF25" s="4"/>
    </row>
    <row r="26" spans="1:58" x14ac:dyDescent="0.2">
      <c r="B26" s="157"/>
      <c r="C26" s="10" t="s">
        <v>141</v>
      </c>
      <c r="D26" s="57">
        <f>D21+D24+D25</f>
        <v>-74.025659721666671</v>
      </c>
      <c r="E26" s="57">
        <f t="shared" ref="E26:AB26" si="11">E21+E24+E25</f>
        <v>-115.12749797573332</v>
      </c>
      <c r="F26" s="57">
        <f t="shared" si="11"/>
        <v>31.765264422766684</v>
      </c>
      <c r="G26" s="57">
        <f t="shared" si="11"/>
        <v>37.464252544746678</v>
      </c>
      <c r="H26" s="57">
        <f t="shared" si="11"/>
        <v>43.473269556525452</v>
      </c>
      <c r="I26" s="57">
        <f t="shared" si="11"/>
        <v>46.435367449227989</v>
      </c>
      <c r="J26" s="57">
        <f t="shared" si="11"/>
        <v>49.527277726416436</v>
      </c>
      <c r="K26" s="57">
        <f t="shared" si="11"/>
        <v>52.815153230980798</v>
      </c>
      <c r="L26" s="57">
        <f t="shared" si="11"/>
        <v>56.178318892441432</v>
      </c>
      <c r="M26" s="57">
        <f t="shared" si="11"/>
        <v>59.689038686069672</v>
      </c>
      <c r="N26" s="57">
        <f t="shared" si="11"/>
        <v>63.354024300603719</v>
      </c>
      <c r="O26" s="57">
        <f t="shared" si="11"/>
        <v>67.180306067758522</v>
      </c>
      <c r="P26" s="57">
        <f t="shared" si="11"/>
        <v>71.175248878442687</v>
      </c>
      <c r="Q26" s="57">
        <f t="shared" si="11"/>
        <v>75.346568843050832</v>
      </c>
      <c r="R26" s="57">
        <f t="shared" si="11"/>
        <v>79.738632377797231</v>
      </c>
      <c r="S26" s="57">
        <f t="shared" si="11"/>
        <v>87.592582464318824</v>
      </c>
      <c r="T26" s="57">
        <f t="shared" si="11"/>
        <v>97.330743276756451</v>
      </c>
      <c r="U26" s="57">
        <f t="shared" si="11"/>
        <v>101.83749794575756</v>
      </c>
      <c r="V26" s="57">
        <f t="shared" si="11"/>
        <v>105.93616022128984</v>
      </c>
      <c r="W26" s="57">
        <f t="shared" si="11"/>
        <v>110.19899263438377</v>
      </c>
      <c r="X26" s="57">
        <f t="shared" si="11"/>
        <v>114.63255143828702</v>
      </c>
      <c r="Y26" s="57">
        <f t="shared" si="11"/>
        <v>119.2436541724758</v>
      </c>
      <c r="Z26" s="57">
        <f t="shared" si="11"/>
        <v>124.03939001767804</v>
      </c>
      <c r="AA26" s="57">
        <f t="shared" si="11"/>
        <v>129.02713063097468</v>
      </c>
      <c r="AB26" s="57">
        <f t="shared" si="11"/>
        <v>135.43127804368041</v>
      </c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 t="s">
        <v>141</v>
      </c>
      <c r="BD26" s="14">
        <f t="shared" si="3"/>
        <v>1670.2595461250303</v>
      </c>
      <c r="BE26" s="13"/>
      <c r="BF26" s="4"/>
    </row>
    <row r="27" spans="1:58" x14ac:dyDescent="0.2">
      <c r="B27" s="157"/>
      <c r="C27" s="97" t="s">
        <v>142</v>
      </c>
      <c r="D27" s="100">
        <v>0</v>
      </c>
      <c r="E27" s="100">
        <v>0</v>
      </c>
      <c r="F27" s="102">
        <f t="shared" ref="F27:AB27" si="12">F26/F14</f>
        <v>0.50987452396216437</v>
      </c>
      <c r="G27" s="102">
        <f t="shared" si="12"/>
        <v>0.54420889040208076</v>
      </c>
      <c r="H27" s="102">
        <f t="shared" si="12"/>
        <v>0.57347427491794645</v>
      </c>
      <c r="I27" s="102">
        <f t="shared" si="12"/>
        <v>0.58898900029091539</v>
      </c>
      <c r="J27" s="102">
        <f t="shared" si="12"/>
        <v>0.60404516986200618</v>
      </c>
      <c r="K27" s="102">
        <f t="shared" si="12"/>
        <v>0.61936999609905541</v>
      </c>
      <c r="L27" s="102">
        <f t="shared" si="12"/>
        <v>0.63347140969421034</v>
      </c>
      <c r="M27" s="102">
        <f t="shared" si="12"/>
        <v>0.64717171049821298</v>
      </c>
      <c r="N27" s="102">
        <f t="shared" si="12"/>
        <v>0.66048933284578348</v>
      </c>
      <c r="O27" s="102">
        <f t="shared" si="12"/>
        <v>0.67344206478703716</v>
      </c>
      <c r="P27" s="102">
        <f t="shared" si="12"/>
        <v>0.68604707488583527</v>
      </c>
      <c r="Q27" s="102">
        <f t="shared" si="12"/>
        <v>0.69832093713424137</v>
      </c>
      <c r="R27" s="102">
        <f t="shared" si="12"/>
        <v>0.71060298358743768</v>
      </c>
      <c r="S27" s="102">
        <f t="shared" si="12"/>
        <v>0.75057178616391185</v>
      </c>
      <c r="T27" s="102">
        <f t="shared" si="12"/>
        <v>0.80193949970740674</v>
      </c>
      <c r="U27" s="102">
        <f t="shared" si="12"/>
        <v>0.80680010601599572</v>
      </c>
      <c r="V27" s="102">
        <f t="shared" si="12"/>
        <v>0.80699178575909203</v>
      </c>
      <c r="W27" s="102">
        <f t="shared" si="12"/>
        <v>0.80717773135462456</v>
      </c>
      <c r="X27" s="102">
        <f t="shared" si="12"/>
        <v>0.80735802602133222</v>
      </c>
      <c r="Y27" s="102">
        <f t="shared" si="12"/>
        <v>0.80753275138976688</v>
      </c>
      <c r="Z27" s="102">
        <f t="shared" si="12"/>
        <v>0.80770198726565201</v>
      </c>
      <c r="AA27" s="102">
        <f t="shared" si="12"/>
        <v>0.80786581187397233</v>
      </c>
      <c r="AB27" s="102">
        <f t="shared" si="12"/>
        <v>0.81534953491835427</v>
      </c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97" t="s">
        <v>142</v>
      </c>
      <c r="BD27" s="110">
        <f>BD26/BD14</f>
        <v>0.65381768583374844</v>
      </c>
      <c r="BE27" s="13"/>
      <c r="BF27" s="4"/>
    </row>
    <row r="28" spans="1:58" x14ac:dyDescent="0.2">
      <c r="B28" s="157"/>
      <c r="D28" s="50"/>
      <c r="E28" s="50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BD28" s="50"/>
      <c r="BE28" s="13"/>
      <c r="BF28" s="4"/>
    </row>
    <row r="29" spans="1:58" x14ac:dyDescent="0.2">
      <c r="A29" s="105">
        <v>0.05</v>
      </c>
      <c r="B29" s="157"/>
      <c r="C29" s="10" t="s">
        <v>180</v>
      </c>
      <c r="D29" s="70">
        <v>0</v>
      </c>
      <c r="E29" s="70">
        <v>0</v>
      </c>
      <c r="F29" s="70">
        <f>-F14*$A$29</f>
        <v>-3.1150080000000013</v>
      </c>
      <c r="G29" s="70">
        <f t="shared" ref="G29:AB29" si="13">-G14*$A$29</f>
        <v>-3.4420838400000009</v>
      </c>
      <c r="H29" s="70">
        <f t="shared" si="13"/>
        <v>-3.7903417344000019</v>
      </c>
      <c r="I29" s="70">
        <f t="shared" si="13"/>
        <v>-3.9419554037760025</v>
      </c>
      <c r="J29" s="70">
        <f t="shared" si="13"/>
        <v>-4.0996336199270429</v>
      </c>
      <c r="K29" s="70">
        <f t="shared" si="13"/>
        <v>-4.2636189647241247</v>
      </c>
      <c r="L29" s="70">
        <f t="shared" si="13"/>
        <v>-4.4341637233130902</v>
      </c>
      <c r="M29" s="70">
        <f t="shared" si="13"/>
        <v>-4.6115302722456137</v>
      </c>
      <c r="N29" s="70">
        <f t="shared" si="13"/>
        <v>-4.7959914831354391</v>
      </c>
      <c r="O29" s="70">
        <f t="shared" si="13"/>
        <v>-4.9878311424608572</v>
      </c>
      <c r="P29" s="70">
        <f t="shared" si="13"/>
        <v>-5.1873443881592909</v>
      </c>
      <c r="Q29" s="70">
        <f t="shared" si="13"/>
        <v>-5.3948381636856624</v>
      </c>
      <c r="R29" s="70">
        <f t="shared" si="13"/>
        <v>-5.6106316902330891</v>
      </c>
      <c r="S29" s="70">
        <f t="shared" si="13"/>
        <v>-5.8350569578424132</v>
      </c>
      <c r="T29" s="70">
        <f t="shared" si="13"/>
        <v>-6.0684592361561105</v>
      </c>
      <c r="U29" s="70">
        <f t="shared" si="13"/>
        <v>-6.3111976056023549</v>
      </c>
      <c r="V29" s="70">
        <f t="shared" si="13"/>
        <v>-6.5636455098264497</v>
      </c>
      <c r="W29" s="70">
        <f t="shared" si="13"/>
        <v>-6.8261913302195074</v>
      </c>
      <c r="X29" s="70">
        <f t="shared" si="13"/>
        <v>-7.0992389834282879</v>
      </c>
      <c r="Y29" s="70">
        <f t="shared" si="13"/>
        <v>-7.3832085427654199</v>
      </c>
      <c r="Z29" s="70">
        <f t="shared" si="13"/>
        <v>-7.6785368844760358</v>
      </c>
      <c r="AA29" s="70">
        <f t="shared" si="13"/>
        <v>-7.9856783598550782</v>
      </c>
      <c r="AB29" s="70">
        <f t="shared" si="13"/>
        <v>-8.3051054942492808</v>
      </c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10" t="s">
        <v>180</v>
      </c>
      <c r="BD29" s="12">
        <f t="shared" si="3"/>
        <v>-127.73129133048113</v>
      </c>
      <c r="BE29" s="13"/>
      <c r="BF29" s="4"/>
    </row>
    <row r="30" spans="1:58" x14ac:dyDescent="0.2">
      <c r="B30" s="157"/>
      <c r="C30" s="10" t="s">
        <v>182</v>
      </c>
      <c r="D30" s="70">
        <v>0</v>
      </c>
      <c r="E30" s="70">
        <v>0</v>
      </c>
      <c r="F30" s="70">
        <f>-'Financial Cost'!H9/1000000</f>
        <v>-7.4653345399999997</v>
      </c>
      <c r="G30" s="70">
        <f>-'Financial Cost'!I9/1000000</f>
        <v>-7.9257800300000003</v>
      </c>
      <c r="H30" s="70">
        <f>-'Financial Cost'!J9/1000000</f>
        <v>-8.4146248000000003</v>
      </c>
      <c r="I30" s="70">
        <f>-'Financial Cost'!K9/1000000</f>
        <v>-8.9336204499999994</v>
      </c>
      <c r="J30" s="70">
        <f>-'Financial Cost'!L9/1000000</f>
        <v>-9.4846266099999994</v>
      </c>
      <c r="K30" s="70">
        <f>-'Financial Cost'!M9/1000000</f>
        <v>-10.069617630000002</v>
      </c>
      <c r="L30" s="70">
        <f>-'Financial Cost'!N9/1000000</f>
        <v>-10.69068961</v>
      </c>
      <c r="M30" s="70">
        <f>-'Financial Cost'!O9/1000000</f>
        <v>-11.35006795</v>
      </c>
      <c r="N30" s="70">
        <f>-'Financial Cost'!P9/1000000</f>
        <v>-12.050115310000001</v>
      </c>
      <c r="O30" s="70">
        <f>-'Financial Cost'!Q9/1000000</f>
        <v>-12.793340050000001</v>
      </c>
      <c r="P30" s="70">
        <f>-'Financial Cost'!R9/1000000</f>
        <v>-13.582405269999999</v>
      </c>
      <c r="Q30" s="70">
        <f>-'Financial Cost'!S9/1000000</f>
        <v>-14.42013831</v>
      </c>
      <c r="R30" s="70">
        <f>-'Financial Cost'!T9/1000000</f>
        <v>-15.309540890000001</v>
      </c>
      <c r="S30" s="70">
        <f>-'Financial Cost'!U9/1000000</f>
        <v>-16.253799869999998</v>
      </c>
      <c r="T30" s="70">
        <f>-'Financial Cost'!V9/1000000</f>
        <v>-17.25629868</v>
      </c>
      <c r="U30" s="70">
        <f>-'Financial Cost'!W9/1000000</f>
        <v>0</v>
      </c>
      <c r="V30" s="70">
        <f>-'Financial Cost'!X9/1000000</f>
        <v>0</v>
      </c>
      <c r="W30" s="70">
        <f>-'Financial Cost'!Y9/1000000</f>
        <v>0</v>
      </c>
      <c r="X30" s="70">
        <f>-'Financial Cost'!Z9/1000000</f>
        <v>0</v>
      </c>
      <c r="Y30" s="70">
        <f>-'Financial Cost'!AA9/1000000</f>
        <v>0</v>
      </c>
      <c r="Z30" s="70">
        <f>-'Financial Cost'!AB9/1000000</f>
        <v>0</v>
      </c>
      <c r="AA30" s="70">
        <f>-'Financial Cost'!AC9/1000000</f>
        <v>0</v>
      </c>
      <c r="AB30" s="70">
        <f>-'Financial Cost'!AD9/1000000</f>
        <v>0</v>
      </c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10" t="s">
        <v>182</v>
      </c>
      <c r="BD30" s="12">
        <f t="shared" si="3"/>
        <v>-176</v>
      </c>
      <c r="BE30" s="13"/>
      <c r="BF30" s="4"/>
    </row>
    <row r="31" spans="1:58" x14ac:dyDescent="0.2">
      <c r="B31" s="157"/>
      <c r="C31" s="10" t="s">
        <v>183</v>
      </c>
      <c r="D31" s="95">
        <f t="shared" ref="D31:E31" si="14">D26+D29+D30</f>
        <v>-74.025659721666671</v>
      </c>
      <c r="E31" s="95">
        <f t="shared" si="14"/>
        <v>-115.12749797573332</v>
      </c>
      <c r="F31" s="95">
        <f>F26+F29+F30</f>
        <v>21.18492188276668</v>
      </c>
      <c r="G31" s="95">
        <f>G26+G29+G30</f>
        <v>26.096388674746677</v>
      </c>
      <c r="H31" s="95">
        <f t="shared" ref="H31:AB31" si="15">H26+H29+H30</f>
        <v>31.268303022125451</v>
      </c>
      <c r="I31" s="95">
        <f t="shared" si="15"/>
        <v>33.559791595451991</v>
      </c>
      <c r="J31" s="95">
        <f t="shared" si="15"/>
        <v>35.943017496489396</v>
      </c>
      <c r="K31" s="95">
        <f t="shared" si="15"/>
        <v>38.48191663625667</v>
      </c>
      <c r="L31" s="95">
        <f t="shared" si="15"/>
        <v>41.053465559128341</v>
      </c>
      <c r="M31" s="95">
        <f t="shared" si="15"/>
        <v>43.727440463824053</v>
      </c>
      <c r="N31" s="95">
        <f t="shared" si="15"/>
        <v>46.507917507468278</v>
      </c>
      <c r="O31" s="95">
        <f t="shared" si="15"/>
        <v>49.399134875297662</v>
      </c>
      <c r="P31" s="95">
        <f t="shared" si="15"/>
        <v>52.405499220283403</v>
      </c>
      <c r="Q31" s="95">
        <f t="shared" si="15"/>
        <v>55.531592369365171</v>
      </c>
      <c r="R31" s="95">
        <f t="shared" si="15"/>
        <v>58.818459797564138</v>
      </c>
      <c r="S31" s="95">
        <f t="shared" si="15"/>
        <v>65.503725636476418</v>
      </c>
      <c r="T31" s="95">
        <f t="shared" si="15"/>
        <v>74.005985360600334</v>
      </c>
      <c r="U31" s="95">
        <f t="shared" si="15"/>
        <v>95.526300340155203</v>
      </c>
      <c r="V31" s="95">
        <f t="shared" si="15"/>
        <v>99.372514711463396</v>
      </c>
      <c r="W31" s="95">
        <f t="shared" si="15"/>
        <v>103.37280130416427</v>
      </c>
      <c r="X31" s="95">
        <f t="shared" si="15"/>
        <v>107.53331245485873</v>
      </c>
      <c r="Y31" s="95">
        <f t="shared" si="15"/>
        <v>111.86044562971038</v>
      </c>
      <c r="Z31" s="95">
        <f t="shared" si="15"/>
        <v>116.36085313320201</v>
      </c>
      <c r="AA31" s="95">
        <f t="shared" si="15"/>
        <v>121.04145227111961</v>
      </c>
      <c r="AB31" s="95">
        <f t="shared" si="15"/>
        <v>127.12617254943113</v>
      </c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10" t="s">
        <v>183</v>
      </c>
      <c r="BD31" s="120">
        <f t="shared" si="3"/>
        <v>1366.5282547945494</v>
      </c>
      <c r="BE31" s="13"/>
      <c r="BF31" s="4"/>
    </row>
    <row r="32" spans="1:58" x14ac:dyDescent="0.2">
      <c r="B32" s="157"/>
      <c r="C32" s="97" t="s">
        <v>186</v>
      </c>
      <c r="D32" s="100">
        <v>0</v>
      </c>
      <c r="E32" s="100">
        <v>0</v>
      </c>
      <c r="F32" s="102">
        <f t="shared" ref="F32:Q32" si="16">F31/F14</f>
        <v>0.34004602689249391</v>
      </c>
      <c r="G32" s="102">
        <f t="shared" si="16"/>
        <v>0.37907834160638387</v>
      </c>
      <c r="H32" s="102">
        <f t="shared" si="16"/>
        <v>0.41247340231018925</v>
      </c>
      <c r="I32" s="102">
        <f t="shared" si="16"/>
        <v>0.42567441989963967</v>
      </c>
      <c r="J32" s="102">
        <f t="shared" si="16"/>
        <v>0.43836865472296821</v>
      </c>
      <c r="K32" s="102">
        <f t="shared" si="16"/>
        <v>0.45128231385876932</v>
      </c>
      <c r="L32" s="102">
        <f t="shared" si="16"/>
        <v>0.4629223019358234</v>
      </c>
      <c r="M32" s="102">
        <f t="shared" si="16"/>
        <v>0.47410987115271286</v>
      </c>
      <c r="N32" s="102">
        <f t="shared" si="16"/>
        <v>0.48486238633875922</v>
      </c>
      <c r="O32" s="102">
        <f t="shared" si="16"/>
        <v>0.49519654399252083</v>
      </c>
      <c r="P32" s="102">
        <f t="shared" si="16"/>
        <v>0.50512839806727483</v>
      </c>
      <c r="Q32" s="102">
        <f t="shared" si="16"/>
        <v>0.51467338485856384</v>
      </c>
      <c r="R32" s="102">
        <f t="shared" ref="R32:AB32" si="17">R31/R14</f>
        <v>0.52416967504705847</v>
      </c>
      <c r="S32" s="102">
        <f t="shared" si="17"/>
        <v>0.56129465495995146</v>
      </c>
      <c r="T32" s="102">
        <f t="shared" si="17"/>
        <v>0.60975926903875266</v>
      </c>
      <c r="U32" s="102">
        <f t="shared" si="17"/>
        <v>0.75680010601599568</v>
      </c>
      <c r="V32" s="102">
        <f t="shared" si="17"/>
        <v>0.75699178575909198</v>
      </c>
      <c r="W32" s="102">
        <f t="shared" si="17"/>
        <v>0.75717773135462463</v>
      </c>
      <c r="X32" s="102">
        <f t="shared" si="17"/>
        <v>0.75735802602133218</v>
      </c>
      <c r="Y32" s="102">
        <f t="shared" si="17"/>
        <v>0.75753275138976683</v>
      </c>
      <c r="Z32" s="102">
        <f t="shared" si="17"/>
        <v>0.75770198726565208</v>
      </c>
      <c r="AA32" s="102">
        <f t="shared" si="17"/>
        <v>0.75786581187397239</v>
      </c>
      <c r="AB32" s="102">
        <f t="shared" si="17"/>
        <v>0.76534953491835434</v>
      </c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97" t="s">
        <v>186</v>
      </c>
      <c r="BD32" s="110">
        <f>BD31/BD14</f>
        <v>0.53492305626931691</v>
      </c>
      <c r="BE32" s="13"/>
      <c r="BF32" s="4"/>
    </row>
    <row r="33" spans="2:58" x14ac:dyDescent="0.2">
      <c r="B33" s="157"/>
      <c r="BF33" s="4"/>
    </row>
    <row r="34" spans="2:58" x14ac:dyDescent="0.2">
      <c r="B34" s="157"/>
      <c r="C34" s="10" t="s">
        <v>184</v>
      </c>
      <c r="D34" s="57">
        <f t="shared" ref="D34:E34" si="18">D31-D25</f>
        <v>-70.758993055000005</v>
      </c>
      <c r="E34" s="57">
        <f t="shared" si="18"/>
        <v>-106.91416464239998</v>
      </c>
      <c r="F34" s="57">
        <f>F31-F25</f>
        <v>29.398255216100011</v>
      </c>
      <c r="G34" s="57">
        <f t="shared" ref="G34:AB34" si="19">G31-G25</f>
        <v>34.309722008080008</v>
      </c>
      <c r="H34" s="57">
        <f t="shared" si="19"/>
        <v>39.481636355458782</v>
      </c>
      <c r="I34" s="57">
        <f t="shared" si="19"/>
        <v>41.773124928785322</v>
      </c>
      <c r="J34" s="57">
        <f t="shared" si="19"/>
        <v>44.156350829822728</v>
      </c>
      <c r="K34" s="57">
        <f t="shared" si="19"/>
        <v>46.695249969590002</v>
      </c>
      <c r="L34" s="57">
        <f t="shared" si="19"/>
        <v>49.266798892461672</v>
      </c>
      <c r="M34" s="57">
        <f t="shared" si="19"/>
        <v>51.940773797157384</v>
      </c>
      <c r="N34" s="57">
        <f t="shared" si="19"/>
        <v>54.721250840801609</v>
      </c>
      <c r="O34" s="57">
        <f t="shared" si="19"/>
        <v>57.612468208630993</v>
      </c>
      <c r="P34" s="57">
        <f t="shared" si="19"/>
        <v>60.618832553616734</v>
      </c>
      <c r="Q34" s="57">
        <f t="shared" si="19"/>
        <v>63.744925702698502</v>
      </c>
      <c r="R34" s="57">
        <f t="shared" si="19"/>
        <v>67.031793130897469</v>
      </c>
      <c r="S34" s="57">
        <f t="shared" si="19"/>
        <v>70.45039230314309</v>
      </c>
      <c r="T34" s="57">
        <f t="shared" si="19"/>
        <v>74.005985360600334</v>
      </c>
      <c r="U34" s="57">
        <f t="shared" si="19"/>
        <v>95.526300340155203</v>
      </c>
      <c r="V34" s="57">
        <f t="shared" si="19"/>
        <v>99.372514711463396</v>
      </c>
      <c r="W34" s="57">
        <f t="shared" si="19"/>
        <v>103.37280130416427</v>
      </c>
      <c r="X34" s="57">
        <f t="shared" si="19"/>
        <v>107.53331245485873</v>
      </c>
      <c r="Y34" s="57">
        <f t="shared" si="19"/>
        <v>111.86044562971038</v>
      </c>
      <c r="Z34" s="57">
        <f t="shared" si="19"/>
        <v>116.36085313320201</v>
      </c>
      <c r="AA34" s="57">
        <f t="shared" si="19"/>
        <v>121.04145227111961</v>
      </c>
      <c r="AB34" s="57">
        <f t="shared" si="19"/>
        <v>127.12617254943113</v>
      </c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10" t="s">
        <v>184</v>
      </c>
      <c r="BD34" s="14">
        <f t="shared" si="3"/>
        <v>1489.7282547945495</v>
      </c>
      <c r="BF34" s="4"/>
    </row>
    <row r="35" spans="2:58" x14ac:dyDescent="0.2">
      <c r="B35" s="157"/>
      <c r="C35" s="97" t="s">
        <v>187</v>
      </c>
      <c r="D35" s="100">
        <v>0</v>
      </c>
      <c r="E35" s="100">
        <v>0</v>
      </c>
      <c r="F35" s="100">
        <f>F34/F14</f>
        <v>0.47188089430428432</v>
      </c>
      <c r="G35" s="100">
        <f t="shared" ref="G35:AB35" si="20">G34/G14</f>
        <v>0.49838591392474624</v>
      </c>
      <c r="H35" s="100">
        <f t="shared" si="20"/>
        <v>0.52081895409502688</v>
      </c>
      <c r="I35" s="100">
        <f t="shared" si="20"/>
        <v>0.52985283507736813</v>
      </c>
      <c r="J35" s="100">
        <f t="shared" si="20"/>
        <v>0.53854020777847633</v>
      </c>
      <c r="K35" s="100">
        <f t="shared" si="20"/>
        <v>0.54760111487368102</v>
      </c>
      <c r="L35" s="100">
        <f t="shared" si="20"/>
        <v>0.55553653368093081</v>
      </c>
      <c r="M35" s="100">
        <f t="shared" si="20"/>
        <v>0.56316201706146995</v>
      </c>
      <c r="N35" s="100">
        <f t="shared" si="20"/>
        <v>0.5704894497125641</v>
      </c>
      <c r="O35" s="100">
        <f t="shared" si="20"/>
        <v>0.57753025877502551</v>
      </c>
      <c r="P35" s="100">
        <f t="shared" si="20"/>
        <v>0.58429543151199081</v>
      </c>
      <c r="Q35" s="100">
        <f t="shared" si="20"/>
        <v>0.59079553240156002</v>
      </c>
      <c r="R35" s="100">
        <f t="shared" si="20"/>
        <v>0.59736404768455487</v>
      </c>
      <c r="S35" s="100">
        <f t="shared" si="20"/>
        <v>0.60368213037283724</v>
      </c>
      <c r="T35" s="100">
        <f t="shared" si="20"/>
        <v>0.60975926903875266</v>
      </c>
      <c r="U35" s="100">
        <f t="shared" si="20"/>
        <v>0.75680010601599568</v>
      </c>
      <c r="V35" s="100">
        <f t="shared" si="20"/>
        <v>0.75699178575909198</v>
      </c>
      <c r="W35" s="100">
        <f t="shared" si="20"/>
        <v>0.75717773135462463</v>
      </c>
      <c r="X35" s="100">
        <f t="shared" si="20"/>
        <v>0.75735802602133218</v>
      </c>
      <c r="Y35" s="100">
        <f t="shared" si="20"/>
        <v>0.75753275138976683</v>
      </c>
      <c r="Z35" s="100">
        <f t="shared" si="20"/>
        <v>0.75770198726565208</v>
      </c>
      <c r="AA35" s="100">
        <f t="shared" si="20"/>
        <v>0.75786581187397239</v>
      </c>
      <c r="AB35" s="100">
        <f t="shared" si="20"/>
        <v>0.76534953491835434</v>
      </c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97" t="s">
        <v>187</v>
      </c>
      <c r="BD35" s="110">
        <f>BD34/BD14</f>
        <v>0.58314929696441908</v>
      </c>
      <c r="BF35" s="4"/>
    </row>
    <row r="36" spans="2:58" x14ac:dyDescent="0.2">
      <c r="B36" s="157"/>
      <c r="BF36" s="4"/>
    </row>
    <row r="37" spans="2:58" x14ac:dyDescent="0.2">
      <c r="B37" s="157"/>
      <c r="C37" s="10" t="s">
        <v>61</v>
      </c>
      <c r="D37" s="87">
        <f>35154883.5456/1000000</f>
        <v>35.154883545599994</v>
      </c>
      <c r="E37" s="87">
        <f>D37*1.04</f>
        <v>36.561078887423996</v>
      </c>
      <c r="F37" s="87">
        <f t="shared" ref="F37:AB37" si="21">E37*1.04</f>
        <v>38.023522042920959</v>
      </c>
      <c r="G37" s="87">
        <f t="shared" si="21"/>
        <v>39.544462924637799</v>
      </c>
      <c r="H37" s="87">
        <f t="shared" si="21"/>
        <v>41.126241441623314</v>
      </c>
      <c r="I37" s="87">
        <f t="shared" si="21"/>
        <v>42.771291099288248</v>
      </c>
      <c r="J37" s="87">
        <f t="shared" si="21"/>
        <v>44.482142743259779</v>
      </c>
      <c r="K37" s="87">
        <f t="shared" si="21"/>
        <v>46.261428452990174</v>
      </c>
      <c r="L37" s="87">
        <f t="shared" si="21"/>
        <v>48.111885591109782</v>
      </c>
      <c r="M37" s="87">
        <f t="shared" si="21"/>
        <v>50.036361014754178</v>
      </c>
      <c r="N37" s="87">
        <f t="shared" si="21"/>
        <v>52.037815455344344</v>
      </c>
      <c r="O37" s="87">
        <f t="shared" si="21"/>
        <v>54.119328073558123</v>
      </c>
      <c r="P37" s="87">
        <f t="shared" si="21"/>
        <v>56.284101196500451</v>
      </c>
      <c r="Q37" s="87">
        <f t="shared" si="21"/>
        <v>58.535465244360473</v>
      </c>
      <c r="R37" s="87">
        <f t="shared" si="21"/>
        <v>60.876883854134896</v>
      </c>
      <c r="S37" s="87">
        <f t="shared" si="21"/>
        <v>63.311959208300294</v>
      </c>
      <c r="T37" s="87">
        <f t="shared" si="21"/>
        <v>65.844437576632302</v>
      </c>
      <c r="U37" s="87">
        <f t="shared" si="21"/>
        <v>68.478215079697591</v>
      </c>
      <c r="V37" s="87">
        <f t="shared" si="21"/>
        <v>71.217343682885499</v>
      </c>
      <c r="W37" s="87">
        <f t="shared" si="21"/>
        <v>74.066037430200922</v>
      </c>
      <c r="X37" s="87">
        <f t="shared" si="21"/>
        <v>77.028678927408961</v>
      </c>
      <c r="Y37" s="87">
        <f t="shared" si="21"/>
        <v>80.109826084505329</v>
      </c>
      <c r="Z37" s="87">
        <f t="shared" si="21"/>
        <v>83.314219127885551</v>
      </c>
      <c r="AA37" s="87">
        <f t="shared" si="21"/>
        <v>86.646787893000976</v>
      </c>
      <c r="AB37" s="87">
        <f t="shared" si="21"/>
        <v>90.112659408721015</v>
      </c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 t="s">
        <v>61</v>
      </c>
      <c r="BD37" s="121">
        <f t="shared" si="3"/>
        <v>1464.0570559867451</v>
      </c>
      <c r="BF37" s="4"/>
    </row>
    <row r="38" spans="2:58" x14ac:dyDescent="0.2">
      <c r="B38" s="157"/>
      <c r="C38" s="97" t="s">
        <v>205</v>
      </c>
      <c r="D38" s="100">
        <v>0</v>
      </c>
      <c r="E38" s="100">
        <v>0</v>
      </c>
      <c r="F38" s="100">
        <f>F13/F37</f>
        <v>0.30297035574443171</v>
      </c>
      <c r="G38" s="100">
        <f t="shared" ref="G38:Q38" si="22">G13/G37</f>
        <v>0.30952500286390255</v>
      </c>
      <c r="H38" s="100">
        <f t="shared" si="22"/>
        <v>0.31512726535917679</v>
      </c>
      <c r="I38" s="100">
        <f t="shared" si="22"/>
        <v>0.30300698592228537</v>
      </c>
      <c r="J38" s="100">
        <f t="shared" si="22"/>
        <v>0.2913528710791205</v>
      </c>
      <c r="K38" s="100">
        <f t="shared" si="22"/>
        <v>0.28014699142223126</v>
      </c>
      <c r="L38" s="100">
        <f t="shared" si="22"/>
        <v>0.2693721071367608</v>
      </c>
      <c r="M38" s="100">
        <f t="shared" si="22"/>
        <v>0.2590116414776546</v>
      </c>
      <c r="N38" s="100">
        <f t="shared" si="22"/>
        <v>0.24904965526697559</v>
      </c>
      <c r="O38" s="100">
        <f t="shared" si="22"/>
        <v>0.23947082237209188</v>
      </c>
      <c r="P38" s="100">
        <f t="shared" si="22"/>
        <v>0.2302604061270114</v>
      </c>
      <c r="Q38" s="100">
        <f t="shared" si="22"/>
        <v>0.22140423666058787</v>
      </c>
      <c r="R38" s="100">
        <f>R13/R37</f>
        <v>0.2128886890967191</v>
      </c>
      <c r="S38" s="100">
        <f t="shared" ref="S38:AB38" si="23">S13/S37</f>
        <v>0.20470066259299913</v>
      </c>
      <c r="T38" s="100">
        <f t="shared" si="23"/>
        <v>0.19682756018557609</v>
      </c>
      <c r="U38" s="100">
        <f t="shared" si="23"/>
        <v>0.18925726940920778</v>
      </c>
      <c r="V38" s="100">
        <f t="shared" si="23"/>
        <v>0.18197814366269979</v>
      </c>
      <c r="W38" s="100">
        <f t="shared" si="23"/>
        <v>0.17497898429105749</v>
      </c>
      <c r="X38" s="100">
        <f t="shared" si="23"/>
        <v>0.16824902335678604</v>
      </c>
      <c r="Y38" s="100">
        <f t="shared" si="23"/>
        <v>0.16177790707383272</v>
      </c>
      <c r="Z38" s="100">
        <f t="shared" si="23"/>
        <v>0.15555567987868529</v>
      </c>
      <c r="AA38" s="100">
        <f t="shared" si="23"/>
        <v>0.14957276911412046</v>
      </c>
      <c r="AB38" s="100">
        <f t="shared" si="23"/>
        <v>0.14381997030203891</v>
      </c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97" t="s">
        <v>205</v>
      </c>
      <c r="BD38" s="110">
        <f>BD13/BD37</f>
        <v>0.20212327025776727</v>
      </c>
      <c r="BF38" s="4"/>
    </row>
    <row r="39" spans="2:58" x14ac:dyDescent="0.2">
      <c r="B39" s="9"/>
      <c r="D39" s="77">
        <f>MAX(D38:BA38)</f>
        <v>0.31512726535917679</v>
      </c>
      <c r="BF39" s="4"/>
    </row>
    <row r="40" spans="2:58" x14ac:dyDescent="0.2">
      <c r="B40" s="9"/>
      <c r="D40" s="77"/>
      <c r="BF40" s="4"/>
    </row>
    <row r="41" spans="2:58" x14ac:dyDescent="0.2">
      <c r="B41" s="9"/>
      <c r="C41" s="29" t="s">
        <v>174</v>
      </c>
      <c r="D41" s="30">
        <v>-70</v>
      </c>
      <c r="E41" s="30">
        <v>-106</v>
      </c>
      <c r="F41" s="30">
        <v>0</v>
      </c>
      <c r="G41" s="30">
        <v>0</v>
      </c>
      <c r="H41" s="30">
        <v>0</v>
      </c>
      <c r="I41" s="30"/>
      <c r="J41" s="30"/>
      <c r="K41" s="30"/>
      <c r="L41" s="30"/>
      <c r="M41" s="30"/>
      <c r="BF41" s="4"/>
    </row>
    <row r="42" spans="2:58" x14ac:dyDescent="0.2">
      <c r="B42" s="92">
        <v>0.7</v>
      </c>
      <c r="C42" s="93" t="s">
        <v>172</v>
      </c>
      <c r="D42" s="94">
        <f>$B42*D$41</f>
        <v>-49</v>
      </c>
      <c r="E42" s="94">
        <f>$B42*E$41</f>
        <v>-74.199999999999989</v>
      </c>
      <c r="F42" s="94">
        <f t="shared" ref="F42:H43" si="24">$B42*F$41</f>
        <v>0</v>
      </c>
      <c r="G42" s="94">
        <f t="shared" si="24"/>
        <v>0</v>
      </c>
      <c r="H42" s="94">
        <f t="shared" si="24"/>
        <v>0</v>
      </c>
      <c r="I42" s="30"/>
      <c r="J42" s="30"/>
      <c r="K42" s="30"/>
      <c r="L42" s="30"/>
      <c r="M42" s="30"/>
      <c r="BF42" s="4"/>
    </row>
    <row r="43" spans="2:58" x14ac:dyDescent="0.2">
      <c r="B43" s="92">
        <v>0.3</v>
      </c>
      <c r="C43" s="93" t="s">
        <v>173</v>
      </c>
      <c r="D43" s="94">
        <f>$B43*D$41</f>
        <v>-21</v>
      </c>
      <c r="E43" s="94">
        <f>$B43*E$41</f>
        <v>-31.799999999999997</v>
      </c>
      <c r="F43" s="94">
        <f t="shared" si="24"/>
        <v>0</v>
      </c>
      <c r="G43" s="94">
        <f t="shared" si="24"/>
        <v>0</v>
      </c>
      <c r="H43" s="94">
        <f t="shared" si="24"/>
        <v>0</v>
      </c>
      <c r="I43" s="30"/>
      <c r="J43" s="30"/>
      <c r="K43" s="30"/>
      <c r="L43" s="30"/>
      <c r="M43" s="30"/>
      <c r="BF43" s="4"/>
    </row>
    <row r="44" spans="2:58" x14ac:dyDescent="0.2">
      <c r="B44" s="36" t="s">
        <v>39</v>
      </c>
      <c r="C44" s="37">
        <f>SUM(D41:H41)</f>
        <v>-176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BF44" s="4"/>
    </row>
    <row r="45" spans="2:58" x14ac:dyDescent="0.2">
      <c r="B45" s="9"/>
      <c r="BF45" s="4"/>
    </row>
    <row r="46" spans="2:58" x14ac:dyDescent="0.2">
      <c r="B46" s="9"/>
      <c r="C46" s="29" t="s">
        <v>154</v>
      </c>
      <c r="D46" s="30">
        <f>D47*$C47</f>
        <v>0</v>
      </c>
      <c r="E46" s="30">
        <f t="shared" ref="E46:I46" si="25">E47*$C47</f>
        <v>0</v>
      </c>
      <c r="F46" s="30">
        <f t="shared" si="25"/>
        <v>0</v>
      </c>
      <c r="G46" s="30">
        <f t="shared" si="25"/>
        <v>0</v>
      </c>
      <c r="H46" s="30">
        <f t="shared" si="25"/>
        <v>0</v>
      </c>
      <c r="I46" s="30">
        <f t="shared" si="25"/>
        <v>0</v>
      </c>
      <c r="BF46" s="4"/>
    </row>
    <row r="47" spans="2:58" x14ac:dyDescent="0.2">
      <c r="B47" s="36" t="s">
        <v>191</v>
      </c>
      <c r="C47" s="81">
        <f>- SUMMARY!K5</f>
        <v>0</v>
      </c>
      <c r="D47" s="82">
        <v>0.2</v>
      </c>
      <c r="E47" s="82">
        <v>0.2</v>
      </c>
      <c r="F47" s="82">
        <v>0.2</v>
      </c>
      <c r="G47" s="82">
        <v>0.2</v>
      </c>
      <c r="H47" s="85">
        <v>0.2</v>
      </c>
      <c r="I47" s="78">
        <v>0</v>
      </c>
      <c r="J47" s="78"/>
      <c r="BF47" s="4"/>
    </row>
    <row r="48" spans="2:58" x14ac:dyDescent="0.2">
      <c r="B48" s="9"/>
      <c r="D48" s="77">
        <f>IF(D46&lt;0,1,0)</f>
        <v>0</v>
      </c>
      <c r="E48" s="77">
        <f t="shared" ref="E48:AB48" si="26">IF(E46&lt;0,1,0)</f>
        <v>0</v>
      </c>
      <c r="F48" s="77">
        <f t="shared" si="26"/>
        <v>0</v>
      </c>
      <c r="G48" s="77">
        <f t="shared" si="26"/>
        <v>0</v>
      </c>
      <c r="H48" s="77">
        <f t="shared" si="26"/>
        <v>0</v>
      </c>
      <c r="I48" s="77">
        <f t="shared" si="26"/>
        <v>0</v>
      </c>
      <c r="J48" s="77">
        <f t="shared" si="26"/>
        <v>0</v>
      </c>
      <c r="K48" s="77">
        <f t="shared" si="26"/>
        <v>0</v>
      </c>
      <c r="L48" s="77">
        <f t="shared" si="26"/>
        <v>0</v>
      </c>
      <c r="M48" s="77">
        <f t="shared" si="26"/>
        <v>0</v>
      </c>
      <c r="N48" s="77">
        <f t="shared" si="26"/>
        <v>0</v>
      </c>
      <c r="O48" s="77">
        <f t="shared" si="26"/>
        <v>0</v>
      </c>
      <c r="P48" s="77">
        <f t="shared" si="26"/>
        <v>0</v>
      </c>
      <c r="Q48" s="77">
        <f t="shared" si="26"/>
        <v>0</v>
      </c>
      <c r="R48" s="77">
        <f t="shared" si="26"/>
        <v>0</v>
      </c>
      <c r="S48" s="77">
        <f t="shared" si="26"/>
        <v>0</v>
      </c>
      <c r="T48" s="77">
        <f t="shared" si="26"/>
        <v>0</v>
      </c>
      <c r="U48" s="77">
        <f t="shared" si="26"/>
        <v>0</v>
      </c>
      <c r="V48" s="77">
        <f t="shared" si="26"/>
        <v>0</v>
      </c>
      <c r="W48" s="77">
        <f t="shared" si="26"/>
        <v>0</v>
      </c>
      <c r="X48" s="77">
        <f t="shared" si="26"/>
        <v>0</v>
      </c>
      <c r="Y48" s="77">
        <f t="shared" si="26"/>
        <v>0</v>
      </c>
      <c r="Z48" s="77">
        <f t="shared" si="26"/>
        <v>0</v>
      </c>
      <c r="AA48" s="77">
        <f t="shared" si="26"/>
        <v>0</v>
      </c>
      <c r="AB48" s="77">
        <f t="shared" si="26"/>
        <v>0</v>
      </c>
      <c r="BF48" s="4"/>
    </row>
    <row r="49" spans="2:58" x14ac:dyDescent="0.2">
      <c r="B49" s="9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BF49" s="4"/>
    </row>
    <row r="50" spans="2:58" x14ac:dyDescent="0.2">
      <c r="B50" s="9"/>
      <c r="C50" s="3" t="s">
        <v>188</v>
      </c>
      <c r="D50" s="30">
        <f t="shared" ref="D50:M50" si="27">D34+D46</f>
        <v>-70.758993055000005</v>
      </c>
      <c r="E50" s="30">
        <f t="shared" si="27"/>
        <v>-106.91416464239998</v>
      </c>
      <c r="F50" s="30">
        <f t="shared" si="27"/>
        <v>29.398255216100011</v>
      </c>
      <c r="G50" s="30">
        <f t="shared" si="27"/>
        <v>34.309722008080008</v>
      </c>
      <c r="H50" s="30">
        <f t="shared" si="27"/>
        <v>39.481636355458782</v>
      </c>
      <c r="I50" s="30">
        <f t="shared" si="27"/>
        <v>41.773124928785322</v>
      </c>
      <c r="J50" s="30">
        <f t="shared" si="27"/>
        <v>44.156350829822728</v>
      </c>
      <c r="K50" s="30">
        <f t="shared" si="27"/>
        <v>46.695249969590002</v>
      </c>
      <c r="L50" s="30">
        <f t="shared" si="27"/>
        <v>49.266798892461672</v>
      </c>
      <c r="M50" s="30">
        <f t="shared" si="27"/>
        <v>51.940773797157384</v>
      </c>
      <c r="N50" s="30">
        <f t="shared" ref="N50:AB50" si="28">N34+N46</f>
        <v>54.721250840801609</v>
      </c>
      <c r="O50" s="30">
        <f t="shared" si="28"/>
        <v>57.612468208630993</v>
      </c>
      <c r="P50" s="30">
        <f t="shared" si="28"/>
        <v>60.618832553616734</v>
      </c>
      <c r="Q50" s="30">
        <f t="shared" si="28"/>
        <v>63.744925702698502</v>
      </c>
      <c r="R50" s="30">
        <f t="shared" si="28"/>
        <v>67.031793130897469</v>
      </c>
      <c r="S50" s="30">
        <f t="shared" si="28"/>
        <v>70.45039230314309</v>
      </c>
      <c r="T50" s="30">
        <f t="shared" si="28"/>
        <v>74.005985360600334</v>
      </c>
      <c r="U50" s="30">
        <f t="shared" si="28"/>
        <v>95.526300340155203</v>
      </c>
      <c r="V50" s="30">
        <f t="shared" si="28"/>
        <v>99.372514711463396</v>
      </c>
      <c r="W50" s="30">
        <f t="shared" si="28"/>
        <v>103.37280130416427</v>
      </c>
      <c r="X50" s="30">
        <f t="shared" si="28"/>
        <v>107.53331245485873</v>
      </c>
      <c r="Y50" s="30">
        <f t="shared" si="28"/>
        <v>111.86044562971038</v>
      </c>
      <c r="Z50" s="30">
        <f t="shared" si="28"/>
        <v>116.36085313320201</v>
      </c>
      <c r="AA50" s="30">
        <f t="shared" si="28"/>
        <v>121.04145227111961</v>
      </c>
      <c r="AB50" s="30">
        <f t="shared" si="28"/>
        <v>127.12617254943113</v>
      </c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7"/>
      <c r="BE50" s="31"/>
      <c r="BF50" s="4"/>
    </row>
    <row r="51" spans="2:58" x14ac:dyDescent="0.2">
      <c r="B51" s="9"/>
      <c r="C51" s="1" t="s">
        <v>37</v>
      </c>
      <c r="D51" s="7">
        <f>D50</f>
        <v>-70.758993055000005</v>
      </c>
      <c r="E51" s="7">
        <f>E50+D51</f>
        <v>-177.67315769739997</v>
      </c>
      <c r="F51" s="7">
        <f t="shared" ref="F51:R51" si="29">F50+E51</f>
        <v>-148.27490248129996</v>
      </c>
      <c r="G51" s="7">
        <f t="shared" si="29"/>
        <v>-113.96518047321996</v>
      </c>
      <c r="H51" s="7">
        <f t="shared" si="29"/>
        <v>-74.48354411776117</v>
      </c>
      <c r="I51" s="7">
        <f t="shared" si="29"/>
        <v>-32.710419188975848</v>
      </c>
      <c r="J51" s="7">
        <f t="shared" si="29"/>
        <v>11.445931640846879</v>
      </c>
      <c r="K51" s="7">
        <f t="shared" si="29"/>
        <v>58.141181610436881</v>
      </c>
      <c r="L51" s="7">
        <f t="shared" si="29"/>
        <v>107.40798050289855</v>
      </c>
      <c r="M51" s="7">
        <f t="shared" si="29"/>
        <v>159.34875430005593</v>
      </c>
      <c r="N51" s="7">
        <f t="shared" si="29"/>
        <v>214.07000514085755</v>
      </c>
      <c r="O51" s="7">
        <f t="shared" si="29"/>
        <v>271.68247334948853</v>
      </c>
      <c r="P51" s="7">
        <f t="shared" si="29"/>
        <v>332.30130590310529</v>
      </c>
      <c r="Q51" s="7">
        <f t="shared" si="29"/>
        <v>396.04623160580377</v>
      </c>
      <c r="R51" s="7">
        <f t="shared" si="29"/>
        <v>463.07802473670125</v>
      </c>
      <c r="S51" s="7">
        <f>S50+R51</f>
        <v>533.52841703984438</v>
      </c>
      <c r="T51" s="7">
        <f t="shared" ref="T51:AB51" si="30">T50+S51</f>
        <v>607.53440240044472</v>
      </c>
      <c r="U51" s="7">
        <f t="shared" si="30"/>
        <v>703.06070274059994</v>
      </c>
      <c r="V51" s="7">
        <f t="shared" si="30"/>
        <v>802.43321745206333</v>
      </c>
      <c r="W51" s="7">
        <f t="shared" si="30"/>
        <v>905.80601875622756</v>
      </c>
      <c r="X51" s="7">
        <f t="shared" si="30"/>
        <v>1013.3393312110863</v>
      </c>
      <c r="Y51" s="7">
        <f t="shared" si="30"/>
        <v>1125.1997768407966</v>
      </c>
      <c r="Z51" s="7">
        <f t="shared" si="30"/>
        <v>1241.5606299739986</v>
      </c>
      <c r="AA51" s="7">
        <f t="shared" si="30"/>
        <v>1362.6020822451183</v>
      </c>
      <c r="AB51" s="7">
        <f t="shared" si="30"/>
        <v>1489.7282547945495</v>
      </c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F51" s="4"/>
    </row>
    <row r="52" spans="2:58" x14ac:dyDescent="0.2">
      <c r="B52" s="9"/>
      <c r="D52" s="76">
        <f>IF(D51&lt;0,1,0)</f>
        <v>1</v>
      </c>
      <c r="E52" s="76">
        <f t="shared" ref="E52:I52" si="31">IF(E51&lt;0,1,0)</f>
        <v>1</v>
      </c>
      <c r="F52" s="76">
        <f t="shared" si="31"/>
        <v>1</v>
      </c>
      <c r="G52" s="76">
        <f t="shared" si="31"/>
        <v>1</v>
      </c>
      <c r="H52" s="76">
        <f t="shared" si="31"/>
        <v>1</v>
      </c>
      <c r="I52" s="76">
        <f t="shared" si="31"/>
        <v>1</v>
      </c>
      <c r="J52" s="76">
        <f>IF(J51&lt;0,1,0)</f>
        <v>0</v>
      </c>
      <c r="K52" s="76">
        <f t="shared" ref="K52:AB52" si="32">IF(K51&lt;0,1,0)</f>
        <v>0</v>
      </c>
      <c r="L52" s="76">
        <f t="shared" si="32"/>
        <v>0</v>
      </c>
      <c r="M52" s="76">
        <f t="shared" si="32"/>
        <v>0</v>
      </c>
      <c r="N52" s="76">
        <f t="shared" si="32"/>
        <v>0</v>
      </c>
      <c r="O52" s="76">
        <f t="shared" si="32"/>
        <v>0</v>
      </c>
      <c r="P52" s="76">
        <f t="shared" si="32"/>
        <v>0</v>
      </c>
      <c r="Q52" s="76">
        <f t="shared" si="32"/>
        <v>0</v>
      </c>
      <c r="R52" s="76">
        <f t="shared" si="32"/>
        <v>0</v>
      </c>
      <c r="S52" s="76">
        <f t="shared" si="32"/>
        <v>0</v>
      </c>
      <c r="T52" s="76">
        <f t="shared" si="32"/>
        <v>0</v>
      </c>
      <c r="U52" s="76">
        <f t="shared" si="32"/>
        <v>0</v>
      </c>
      <c r="V52" s="76">
        <f t="shared" si="32"/>
        <v>0</v>
      </c>
      <c r="W52" s="76">
        <f t="shared" si="32"/>
        <v>0</v>
      </c>
      <c r="X52" s="76">
        <f t="shared" si="32"/>
        <v>0</v>
      </c>
      <c r="Y52" s="76">
        <f t="shared" si="32"/>
        <v>0</v>
      </c>
      <c r="Z52" s="76">
        <f t="shared" si="32"/>
        <v>0</v>
      </c>
      <c r="AA52" s="76">
        <f t="shared" si="32"/>
        <v>0</v>
      </c>
      <c r="AB52" s="76">
        <f t="shared" si="32"/>
        <v>0</v>
      </c>
      <c r="BF52" s="4"/>
    </row>
    <row r="53" spans="2:58" x14ac:dyDescent="0.2">
      <c r="B53" s="9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BF53" s="4"/>
    </row>
    <row r="54" spans="2:58" x14ac:dyDescent="0.2">
      <c r="B54" s="9"/>
      <c r="C54" s="32" t="s">
        <v>193</v>
      </c>
      <c r="D54" s="34">
        <f>NPV(D56,D50:BD50)</f>
        <v>258.28037357390036</v>
      </c>
      <c r="F54" s="64" t="s">
        <v>138</v>
      </c>
      <c r="G54" s="65">
        <f>'Financial Cost'!C2/1000000</f>
        <v>176</v>
      </c>
      <c r="H54" s="1" t="s">
        <v>143</v>
      </c>
      <c r="I54" s="68"/>
      <c r="J54" s="68" t="s">
        <v>145</v>
      </c>
      <c r="K54" s="69">
        <f>'Financial Cost'!C24/1000000</f>
        <v>91.333843130000005</v>
      </c>
      <c r="L54" s="1" t="s">
        <v>143</v>
      </c>
      <c r="BF54" s="4"/>
    </row>
    <row r="55" spans="2:58" x14ac:dyDescent="0.2">
      <c r="B55" s="9"/>
      <c r="C55" s="32" t="s">
        <v>194</v>
      </c>
      <c r="D55" s="33">
        <f>IRR(D50:BD50)</f>
        <v>0.22861976572196085</v>
      </c>
      <c r="F55" s="64" t="s">
        <v>119</v>
      </c>
      <c r="G55" s="66">
        <f>'Financial Cost'!C3</f>
        <v>0.06</v>
      </c>
      <c r="BF55" s="4"/>
    </row>
    <row r="56" spans="2:58" x14ac:dyDescent="0.2">
      <c r="B56" s="9"/>
      <c r="C56" s="32" t="s">
        <v>1</v>
      </c>
      <c r="D56" s="35">
        <v>0.1</v>
      </c>
      <c r="F56" s="64" t="s">
        <v>139</v>
      </c>
      <c r="G56" s="67">
        <f>'Financial Cost'!C4</f>
        <v>15</v>
      </c>
      <c r="BF56" s="4"/>
    </row>
    <row r="57" spans="2:58" x14ac:dyDescent="0.2">
      <c r="B57" s="9"/>
      <c r="C57" s="32" t="s">
        <v>195</v>
      </c>
      <c r="D57" s="34" cm="1">
        <f t="array" ref="D57">NPV(D56,-D46:M46)</f>
        <v>0</v>
      </c>
      <c r="F57" s="64" t="s">
        <v>140</v>
      </c>
      <c r="G57" s="67">
        <f>'Financial Cost'!C5</f>
        <v>2</v>
      </c>
      <c r="BF57" s="4"/>
    </row>
    <row r="58" spans="2:58" x14ac:dyDescent="0.2">
      <c r="B58" s="9"/>
      <c r="C58" s="32" t="s">
        <v>196</v>
      </c>
      <c r="D58" s="34">
        <f>-(SUM(D46:M46))</f>
        <v>0</v>
      </c>
      <c r="F58" s="64"/>
      <c r="G58" s="67"/>
      <c r="BF58" s="4"/>
    </row>
    <row r="59" spans="2:58" x14ac:dyDescent="0.2">
      <c r="B59" s="9"/>
      <c r="C59" s="32" t="s">
        <v>197</v>
      </c>
      <c r="D59" s="104">
        <f>D58/BD34</f>
        <v>0</v>
      </c>
      <c r="F59" s="64"/>
      <c r="G59" s="67"/>
      <c r="BF59" s="4"/>
    </row>
    <row r="60" spans="2:58" ht="17" thickBot="1" x14ac:dyDescent="0.25">
      <c r="B60" s="15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5"/>
    </row>
    <row r="63" spans="2:58" ht="17" thickBot="1" x14ac:dyDescent="0.25"/>
    <row r="64" spans="2:58" ht="17" thickBot="1" x14ac:dyDescent="0.25">
      <c r="B64" s="154" t="s">
        <v>60</v>
      </c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6"/>
    </row>
    <row r="65" spans="1:58" x14ac:dyDescent="0.2">
      <c r="B65" s="20"/>
      <c r="C65" s="90" t="s">
        <v>175</v>
      </c>
      <c r="D65" s="91">
        <v>0.4</v>
      </c>
      <c r="E65" s="21"/>
      <c r="F65" s="21"/>
      <c r="G65" s="21"/>
      <c r="H65" s="22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3"/>
    </row>
    <row r="66" spans="1:58" x14ac:dyDescent="0.2">
      <c r="B66" s="9"/>
      <c r="C66" s="90" t="s">
        <v>176</v>
      </c>
      <c r="D66" s="89">
        <v>3</v>
      </c>
      <c r="H66" s="6"/>
      <c r="BF66" s="4"/>
    </row>
    <row r="67" spans="1:58" x14ac:dyDescent="0.2">
      <c r="B67" s="9"/>
      <c r="C67" s="90" t="s">
        <v>177</v>
      </c>
      <c r="D67" s="89">
        <f>D65*D66</f>
        <v>1.2000000000000002</v>
      </c>
      <c r="H67" s="6"/>
      <c r="BF67" s="4"/>
    </row>
    <row r="68" spans="1:58" x14ac:dyDescent="0.2">
      <c r="B68" s="9"/>
      <c r="C68" s="90" t="s">
        <v>178</v>
      </c>
      <c r="D68" s="24">
        <f>D67*12</f>
        <v>14.400000000000002</v>
      </c>
      <c r="H68" s="6"/>
      <c r="BF68" s="4"/>
    </row>
    <row r="69" spans="1:58" x14ac:dyDescent="0.2">
      <c r="B69" s="9"/>
      <c r="C69" s="90" t="s">
        <v>5</v>
      </c>
      <c r="D69" s="25">
        <f> SUMMARY!M5</f>
        <v>5</v>
      </c>
      <c r="E69" s="25">
        <f>D69*(1+$D$8)</f>
        <v>5.2</v>
      </c>
      <c r="F69" s="25">
        <f>E69*(1+$D$8)</f>
        <v>5.4080000000000004</v>
      </c>
      <c r="G69" s="25">
        <f t="shared" ref="G69" si="33">F69*(1+$D$8)</f>
        <v>5.6243200000000009</v>
      </c>
      <c r="H69" s="25">
        <f t="shared" ref="H69" si="34">G69*(1+$D$8)</f>
        <v>5.8492928000000015</v>
      </c>
      <c r="I69" s="25">
        <f t="shared" ref="I69" si="35">H69*(1+$D$8)</f>
        <v>6.0832645120000022</v>
      </c>
      <c r="J69" s="25">
        <f t="shared" ref="J69" si="36">I69*(1+$D$8)</f>
        <v>6.3265950924800025</v>
      </c>
      <c r="K69" s="25">
        <f t="shared" ref="K69" si="37">J69*(1+$D$8)</f>
        <v>6.5796588961792031</v>
      </c>
      <c r="L69" s="25">
        <f t="shared" ref="L69" si="38">K69*(1+$D$8)</f>
        <v>6.8428452520263718</v>
      </c>
      <c r="M69" s="25">
        <f t="shared" ref="M69" si="39">L69*(1+$D$8)</f>
        <v>7.1165590621074273</v>
      </c>
      <c r="N69" s="25">
        <f t="shared" ref="N69" si="40">M69*(1+$D$8)</f>
        <v>7.4012214245917249</v>
      </c>
      <c r="O69" s="25">
        <f t="shared" ref="O69" si="41">N69*(1+$D$8)</f>
        <v>7.6972702815753946</v>
      </c>
      <c r="P69" s="25">
        <f t="shared" ref="P69" si="42">O69*(1+$D$8)</f>
        <v>8.00516109283841</v>
      </c>
      <c r="Q69" s="25">
        <f t="shared" ref="Q69" si="43">P69*(1+$D$8)</f>
        <v>8.3253675365519459</v>
      </c>
      <c r="R69" s="25">
        <f t="shared" ref="R69" si="44">Q69*(1+$D$8)</f>
        <v>8.6583822380140241</v>
      </c>
      <c r="S69" s="25">
        <f t="shared" ref="S69" si="45">R69*(1+$D$8)</f>
        <v>9.0047175275345861</v>
      </c>
      <c r="T69" s="25">
        <f t="shared" ref="T69" si="46">S69*(1+$D$8)</f>
        <v>9.3649062286359701</v>
      </c>
      <c r="U69" s="25">
        <f t="shared" ref="U69" si="47">T69*(1+$D$8)</f>
        <v>9.739502477781409</v>
      </c>
      <c r="V69" s="25">
        <f t="shared" ref="V69" si="48">U69*(1+$D$8)</f>
        <v>10.129082576892666</v>
      </c>
      <c r="W69" s="25">
        <f t="shared" ref="W69" si="49">V69*(1+$D$8)</f>
        <v>10.534245879968372</v>
      </c>
      <c r="X69" s="25">
        <f t="shared" ref="X69" si="50">W69*(1+$D$8)</f>
        <v>10.955615715167108</v>
      </c>
      <c r="Y69" s="25">
        <f t="shared" ref="Y69" si="51">X69*(1+$D$8)</f>
        <v>11.393840343773793</v>
      </c>
      <c r="Z69" s="25">
        <f t="shared" ref="Z69" si="52">Y69*(1+$D$8)</f>
        <v>11.849593957524744</v>
      </c>
      <c r="AA69" s="25">
        <f t="shared" ref="AA69" si="53">Z69*(1+$D$8)</f>
        <v>12.323577715825735</v>
      </c>
      <c r="AB69" s="25">
        <f t="shared" ref="AB69" si="54">AA69*(1+$D$8)</f>
        <v>12.816520824458765</v>
      </c>
      <c r="AC69" s="25">
        <f t="shared" ref="AC69" si="55">AB69*(1+$D$8)</f>
        <v>13.329181657437116</v>
      </c>
      <c r="AD69" s="25">
        <f t="shared" ref="AD69" si="56">AC69*(1+$D$8)</f>
        <v>13.862348923734602</v>
      </c>
      <c r="AE69" s="25">
        <f t="shared" ref="AE69" si="57">AD69*(1+$D$8)</f>
        <v>14.416842880683987</v>
      </c>
      <c r="AF69" s="25">
        <f t="shared" ref="AF69" si="58">AE69*(1+$D$8)</f>
        <v>14.993516595911347</v>
      </c>
      <c r="AG69" s="25">
        <f t="shared" ref="AG69" si="59">AF69*(1+$D$8)</f>
        <v>15.593257259747801</v>
      </c>
      <c r="AH69" s="25">
        <f t="shared" ref="AH69" si="60">AG69*(1+$D$8)</f>
        <v>16.216987550137713</v>
      </c>
      <c r="AI69" s="25">
        <f t="shared" ref="AI69" si="61">AH69*(1+$D$8)</f>
        <v>16.865667052143223</v>
      </c>
      <c r="AJ69" s="25">
        <f t="shared" ref="AJ69" si="62">AI69*(1+$D$8)</f>
        <v>17.540293734228953</v>
      </c>
      <c r="AK69" s="25">
        <f t="shared" ref="AK69" si="63">AJ69*(1+$D$8)</f>
        <v>18.241905483598114</v>
      </c>
      <c r="AL69" s="25">
        <f t="shared" ref="AL69" si="64">AK69*(1+$D$8)</f>
        <v>18.971581702942039</v>
      </c>
      <c r="AM69" s="25">
        <f t="shared" ref="AM69" si="65">AL69*(1+$D$8)</f>
        <v>19.730444971059722</v>
      </c>
      <c r="AN69" s="25">
        <f t="shared" ref="AN69" si="66">AM69*(1+$D$8)</f>
        <v>20.519662769902112</v>
      </c>
      <c r="AO69" s="25">
        <f t="shared" ref="AO69" si="67">AN69*(1+$D$8)</f>
        <v>21.340449280698198</v>
      </c>
      <c r="AP69" s="25">
        <f t="shared" ref="AP69" si="68">AO69*(1+$D$8)</f>
        <v>22.194067251926128</v>
      </c>
      <c r="AQ69" s="25">
        <f t="shared" ref="AQ69" si="69">AP69*(1+$D$8)</f>
        <v>23.081829942003175</v>
      </c>
      <c r="AR69" s="25">
        <f t="shared" ref="AR69" si="70">AQ69*(1+$D$8)</f>
        <v>24.005103139683303</v>
      </c>
      <c r="AS69" s="25">
        <f t="shared" ref="AS69" si="71">AR69*(1+$D$8)</f>
        <v>24.965307265270635</v>
      </c>
      <c r="AT69" s="25">
        <f t="shared" ref="AT69" si="72">AS69*(1+$D$8)</f>
        <v>25.963919555881461</v>
      </c>
      <c r="AU69" s="25">
        <f t="shared" ref="AU69" si="73">AT69*(1+$D$8)</f>
        <v>27.002476338116718</v>
      </c>
      <c r="AV69" s="25">
        <f t="shared" ref="AV69" si="74">AU69*(1+$D$8)</f>
        <v>28.082575391641388</v>
      </c>
      <c r="AW69" s="25">
        <f t="shared" ref="AW69" si="75">AV69*(1+$D$8)</f>
        <v>29.205878407307043</v>
      </c>
      <c r="AX69" s="25">
        <f t="shared" ref="AX69" si="76">AW69*(1+$D$8)</f>
        <v>30.374113543599325</v>
      </c>
      <c r="AY69" s="25">
        <f t="shared" ref="AY69" si="77">AX69*(1+$D$8)</f>
        <v>31.589078085343299</v>
      </c>
      <c r="AZ69" s="25">
        <f t="shared" ref="AZ69" si="78">AY69*(1+$D$8)</f>
        <v>32.852641208757035</v>
      </c>
      <c r="BA69" s="25">
        <f t="shared" ref="BA69" si="79">AZ69*(1+$D$8)</f>
        <v>34.16674685710732</v>
      </c>
      <c r="BB69" s="25"/>
      <c r="BC69" s="25"/>
      <c r="BF69" s="4"/>
    </row>
    <row r="70" spans="1:58" x14ac:dyDescent="0.2">
      <c r="B70" s="9"/>
      <c r="C70" s="90" t="s">
        <v>189</v>
      </c>
      <c r="D70" s="6">
        <v>0.04</v>
      </c>
      <c r="H70" s="6"/>
      <c r="BF70" s="4"/>
    </row>
    <row r="71" spans="1:58" x14ac:dyDescent="0.2">
      <c r="B71" s="9"/>
      <c r="C71" s="90" t="s">
        <v>190</v>
      </c>
      <c r="D71" s="6">
        <v>0.1</v>
      </c>
      <c r="BF71" s="4"/>
    </row>
    <row r="72" spans="1:58" x14ac:dyDescent="0.2">
      <c r="B72" s="9"/>
      <c r="H72" s="6"/>
      <c r="BF72" s="4"/>
    </row>
    <row r="73" spans="1:58" x14ac:dyDescent="0.2">
      <c r="B73" s="9"/>
      <c r="D73" s="26">
        <v>0</v>
      </c>
      <c r="E73" s="26">
        <v>0</v>
      </c>
      <c r="F73" s="26">
        <v>0.8</v>
      </c>
      <c r="G73" s="26">
        <v>0.85</v>
      </c>
      <c r="H73" s="26">
        <v>0.9</v>
      </c>
      <c r="I73" s="26">
        <v>0.9</v>
      </c>
      <c r="J73" s="26">
        <v>0.9</v>
      </c>
      <c r="K73" s="26">
        <v>0.9</v>
      </c>
      <c r="L73" s="26">
        <v>0.9</v>
      </c>
      <c r="M73" s="26">
        <v>0.9</v>
      </c>
      <c r="N73" s="26">
        <v>0.9</v>
      </c>
      <c r="O73" s="26">
        <v>0.9</v>
      </c>
      <c r="P73" s="26">
        <v>0.9</v>
      </c>
      <c r="Q73" s="26">
        <v>0.9</v>
      </c>
      <c r="R73" s="26">
        <v>0.9</v>
      </c>
      <c r="S73" s="26">
        <v>0.9</v>
      </c>
      <c r="T73" s="26">
        <v>0.9</v>
      </c>
      <c r="U73" s="26">
        <v>0.9</v>
      </c>
      <c r="V73" s="26">
        <v>0.9</v>
      </c>
      <c r="W73" s="26">
        <v>0.9</v>
      </c>
      <c r="X73" s="26">
        <v>0.9</v>
      </c>
      <c r="Y73" s="26">
        <v>0.9</v>
      </c>
      <c r="Z73" s="26">
        <v>0.9</v>
      </c>
      <c r="AA73" s="26">
        <v>0.9</v>
      </c>
      <c r="AB73" s="26">
        <v>0.9</v>
      </c>
      <c r="AC73" s="26">
        <v>0.9</v>
      </c>
      <c r="AD73" s="26">
        <v>0.9</v>
      </c>
      <c r="AE73" s="26">
        <v>0.9</v>
      </c>
      <c r="AF73" s="26">
        <v>0.9</v>
      </c>
      <c r="AG73" s="26">
        <v>0.9</v>
      </c>
      <c r="AH73" s="26">
        <v>0.9</v>
      </c>
      <c r="AI73" s="26">
        <v>0.9</v>
      </c>
      <c r="AJ73" s="26">
        <v>0.9</v>
      </c>
      <c r="AK73" s="26">
        <v>0.9</v>
      </c>
      <c r="AL73" s="26">
        <v>0.9</v>
      </c>
      <c r="AM73" s="26">
        <v>0.9</v>
      </c>
      <c r="AN73" s="26">
        <v>0.9</v>
      </c>
      <c r="AO73" s="26">
        <v>0.9</v>
      </c>
      <c r="AP73" s="26">
        <v>0.9</v>
      </c>
      <c r="AQ73" s="26">
        <v>0.9</v>
      </c>
      <c r="AR73" s="26">
        <v>0.9</v>
      </c>
      <c r="AS73" s="26">
        <v>0.9</v>
      </c>
      <c r="AT73" s="26">
        <v>0.9</v>
      </c>
      <c r="AU73" s="26">
        <v>0.9</v>
      </c>
      <c r="AV73" s="26">
        <v>0.9</v>
      </c>
      <c r="AW73" s="26">
        <v>0.9</v>
      </c>
      <c r="AX73" s="26">
        <v>0.9</v>
      </c>
      <c r="AY73" s="26">
        <v>0.9</v>
      </c>
      <c r="AZ73" s="26">
        <v>0.9</v>
      </c>
      <c r="BA73" s="26">
        <v>0.9</v>
      </c>
      <c r="BB73" s="26"/>
      <c r="BC73" s="26"/>
      <c r="BF73" s="4"/>
    </row>
    <row r="74" spans="1:58" x14ac:dyDescent="0.2">
      <c r="B74" s="9"/>
      <c r="D74" s="2" t="s">
        <v>6</v>
      </c>
      <c r="E74" s="2" t="s">
        <v>7</v>
      </c>
      <c r="F74" s="2" t="s">
        <v>8</v>
      </c>
      <c r="G74" s="2" t="s">
        <v>9</v>
      </c>
      <c r="H74" s="2" t="s">
        <v>10</v>
      </c>
      <c r="I74" s="2" t="s">
        <v>11</v>
      </c>
      <c r="J74" s="2" t="s">
        <v>12</v>
      </c>
      <c r="K74" s="2" t="s">
        <v>13</v>
      </c>
      <c r="L74" s="2" t="s">
        <v>14</v>
      </c>
      <c r="M74" s="2" t="s">
        <v>15</v>
      </c>
      <c r="N74" s="2" t="s">
        <v>16</v>
      </c>
      <c r="O74" s="2" t="s">
        <v>17</v>
      </c>
      <c r="P74" s="2" t="s">
        <v>18</v>
      </c>
      <c r="Q74" s="2" t="s">
        <v>19</v>
      </c>
      <c r="R74" s="2" t="s">
        <v>20</v>
      </c>
      <c r="S74" s="2" t="s">
        <v>21</v>
      </c>
      <c r="T74" s="2" t="s">
        <v>22</v>
      </c>
      <c r="U74" s="2" t="s">
        <v>23</v>
      </c>
      <c r="V74" s="2" t="s">
        <v>24</v>
      </c>
      <c r="W74" s="2" t="s">
        <v>25</v>
      </c>
      <c r="X74" s="2" t="s">
        <v>26</v>
      </c>
      <c r="Y74" s="2" t="s">
        <v>27</v>
      </c>
      <c r="Z74" s="2" t="s">
        <v>28</v>
      </c>
      <c r="AA74" s="2" t="s">
        <v>29</v>
      </c>
      <c r="AB74" s="2" t="s">
        <v>30</v>
      </c>
      <c r="AC74" s="2" t="s">
        <v>31</v>
      </c>
      <c r="AD74" s="2" t="s">
        <v>32</v>
      </c>
      <c r="AE74" s="2" t="s">
        <v>33</v>
      </c>
      <c r="AF74" s="2" t="s">
        <v>34</v>
      </c>
      <c r="AG74" s="2" t="s">
        <v>35</v>
      </c>
      <c r="AH74" s="2" t="s">
        <v>40</v>
      </c>
      <c r="AI74" s="2" t="s">
        <v>41</v>
      </c>
      <c r="AJ74" s="2" t="s">
        <v>42</v>
      </c>
      <c r="AK74" s="2" t="s">
        <v>43</v>
      </c>
      <c r="AL74" s="2" t="s">
        <v>44</v>
      </c>
      <c r="AM74" s="2" t="s">
        <v>45</v>
      </c>
      <c r="AN74" s="2" t="s">
        <v>46</v>
      </c>
      <c r="AO74" s="2" t="s">
        <v>47</v>
      </c>
      <c r="AP74" s="2" t="s">
        <v>48</v>
      </c>
      <c r="AQ74" s="2" t="s">
        <v>49</v>
      </c>
      <c r="AR74" s="2" t="s">
        <v>50</v>
      </c>
      <c r="AS74" s="2" t="s">
        <v>51</v>
      </c>
      <c r="AT74" s="2" t="s">
        <v>52</v>
      </c>
      <c r="AU74" s="2" t="s">
        <v>53</v>
      </c>
      <c r="AV74" s="2" t="s">
        <v>54</v>
      </c>
      <c r="AW74" s="2" t="s">
        <v>55</v>
      </c>
      <c r="AX74" s="2" t="s">
        <v>56</v>
      </c>
      <c r="AY74" s="2" t="s">
        <v>57</v>
      </c>
      <c r="AZ74" s="2" t="s">
        <v>58</v>
      </c>
      <c r="BA74" s="2" t="s">
        <v>59</v>
      </c>
      <c r="BB74" s="2"/>
      <c r="BC74" s="2"/>
      <c r="BD74" s="86" t="s">
        <v>137</v>
      </c>
      <c r="BF74" s="4"/>
    </row>
    <row r="75" spans="1:58" x14ac:dyDescent="0.2">
      <c r="B75" s="157" t="s">
        <v>36</v>
      </c>
      <c r="C75" s="10" t="s">
        <v>2</v>
      </c>
      <c r="D75" s="11">
        <f t="shared" ref="D75:AB75" si="80">$D$6*D73</f>
        <v>0</v>
      </c>
      <c r="E75" s="11">
        <f t="shared" si="80"/>
        <v>0</v>
      </c>
      <c r="F75" s="11">
        <f t="shared" si="80"/>
        <v>11.520000000000003</v>
      </c>
      <c r="G75" s="11">
        <f t="shared" si="80"/>
        <v>12.240000000000002</v>
      </c>
      <c r="H75" s="11">
        <f t="shared" si="80"/>
        <v>12.960000000000003</v>
      </c>
      <c r="I75" s="11">
        <f t="shared" si="80"/>
        <v>12.960000000000003</v>
      </c>
      <c r="J75" s="11">
        <f t="shared" si="80"/>
        <v>12.960000000000003</v>
      </c>
      <c r="K75" s="11">
        <f t="shared" si="80"/>
        <v>12.960000000000003</v>
      </c>
      <c r="L75" s="11">
        <f t="shared" si="80"/>
        <v>12.960000000000003</v>
      </c>
      <c r="M75" s="11">
        <f t="shared" si="80"/>
        <v>12.960000000000003</v>
      </c>
      <c r="N75" s="11">
        <f t="shared" si="80"/>
        <v>12.960000000000003</v>
      </c>
      <c r="O75" s="11">
        <f t="shared" si="80"/>
        <v>12.960000000000003</v>
      </c>
      <c r="P75" s="11">
        <f t="shared" si="80"/>
        <v>12.960000000000003</v>
      </c>
      <c r="Q75" s="11">
        <f t="shared" si="80"/>
        <v>12.960000000000003</v>
      </c>
      <c r="R75" s="11">
        <f t="shared" si="80"/>
        <v>12.960000000000003</v>
      </c>
      <c r="S75" s="11">
        <f t="shared" si="80"/>
        <v>12.960000000000003</v>
      </c>
      <c r="T75" s="11">
        <f t="shared" si="80"/>
        <v>12.960000000000003</v>
      </c>
      <c r="U75" s="11">
        <f t="shared" si="80"/>
        <v>12.960000000000003</v>
      </c>
      <c r="V75" s="11">
        <f t="shared" si="80"/>
        <v>12.960000000000003</v>
      </c>
      <c r="W75" s="11">
        <f t="shared" si="80"/>
        <v>12.960000000000003</v>
      </c>
      <c r="X75" s="11">
        <f t="shared" si="80"/>
        <v>12.960000000000003</v>
      </c>
      <c r="Y75" s="11">
        <f t="shared" si="80"/>
        <v>12.960000000000003</v>
      </c>
      <c r="Z75" s="11">
        <f t="shared" si="80"/>
        <v>12.960000000000003</v>
      </c>
      <c r="AA75" s="11">
        <f t="shared" si="80"/>
        <v>12.960000000000003</v>
      </c>
      <c r="AB75" s="11">
        <f t="shared" si="80"/>
        <v>12.960000000000003</v>
      </c>
      <c r="AC75" s="11">
        <f t="shared" ref="AC75:AK75" si="81">$D$6*AC73</f>
        <v>12.960000000000003</v>
      </c>
      <c r="AD75" s="11">
        <f t="shared" si="81"/>
        <v>12.960000000000003</v>
      </c>
      <c r="AE75" s="11">
        <f t="shared" si="81"/>
        <v>12.960000000000003</v>
      </c>
      <c r="AF75" s="11">
        <f t="shared" si="81"/>
        <v>12.960000000000003</v>
      </c>
      <c r="AG75" s="11">
        <f t="shared" si="81"/>
        <v>12.960000000000003</v>
      </c>
      <c r="AH75" s="11">
        <f t="shared" si="81"/>
        <v>12.960000000000003</v>
      </c>
      <c r="AI75" s="11">
        <f t="shared" si="81"/>
        <v>12.960000000000003</v>
      </c>
      <c r="AJ75" s="11">
        <f t="shared" si="81"/>
        <v>12.960000000000003</v>
      </c>
      <c r="AK75" s="11">
        <f t="shared" si="81"/>
        <v>12.960000000000003</v>
      </c>
      <c r="AL75" s="11">
        <f t="shared" ref="AL75:AY75" si="82">$D$6*AL73</f>
        <v>12.960000000000003</v>
      </c>
      <c r="AM75" s="11">
        <f t="shared" si="82"/>
        <v>12.960000000000003</v>
      </c>
      <c r="AN75" s="11">
        <f t="shared" si="82"/>
        <v>12.960000000000003</v>
      </c>
      <c r="AO75" s="11">
        <f t="shared" si="82"/>
        <v>12.960000000000003</v>
      </c>
      <c r="AP75" s="11">
        <f t="shared" si="82"/>
        <v>12.960000000000003</v>
      </c>
      <c r="AQ75" s="11">
        <f t="shared" si="82"/>
        <v>12.960000000000003</v>
      </c>
      <c r="AR75" s="11">
        <f t="shared" si="82"/>
        <v>12.960000000000003</v>
      </c>
      <c r="AS75" s="11">
        <f t="shared" si="82"/>
        <v>12.960000000000003</v>
      </c>
      <c r="AT75" s="11">
        <f t="shared" si="82"/>
        <v>12.960000000000003</v>
      </c>
      <c r="AU75" s="11">
        <f t="shared" si="82"/>
        <v>12.960000000000003</v>
      </c>
      <c r="AV75" s="11">
        <f t="shared" si="82"/>
        <v>12.960000000000003</v>
      </c>
      <c r="AW75" s="11">
        <f t="shared" si="82"/>
        <v>12.960000000000003</v>
      </c>
      <c r="AX75" s="11">
        <f t="shared" si="82"/>
        <v>12.960000000000003</v>
      </c>
      <c r="AY75" s="11">
        <f t="shared" si="82"/>
        <v>12.960000000000003</v>
      </c>
      <c r="AZ75" s="11">
        <f t="shared" ref="AZ75:BA75" si="83">$D$6*AZ73</f>
        <v>12.960000000000003</v>
      </c>
      <c r="BA75" s="11">
        <f t="shared" si="83"/>
        <v>12.960000000000003</v>
      </c>
      <c r="BB75" s="11"/>
      <c r="BC75" s="10" t="s">
        <v>2</v>
      </c>
      <c r="BD75" s="118">
        <f>SUM(D75:BB75)</f>
        <v>619.91999999999996</v>
      </c>
      <c r="BE75" s="13"/>
      <c r="BF75" s="4"/>
    </row>
    <row r="76" spans="1:58" x14ac:dyDescent="0.2">
      <c r="B76" s="157"/>
      <c r="C76" s="10" t="s">
        <v>3</v>
      </c>
      <c r="D76" s="70">
        <f>D75*D69</f>
        <v>0</v>
      </c>
      <c r="E76" s="70">
        <f>E75*E69</f>
        <v>0</v>
      </c>
      <c r="F76" s="70">
        <f>F75*F69</f>
        <v>62.30016000000002</v>
      </c>
      <c r="G76" s="70">
        <f t="shared" ref="G76:AB76" si="84">G75*G69</f>
        <v>68.841676800000016</v>
      </c>
      <c r="H76" s="70">
        <f t="shared" si="84"/>
        <v>75.806834688000038</v>
      </c>
      <c r="I76" s="70">
        <f t="shared" si="84"/>
        <v>78.839108075520045</v>
      </c>
      <c r="J76" s="70">
        <f t="shared" si="84"/>
        <v>81.992672398540847</v>
      </c>
      <c r="K76" s="70">
        <f t="shared" si="84"/>
        <v>85.272379294482491</v>
      </c>
      <c r="L76" s="70">
        <f t="shared" si="84"/>
        <v>88.683274466261793</v>
      </c>
      <c r="M76" s="70">
        <f t="shared" si="84"/>
        <v>92.230605444912271</v>
      </c>
      <c r="N76" s="70">
        <f t="shared" si="84"/>
        <v>95.919829662708779</v>
      </c>
      <c r="O76" s="70">
        <f t="shared" si="84"/>
        <v>99.756622849217138</v>
      </c>
      <c r="P76" s="70">
        <f t="shared" si="84"/>
        <v>103.74688776318581</v>
      </c>
      <c r="Q76" s="70">
        <f t="shared" si="84"/>
        <v>107.89676327371325</v>
      </c>
      <c r="R76" s="70">
        <f t="shared" si="84"/>
        <v>112.21263380466178</v>
      </c>
      <c r="S76" s="70">
        <f t="shared" si="84"/>
        <v>116.70113915684826</v>
      </c>
      <c r="T76" s="70">
        <f t="shared" si="84"/>
        <v>121.3691847231222</v>
      </c>
      <c r="U76" s="70">
        <f t="shared" si="84"/>
        <v>126.22395211204709</v>
      </c>
      <c r="V76" s="70">
        <f t="shared" si="84"/>
        <v>131.27291019652898</v>
      </c>
      <c r="W76" s="70">
        <f t="shared" si="84"/>
        <v>136.52382660439014</v>
      </c>
      <c r="X76" s="70">
        <f t="shared" si="84"/>
        <v>141.98477966856575</v>
      </c>
      <c r="Y76" s="70">
        <f t="shared" si="84"/>
        <v>147.66417085530838</v>
      </c>
      <c r="Z76" s="70">
        <f t="shared" si="84"/>
        <v>153.57073768952071</v>
      </c>
      <c r="AA76" s="70">
        <f t="shared" si="84"/>
        <v>159.71356719710155</v>
      </c>
      <c r="AB76" s="70">
        <f t="shared" si="84"/>
        <v>166.10210988498562</v>
      </c>
      <c r="AC76" s="70">
        <f t="shared" ref="AC76:AK76" si="85">AC75*AC69</f>
        <v>172.74619428038505</v>
      </c>
      <c r="AD76" s="70">
        <f t="shared" si="85"/>
        <v>179.65604205160048</v>
      </c>
      <c r="AE76" s="70">
        <f t="shared" si="85"/>
        <v>186.84228373366452</v>
      </c>
      <c r="AF76" s="70">
        <f t="shared" si="85"/>
        <v>194.3159750830111</v>
      </c>
      <c r="AG76" s="70">
        <f t="shared" si="85"/>
        <v>202.08861408633155</v>
      </c>
      <c r="AH76" s="70">
        <f t="shared" si="85"/>
        <v>210.17215864978479</v>
      </c>
      <c r="AI76" s="70">
        <f t="shared" si="85"/>
        <v>218.57904499577623</v>
      </c>
      <c r="AJ76" s="70">
        <f t="shared" si="85"/>
        <v>227.32220679560729</v>
      </c>
      <c r="AK76" s="70">
        <f t="shared" si="85"/>
        <v>236.41509506743159</v>
      </c>
      <c r="AL76" s="70">
        <f t="shared" ref="AL76:AY76" si="86">AL75*AL69</f>
        <v>245.87169887012888</v>
      </c>
      <c r="AM76" s="70">
        <f t="shared" si="86"/>
        <v>255.70656682493404</v>
      </c>
      <c r="AN76" s="70">
        <f t="shared" si="86"/>
        <v>265.93482949793145</v>
      </c>
      <c r="AO76" s="70">
        <f t="shared" si="86"/>
        <v>276.57222267784869</v>
      </c>
      <c r="AP76" s="70">
        <f t="shared" si="86"/>
        <v>287.63511158496266</v>
      </c>
      <c r="AQ76" s="70">
        <f t="shared" si="86"/>
        <v>299.14051604836123</v>
      </c>
      <c r="AR76" s="70">
        <f t="shared" si="86"/>
        <v>311.10613669029567</v>
      </c>
      <c r="AS76" s="70">
        <f t="shared" si="86"/>
        <v>323.55038215790751</v>
      </c>
      <c r="AT76" s="70">
        <f t="shared" si="86"/>
        <v>336.4923974442238</v>
      </c>
      <c r="AU76" s="70">
        <f t="shared" si="86"/>
        <v>349.95209334199274</v>
      </c>
      <c r="AV76" s="70">
        <f t="shared" si="86"/>
        <v>363.95017707567246</v>
      </c>
      <c r="AW76" s="70">
        <f t="shared" si="86"/>
        <v>378.50818415869935</v>
      </c>
      <c r="AX76" s="70">
        <f t="shared" si="86"/>
        <v>393.64851152504735</v>
      </c>
      <c r="AY76" s="70">
        <f t="shared" si="86"/>
        <v>409.39445198604926</v>
      </c>
      <c r="AZ76" s="70">
        <f t="shared" ref="AZ76:BA76" si="87">AZ75*AZ69</f>
        <v>425.77023006549126</v>
      </c>
      <c r="BA76" s="70">
        <f t="shared" si="87"/>
        <v>442.80103926811097</v>
      </c>
      <c r="BB76" s="70"/>
      <c r="BC76" s="10" t="s">
        <v>3</v>
      </c>
      <c r="BD76" s="12">
        <f t="shared" ref="BD76" si="88">SUM(D76:BB76)</f>
        <v>9748.7979905708744</v>
      </c>
      <c r="BE76" s="13"/>
      <c r="BF76" s="4"/>
    </row>
    <row r="77" spans="1:58" x14ac:dyDescent="0.2">
      <c r="B77" s="157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D77" s="49"/>
      <c r="BE77" s="13"/>
      <c r="BF77" s="4"/>
    </row>
    <row r="78" spans="1:58" x14ac:dyDescent="0.2">
      <c r="A78" s="105"/>
      <c r="B78" s="157"/>
      <c r="C78" s="10" t="s">
        <v>155</v>
      </c>
      <c r="D78" s="57">
        <f>SUM(D79:D82)</f>
        <v>-70.758993055000005</v>
      </c>
      <c r="E78" s="57">
        <f>SUM(E79:E82)</f>
        <v>-106.91416464239998</v>
      </c>
      <c r="F78" s="57">
        <f>SUM(F79:F82)</f>
        <v>-11.964640573900004</v>
      </c>
      <c r="G78" s="57">
        <f>SUM(G79:G82)</f>
        <v>-13.267614751920007</v>
      </c>
      <c r="H78" s="57">
        <f t="shared" ref="H78" si="89">SUM(H79:H82)</f>
        <v>-14.712600398141257</v>
      </c>
      <c r="I78" s="57">
        <f t="shared" ref="I78" si="90">SUM(I79:I82)</f>
        <v>-15.301771532958721</v>
      </c>
      <c r="J78" s="57">
        <f t="shared" ref="J78" si="91">SUM(J79:J82)</f>
        <v>-15.914431738791075</v>
      </c>
      <c r="K78" s="57">
        <f t="shared" ref="K78" si="92">SUM(K79:K82)</f>
        <v>-16.491254150168352</v>
      </c>
      <c r="L78" s="57">
        <f t="shared" ref="L78" si="93">SUM(L79:L82)</f>
        <v>-17.160055640487034</v>
      </c>
      <c r="M78" s="57">
        <f t="shared" ref="M78" si="94">SUM(M79:M82)</f>
        <v>-17.856045165509279</v>
      </c>
      <c r="N78" s="57">
        <f t="shared" ref="N78" si="95">SUM(N79:N82)</f>
        <v>-18.580331128771736</v>
      </c>
      <c r="O78" s="57">
        <f t="shared" ref="O78" si="96">SUM(O79:O82)</f>
        <v>-19.334067288125283</v>
      </c>
      <c r="P78" s="57">
        <f t="shared" ref="P78" si="97">SUM(P79:P82)</f>
        <v>-20.118454611409785</v>
      </c>
      <c r="Q78" s="57">
        <f t="shared" ref="Q78" si="98">SUM(Q79:Q82)</f>
        <v>-20.934743197329084</v>
      </c>
      <c r="R78" s="57">
        <f t="shared" ref="R78" si="99">SUM(R79:R82)</f>
        <v>-21.747952773531217</v>
      </c>
      <c r="S78" s="57">
        <f t="shared" ref="S78" si="100">SUM(S79:S82)</f>
        <v>-22.593433685862763</v>
      </c>
      <c r="T78" s="57">
        <f t="shared" ref="T78" si="101">SUM(T79:T82)</f>
        <v>-23.47248391636575</v>
      </c>
      <c r="U78" s="57">
        <f t="shared" ref="U78" si="102">SUM(U79:U82)</f>
        <v>-24.386454166289525</v>
      </c>
      <c r="V78" s="57">
        <f t="shared" ref="V78" si="103">SUM(V79:V82)</f>
        <v>-25.336749975239151</v>
      </c>
      <c r="W78" s="57">
        <f t="shared" ref="W78" si="104">SUM(W79:W82)</f>
        <v>-26.32483397000637</v>
      </c>
      <c r="X78" s="57">
        <f t="shared" ref="X78" si="105">SUM(X79:X82)</f>
        <v>-27.352228230278723</v>
      </c>
      <c r="Y78" s="57">
        <f t="shared" ref="Y78" si="106">SUM(Y79:Y82)</f>
        <v>-28.420516682832577</v>
      </c>
      <c r="Z78" s="57">
        <f t="shared" ref="Z78" si="107">SUM(Z79:Z82)</f>
        <v>-29.531347671842667</v>
      </c>
      <c r="AA78" s="57">
        <f t="shared" ref="AA78" si="108">SUM(AA79:AA82)</f>
        <v>-30.686436566126876</v>
      </c>
      <c r="AB78" s="57">
        <f t="shared" ref="AB78" si="109">SUM(AB79:AB82)</f>
        <v>-32.126001837329127</v>
      </c>
      <c r="AC78" s="57">
        <f t="shared" ref="AC78" si="110">SUM(AC79:AC82)</f>
        <v>-33.644360500235194</v>
      </c>
      <c r="AD78" s="57">
        <f t="shared" ref="AD78" si="111">SUM(AD79:AD82)</f>
        <v>-35.246785368598786</v>
      </c>
      <c r="AE78" s="57">
        <f t="shared" ref="AE78" si="112">SUM(AE79:AE82)</f>
        <v>-36.93897227653234</v>
      </c>
      <c r="AF78" s="57">
        <f t="shared" ref="AF78" si="113">SUM(AF79:AF82)</f>
        <v>-38.727078210102199</v>
      </c>
      <c r="AG78" s="57">
        <f t="shared" ref="AG78" si="114">SUM(AG79:AG82)</f>
        <v>-40.617763085265707</v>
      </c>
      <c r="AH78" s="57">
        <f t="shared" ref="AH78" si="115">SUM(AH79:AH82)</f>
        <v>-42.618235530111697</v>
      </c>
      <c r="AI78" s="57">
        <f t="shared" ref="AI78" si="116">SUM(AI79:AI82)</f>
        <v>-44.736303064895068</v>
      </c>
      <c r="AJ78" s="57">
        <f t="shared" ref="AJ78" si="117">SUM(AJ79:AJ82)</f>
        <v>-46.980427112427655</v>
      </c>
      <c r="AK78" s="57">
        <f t="shared" ref="AK78" si="118">SUM(AK79:AK82)</f>
        <v>-49.359783314355226</v>
      </c>
      <c r="AL78" s="57">
        <f t="shared" ref="AL78" si="119">SUM(AL79:AL82)</f>
        <v>-51.884327676102949</v>
      </c>
      <c r="AM78" s="57">
        <f t="shared" ref="AM78" si="120">SUM(AM79:AM82)</f>
        <v>-54.56486911523794</v>
      </c>
      <c r="AN78" s="57">
        <f t="shared" ref="AN78" si="121">SUM(AN79:AN82)</f>
        <v>-57.413149045147406</v>
      </c>
      <c r="AO78" s="57">
        <f t="shared" ref="AO78" si="122">SUM(AO79:AO82)</f>
        <v>-60.44192868878325</v>
      </c>
      <c r="AP78" s="57">
        <f t="shared" ref="AP78" si="123">SUM(AP79:AP82)</f>
        <v>-63.665084886347529</v>
      </c>
      <c r="AQ78" s="57">
        <f t="shared" ref="AQ78" si="124">SUM(AQ79:AQ82)</f>
        <v>-67.09771523681566</v>
      </c>
      <c r="AR78" s="57">
        <f t="shared" ref="AR78" si="125">SUM(AR79:AR82)</f>
        <v>-70.75625349680395</v>
      </c>
      <c r="AS78" s="57">
        <f t="shared" ref="AS78" si="126">SUM(AS79:AS82)</f>
        <v>-74.658596252243328</v>
      </c>
      <c r="AT78" s="57">
        <f t="shared" ref="AT78" si="127">SUM(AT79:AT82)</f>
        <v>-78.824241979457014</v>
      </c>
      <c r="AU78" s="57">
        <f t="shared" ref="AU78" si="128">SUM(AU79:AU82)</f>
        <v>-83.274443723471649</v>
      </c>
      <c r="AV78" s="57">
        <f t="shared" ref="AV78" si="129">SUM(AV79:AV82)</f>
        <v>-88.032376743730481</v>
      </c>
      <c r="AW78" s="57">
        <f t="shared" ref="AW78" si="130">SUM(AW79:AW82)</f>
        <v>-93.12332261193167</v>
      </c>
      <c r="AX78" s="57">
        <f t="shared" ref="AX78" si="131">SUM(AX79:AX82)</f>
        <v>-98.574871394706108</v>
      </c>
      <c r="AY78" s="57">
        <f t="shared" ref="AY78" si="132">SUM(AY79:AY82)</f>
        <v>-104.41714371662124</v>
      </c>
      <c r="AZ78" s="57">
        <f t="shared" ref="AZ78" si="133">SUM(AZ79:AZ82)</f>
        <v>-110.68303467802568</v>
      </c>
      <c r="BA78" s="57">
        <f t="shared" ref="BA78" si="134">SUM(BA79:BA82)</f>
        <v>-117.40848179916023</v>
      </c>
      <c r="BB78" s="57"/>
      <c r="BC78" s="10" t="s">
        <v>155</v>
      </c>
      <c r="BD78" s="14">
        <f t="shared" ref="BD78:BD83" si="135">SUM(D78:BB78)</f>
        <v>-2314.9771568577266</v>
      </c>
      <c r="BE78" s="13"/>
      <c r="BF78" s="4"/>
    </row>
    <row r="79" spans="1:58" x14ac:dyDescent="0.2">
      <c r="A79" s="105">
        <v>0.1</v>
      </c>
      <c r="B79" s="157"/>
      <c r="C79" s="97" t="s">
        <v>230</v>
      </c>
      <c r="D79" s="98">
        <v>0</v>
      </c>
      <c r="E79" s="98">
        <v>0</v>
      </c>
      <c r="F79" s="98">
        <f>(-$A$79*F75*5.408)</f>
        <v>-6.2300160000000027</v>
      </c>
      <c r="G79" s="98">
        <f>F79*(1+$D$8)*(G73/F73)</f>
        <v>-6.8841676800000036</v>
      </c>
      <c r="H79" s="98">
        <f>G79*(1+$D$8)*(H73/G73)</f>
        <v>-7.5806834688000047</v>
      </c>
      <c r="I79" s="98">
        <f t="shared" ref="I79:BA79" si="136">H79*(1+$D$8)*(I73/H73)</f>
        <v>-7.883910807552005</v>
      </c>
      <c r="J79" s="98">
        <f t="shared" si="136"/>
        <v>-8.1992672398540858</v>
      </c>
      <c r="K79" s="98">
        <f t="shared" si="136"/>
        <v>-8.5272379294482494</v>
      </c>
      <c r="L79" s="98">
        <f t="shared" si="136"/>
        <v>-8.8683274466261803</v>
      </c>
      <c r="M79" s="98">
        <f t="shared" si="136"/>
        <v>-9.2230605444912275</v>
      </c>
      <c r="N79" s="98">
        <f t="shared" si="136"/>
        <v>-9.5919829662708764</v>
      </c>
      <c r="O79" s="98">
        <f t="shared" si="136"/>
        <v>-9.9756622849217127</v>
      </c>
      <c r="P79" s="98">
        <f t="shared" si="136"/>
        <v>-10.374688776318582</v>
      </c>
      <c r="Q79" s="98">
        <f t="shared" si="136"/>
        <v>-10.789676327371325</v>
      </c>
      <c r="R79" s="98">
        <f t="shared" si="136"/>
        <v>-11.221263380466178</v>
      </c>
      <c r="S79" s="98">
        <f t="shared" si="136"/>
        <v>-11.670113915684826</v>
      </c>
      <c r="T79" s="98">
        <f t="shared" si="136"/>
        <v>-12.136918472312219</v>
      </c>
      <c r="U79" s="98">
        <f t="shared" si="136"/>
        <v>-12.622395211204708</v>
      </c>
      <c r="V79" s="98">
        <f t="shared" si="136"/>
        <v>-13.127291019652898</v>
      </c>
      <c r="W79" s="98">
        <f t="shared" si="136"/>
        <v>-13.652382660439015</v>
      </c>
      <c r="X79" s="98">
        <f t="shared" si="136"/>
        <v>-14.198477966856576</v>
      </c>
      <c r="Y79" s="98">
        <f t="shared" si="136"/>
        <v>-14.76641708553084</v>
      </c>
      <c r="Z79" s="98">
        <f t="shared" si="136"/>
        <v>-15.357073768952073</v>
      </c>
      <c r="AA79" s="98">
        <f t="shared" si="136"/>
        <v>-15.971356719710156</v>
      </c>
      <c r="AB79" s="98">
        <f t="shared" si="136"/>
        <v>-16.610210988498562</v>
      </c>
      <c r="AC79" s="98">
        <f t="shared" si="136"/>
        <v>-17.274619428038505</v>
      </c>
      <c r="AD79" s="98">
        <f t="shared" si="136"/>
        <v>-17.965604205160048</v>
      </c>
      <c r="AE79" s="98">
        <f t="shared" si="136"/>
        <v>-18.684228373366452</v>
      </c>
      <c r="AF79" s="98">
        <f t="shared" si="136"/>
        <v>-19.43159750830111</v>
      </c>
      <c r="AG79" s="98">
        <f t="shared" si="136"/>
        <v>-20.208861408633155</v>
      </c>
      <c r="AH79" s="98">
        <f t="shared" si="136"/>
        <v>-21.017215864978482</v>
      </c>
      <c r="AI79" s="98">
        <f t="shared" si="136"/>
        <v>-21.857904499577621</v>
      </c>
      <c r="AJ79" s="98">
        <f t="shared" si="136"/>
        <v>-22.732220679560726</v>
      </c>
      <c r="AK79" s="98">
        <f t="shared" si="136"/>
        <v>-23.641509506743155</v>
      </c>
      <c r="AL79" s="98">
        <f t="shared" si="136"/>
        <v>-24.587169887012884</v>
      </c>
      <c r="AM79" s="98">
        <f t="shared" si="136"/>
        <v>-25.5706566824934</v>
      </c>
      <c r="AN79" s="98">
        <f t="shared" si="136"/>
        <v>-26.593482949793138</v>
      </c>
      <c r="AO79" s="98">
        <f t="shared" si="136"/>
        <v>-27.657222267784864</v>
      </c>
      <c r="AP79" s="98">
        <f t="shared" si="136"/>
        <v>-28.763511158496261</v>
      </c>
      <c r="AQ79" s="98">
        <f t="shared" si="136"/>
        <v>-29.914051604836111</v>
      </c>
      <c r="AR79" s="98">
        <f t="shared" si="136"/>
        <v>-31.110613669029558</v>
      </c>
      <c r="AS79" s="98">
        <f t="shared" si="136"/>
        <v>-32.355038215790742</v>
      </c>
      <c r="AT79" s="98">
        <f t="shared" si="136"/>
        <v>-33.649239744422374</v>
      </c>
      <c r="AU79" s="98">
        <f t="shared" si="136"/>
        <v>-34.995209334199274</v>
      </c>
      <c r="AV79" s="98">
        <f t="shared" si="136"/>
        <v>-36.395017707567249</v>
      </c>
      <c r="AW79" s="98">
        <f t="shared" si="136"/>
        <v>-37.850818415869938</v>
      </c>
      <c r="AX79" s="98">
        <f t="shared" si="136"/>
        <v>-39.364851152504734</v>
      </c>
      <c r="AY79" s="98">
        <f t="shared" si="136"/>
        <v>-40.939445198604922</v>
      </c>
      <c r="AZ79" s="98">
        <f t="shared" si="136"/>
        <v>-42.577023006549119</v>
      </c>
      <c r="BA79" s="98">
        <f t="shared" si="136"/>
        <v>-44.280103926811087</v>
      </c>
      <c r="BB79" s="98"/>
      <c r="BC79" s="97" t="s">
        <v>173</v>
      </c>
      <c r="BD79" s="119">
        <f t="shared" si="135"/>
        <v>-974.87979905708721</v>
      </c>
      <c r="BE79" s="13"/>
      <c r="BF79" s="4"/>
    </row>
    <row r="80" spans="1:58" x14ac:dyDescent="0.2">
      <c r="A80" s="105">
        <v>7.0000000000000007E-2</v>
      </c>
      <c r="B80" s="157"/>
      <c r="C80" s="97" t="s">
        <v>231</v>
      </c>
      <c r="D80" s="98">
        <f>(-D76*$A$80)+D105</f>
        <v>-21</v>
      </c>
      <c r="E80" s="98">
        <f>(-E76*$A$80)+E105</f>
        <v>-31.799999999999997</v>
      </c>
      <c r="F80" s="98">
        <f t="shared" ref="F80:BA80" si="137">(-F76*$A$80)+F105</f>
        <v>-4.3610112000000019</v>
      </c>
      <c r="G80" s="98">
        <f t="shared" si="137"/>
        <v>-4.8189173760000017</v>
      </c>
      <c r="H80" s="98">
        <f t="shared" si="137"/>
        <v>-5.3064784281600028</v>
      </c>
      <c r="I80" s="98">
        <f t="shared" si="137"/>
        <v>-5.5187375652864032</v>
      </c>
      <c r="J80" s="98">
        <f t="shared" si="137"/>
        <v>-5.7394870678978602</v>
      </c>
      <c r="K80" s="98">
        <f t="shared" si="137"/>
        <v>-5.9690665506137748</v>
      </c>
      <c r="L80" s="98">
        <f t="shared" si="137"/>
        <v>-6.2078292126383259</v>
      </c>
      <c r="M80" s="98">
        <f t="shared" si="137"/>
        <v>-6.4561423811438594</v>
      </c>
      <c r="N80" s="98">
        <f t="shared" si="137"/>
        <v>-6.7143880763896151</v>
      </c>
      <c r="O80" s="98">
        <f t="shared" si="137"/>
        <v>-6.9829635994452</v>
      </c>
      <c r="P80" s="98">
        <f t="shared" si="137"/>
        <v>-7.2622821434230076</v>
      </c>
      <c r="Q80" s="98">
        <f t="shared" si="137"/>
        <v>-7.5527734291599282</v>
      </c>
      <c r="R80" s="98">
        <f t="shared" si="137"/>
        <v>-7.854884366326325</v>
      </c>
      <c r="S80" s="98">
        <f t="shared" si="137"/>
        <v>-8.1690797409793792</v>
      </c>
      <c r="T80" s="98">
        <f t="shared" si="137"/>
        <v>-8.4958429306185543</v>
      </c>
      <c r="U80" s="98">
        <f t="shared" si="137"/>
        <v>-8.8356766478432966</v>
      </c>
      <c r="V80" s="98">
        <f t="shared" si="137"/>
        <v>-9.1891037137570297</v>
      </c>
      <c r="W80" s="98">
        <f t="shared" si="137"/>
        <v>-9.5566678623073109</v>
      </c>
      <c r="X80" s="98">
        <f t="shared" si="137"/>
        <v>-9.9389345767996033</v>
      </c>
      <c r="Y80" s="98">
        <f t="shared" si="137"/>
        <v>-10.336491959871587</v>
      </c>
      <c r="Z80" s="98">
        <f t="shared" si="137"/>
        <v>-10.749951638266451</v>
      </c>
      <c r="AA80" s="98">
        <f t="shared" si="137"/>
        <v>-11.17994970379711</v>
      </c>
      <c r="AB80" s="98">
        <f t="shared" si="137"/>
        <v>-11.627147691948995</v>
      </c>
      <c r="AC80" s="98">
        <f t="shared" si="137"/>
        <v>-12.092233599626955</v>
      </c>
      <c r="AD80" s="98">
        <f t="shared" si="137"/>
        <v>-12.575922943612035</v>
      </c>
      <c r="AE80" s="98">
        <f t="shared" si="137"/>
        <v>-13.078959861356518</v>
      </c>
      <c r="AF80" s="98">
        <f t="shared" si="137"/>
        <v>-13.602118255810778</v>
      </c>
      <c r="AG80" s="98">
        <f t="shared" si="137"/>
        <v>-14.14620298604321</v>
      </c>
      <c r="AH80" s="98">
        <f t="shared" si="137"/>
        <v>-14.712051105484937</v>
      </c>
      <c r="AI80" s="98">
        <f t="shared" si="137"/>
        <v>-15.300533149704338</v>
      </c>
      <c r="AJ80" s="98">
        <f t="shared" si="137"/>
        <v>-15.912554475692511</v>
      </c>
      <c r="AK80" s="98">
        <f t="shared" si="137"/>
        <v>-16.549056654720214</v>
      </c>
      <c r="AL80" s="98">
        <f t="shared" si="137"/>
        <v>-17.211018920909023</v>
      </c>
      <c r="AM80" s="98">
        <f t="shared" si="137"/>
        <v>-17.899459677745384</v>
      </c>
      <c r="AN80" s="98">
        <f t="shared" si="137"/>
        <v>-18.615438064855201</v>
      </c>
      <c r="AO80" s="98">
        <f t="shared" si="137"/>
        <v>-19.360055587449409</v>
      </c>
      <c r="AP80" s="98">
        <f t="shared" si="137"/>
        <v>-20.134457810947389</v>
      </c>
      <c r="AQ80" s="98">
        <f t="shared" si="137"/>
        <v>-20.939836123385287</v>
      </c>
      <c r="AR80" s="98">
        <f t="shared" si="137"/>
        <v>-21.777429568320699</v>
      </c>
      <c r="AS80" s="98">
        <f t="shared" si="137"/>
        <v>-22.648526751053527</v>
      </c>
      <c r="AT80" s="98">
        <f t="shared" si="137"/>
        <v>-23.554467821095667</v>
      </c>
      <c r="AU80" s="98">
        <f t="shared" si="137"/>
        <v>-24.496646533939494</v>
      </c>
      <c r="AV80" s="98">
        <f t="shared" si="137"/>
        <v>-25.476512395297075</v>
      </c>
      <c r="AW80" s="98">
        <f t="shared" si="137"/>
        <v>-26.495572891108957</v>
      </c>
      <c r="AX80" s="98">
        <f t="shared" si="137"/>
        <v>-27.555395806753317</v>
      </c>
      <c r="AY80" s="98">
        <f t="shared" si="137"/>
        <v>-28.65761163902345</v>
      </c>
      <c r="AZ80" s="98">
        <f t="shared" si="137"/>
        <v>-29.803916104584392</v>
      </c>
      <c r="BA80" s="98">
        <f t="shared" si="137"/>
        <v>-30.996072748767769</v>
      </c>
      <c r="BB80" s="98"/>
      <c r="BC80" s="97"/>
      <c r="BD80" s="119"/>
      <c r="BE80" s="13"/>
      <c r="BF80" s="4"/>
    </row>
    <row r="81" spans="1:58" x14ac:dyDescent="0.2">
      <c r="A81" s="105"/>
      <c r="B81" s="157"/>
      <c r="C81" s="97" t="s">
        <v>172</v>
      </c>
      <c r="D81" s="98">
        <f>D104</f>
        <v>-49</v>
      </c>
      <c r="E81" s="98">
        <f>E104</f>
        <v>-74.199999999999989</v>
      </c>
      <c r="F81" s="98">
        <f>F104</f>
        <v>0</v>
      </c>
      <c r="G81" s="98">
        <f>G104</f>
        <v>0</v>
      </c>
      <c r="H81" s="98">
        <f t="shared" ref="H81:AB81" si="138">H104</f>
        <v>0</v>
      </c>
      <c r="I81" s="98">
        <f t="shared" si="138"/>
        <v>0</v>
      </c>
      <c r="J81" s="98">
        <f t="shared" si="138"/>
        <v>0</v>
      </c>
      <c r="K81" s="98">
        <f t="shared" si="138"/>
        <v>0</v>
      </c>
      <c r="L81" s="98">
        <f t="shared" si="138"/>
        <v>0</v>
      </c>
      <c r="M81" s="98">
        <f t="shared" si="138"/>
        <v>0</v>
      </c>
      <c r="N81" s="98">
        <f t="shared" si="138"/>
        <v>0</v>
      </c>
      <c r="O81" s="98">
        <f t="shared" si="138"/>
        <v>0</v>
      </c>
      <c r="P81" s="98">
        <f t="shared" si="138"/>
        <v>0</v>
      </c>
      <c r="Q81" s="98">
        <f t="shared" si="138"/>
        <v>0</v>
      </c>
      <c r="R81" s="98">
        <f t="shared" si="138"/>
        <v>0</v>
      </c>
      <c r="S81" s="98">
        <f t="shared" si="138"/>
        <v>0</v>
      </c>
      <c r="T81" s="98">
        <f t="shared" si="138"/>
        <v>0</v>
      </c>
      <c r="U81" s="98">
        <f t="shared" si="138"/>
        <v>0</v>
      </c>
      <c r="V81" s="98">
        <f t="shared" si="138"/>
        <v>0</v>
      </c>
      <c r="W81" s="98">
        <f t="shared" si="138"/>
        <v>0</v>
      </c>
      <c r="X81" s="98">
        <f t="shared" si="138"/>
        <v>0</v>
      </c>
      <c r="Y81" s="98">
        <f t="shared" si="138"/>
        <v>0</v>
      </c>
      <c r="Z81" s="98">
        <f t="shared" si="138"/>
        <v>0</v>
      </c>
      <c r="AA81" s="98">
        <f t="shared" si="138"/>
        <v>0</v>
      </c>
      <c r="AB81" s="98">
        <f t="shared" si="138"/>
        <v>0</v>
      </c>
      <c r="AC81" s="98">
        <f t="shared" ref="AC81:AK81" si="139">AC104</f>
        <v>0</v>
      </c>
      <c r="AD81" s="98">
        <f t="shared" si="139"/>
        <v>0</v>
      </c>
      <c r="AE81" s="98">
        <f t="shared" si="139"/>
        <v>0</v>
      </c>
      <c r="AF81" s="98">
        <f t="shared" si="139"/>
        <v>0</v>
      </c>
      <c r="AG81" s="98">
        <f t="shared" si="139"/>
        <v>0</v>
      </c>
      <c r="AH81" s="98">
        <f t="shared" si="139"/>
        <v>0</v>
      </c>
      <c r="AI81" s="98">
        <f t="shared" si="139"/>
        <v>0</v>
      </c>
      <c r="AJ81" s="98">
        <f t="shared" si="139"/>
        <v>0</v>
      </c>
      <c r="AK81" s="98">
        <f t="shared" si="139"/>
        <v>0</v>
      </c>
      <c r="AL81" s="98">
        <f t="shared" ref="AL81:AY81" si="140">AL104</f>
        <v>0</v>
      </c>
      <c r="AM81" s="98">
        <f t="shared" si="140"/>
        <v>0</v>
      </c>
      <c r="AN81" s="98">
        <f t="shared" si="140"/>
        <v>0</v>
      </c>
      <c r="AO81" s="98">
        <f t="shared" si="140"/>
        <v>0</v>
      </c>
      <c r="AP81" s="98">
        <f t="shared" si="140"/>
        <v>0</v>
      </c>
      <c r="AQ81" s="98">
        <f t="shared" si="140"/>
        <v>0</v>
      </c>
      <c r="AR81" s="98">
        <f t="shared" si="140"/>
        <v>0</v>
      </c>
      <c r="AS81" s="98">
        <f t="shared" si="140"/>
        <v>0</v>
      </c>
      <c r="AT81" s="98">
        <f t="shared" si="140"/>
        <v>0</v>
      </c>
      <c r="AU81" s="98">
        <f t="shared" si="140"/>
        <v>0</v>
      </c>
      <c r="AV81" s="98">
        <f t="shared" si="140"/>
        <v>0</v>
      </c>
      <c r="AW81" s="98">
        <f t="shared" si="140"/>
        <v>0</v>
      </c>
      <c r="AX81" s="98">
        <f t="shared" si="140"/>
        <v>0</v>
      </c>
      <c r="AY81" s="98">
        <f t="shared" si="140"/>
        <v>0</v>
      </c>
      <c r="AZ81" s="98">
        <f t="shared" ref="AZ81:BA81" si="141">AZ104</f>
        <v>0</v>
      </c>
      <c r="BA81" s="98">
        <f t="shared" si="141"/>
        <v>0</v>
      </c>
      <c r="BB81" s="98"/>
      <c r="BC81" s="97" t="s">
        <v>172</v>
      </c>
      <c r="BD81" s="119">
        <f t="shared" si="135"/>
        <v>-123.19999999999999</v>
      </c>
      <c r="BE81" s="13"/>
      <c r="BF81" s="4"/>
    </row>
    <row r="82" spans="1:58" x14ac:dyDescent="0.2">
      <c r="B82" s="157"/>
      <c r="C82" s="97" t="s">
        <v>144</v>
      </c>
      <c r="D82" s="98">
        <f t="shared" ref="D82:AA82" si="142">D20</f>
        <v>-0.75899305499999992</v>
      </c>
      <c r="E82" s="98">
        <f t="shared" si="142"/>
        <v>-0.91416464240000006</v>
      </c>
      <c r="F82" s="98">
        <f t="shared" si="142"/>
        <v>-1.3736133739</v>
      </c>
      <c r="G82" s="98">
        <f t="shared" si="142"/>
        <v>-1.5645296959200004</v>
      </c>
      <c r="H82" s="98">
        <f t="shared" si="142"/>
        <v>-1.82543850118125</v>
      </c>
      <c r="I82" s="98">
        <f t="shared" si="142"/>
        <v>-1.8991231601203129</v>
      </c>
      <c r="J82" s="98">
        <f t="shared" si="142"/>
        <v>-1.9756774310391283</v>
      </c>
      <c r="K82" s="98">
        <f t="shared" si="142"/>
        <v>-1.9949496701063294</v>
      </c>
      <c r="L82" s="98">
        <f t="shared" si="142"/>
        <v>-2.0838989812225281</v>
      </c>
      <c r="M82" s="98">
        <f t="shared" si="142"/>
        <v>-2.1768422398741936</v>
      </c>
      <c r="N82" s="98">
        <f t="shared" si="142"/>
        <v>-2.2739600861112446</v>
      </c>
      <c r="O82" s="98">
        <f t="shared" si="142"/>
        <v>-2.3754414037583689</v>
      </c>
      <c r="P82" s="98">
        <f t="shared" si="142"/>
        <v>-2.4814836916681946</v>
      </c>
      <c r="Q82" s="98">
        <f t="shared" si="142"/>
        <v>-2.5922934407978326</v>
      </c>
      <c r="R82" s="98">
        <f t="shared" si="142"/>
        <v>-2.6718050267387126</v>
      </c>
      <c r="S82" s="98">
        <f t="shared" si="142"/>
        <v>-2.7542400291985567</v>
      </c>
      <c r="T82" s="98">
        <f t="shared" si="142"/>
        <v>-2.8397225134349742</v>
      </c>
      <c r="U82" s="98">
        <f t="shared" si="142"/>
        <v>-2.9283823072415189</v>
      </c>
      <c r="V82" s="98">
        <f t="shared" si="142"/>
        <v>-3.0203552418292214</v>
      </c>
      <c r="W82" s="98">
        <f t="shared" si="142"/>
        <v>-3.1157834472600476</v>
      </c>
      <c r="X82" s="98">
        <f t="shared" si="142"/>
        <v>-3.2148156866225421</v>
      </c>
      <c r="Y82" s="98">
        <f t="shared" si="142"/>
        <v>-3.3176076374301511</v>
      </c>
      <c r="Z82" s="98">
        <f t="shared" si="142"/>
        <v>-3.4243222646241458</v>
      </c>
      <c r="AA82" s="98">
        <f t="shared" si="142"/>
        <v>-3.5351301426196122</v>
      </c>
      <c r="AB82" s="98">
        <f>AA82*(1+$D$71)</f>
        <v>-3.8886431568815736</v>
      </c>
      <c r="AC82" s="98">
        <f t="shared" ref="AC82:BA82" si="143">AB82*(1+$D$71)</f>
        <v>-4.2775074725697309</v>
      </c>
      <c r="AD82" s="98">
        <f t="shared" si="143"/>
        <v>-4.7052582198267041</v>
      </c>
      <c r="AE82" s="98">
        <f t="shared" si="143"/>
        <v>-5.1757840418093748</v>
      </c>
      <c r="AF82" s="98">
        <f t="shared" si="143"/>
        <v>-5.6933624459903127</v>
      </c>
      <c r="AG82" s="98">
        <f t="shared" si="143"/>
        <v>-6.2626986905893443</v>
      </c>
      <c r="AH82" s="98">
        <f t="shared" si="143"/>
        <v>-6.888968559648279</v>
      </c>
      <c r="AI82" s="98">
        <f t="shared" si="143"/>
        <v>-7.5778654156131076</v>
      </c>
      <c r="AJ82" s="98">
        <f t="shared" si="143"/>
        <v>-8.3356519571744183</v>
      </c>
      <c r="AK82" s="98">
        <f t="shared" si="143"/>
        <v>-9.1692171528918607</v>
      </c>
      <c r="AL82" s="98">
        <f t="shared" si="143"/>
        <v>-10.086138868181047</v>
      </c>
      <c r="AM82" s="98">
        <f t="shared" si="143"/>
        <v>-11.094752754999153</v>
      </c>
      <c r="AN82" s="98">
        <f t="shared" si="143"/>
        <v>-12.204228030499069</v>
      </c>
      <c r="AO82" s="98">
        <f t="shared" si="143"/>
        <v>-13.424650833548977</v>
      </c>
      <c r="AP82" s="98">
        <f t="shared" si="143"/>
        <v>-14.767115916903876</v>
      </c>
      <c r="AQ82" s="98">
        <f t="shared" si="143"/>
        <v>-16.243827508594265</v>
      </c>
      <c r="AR82" s="98">
        <f t="shared" si="143"/>
        <v>-17.868210259453694</v>
      </c>
      <c r="AS82" s="98">
        <f t="shared" si="143"/>
        <v>-19.655031285399065</v>
      </c>
      <c r="AT82" s="98">
        <f t="shared" si="143"/>
        <v>-21.620534413938973</v>
      </c>
      <c r="AU82" s="98">
        <f t="shared" si="143"/>
        <v>-23.782587855332871</v>
      </c>
      <c r="AV82" s="98">
        <f t="shared" si="143"/>
        <v>-26.160846640866161</v>
      </c>
      <c r="AW82" s="98">
        <f t="shared" si="143"/>
        <v>-28.776931304952779</v>
      </c>
      <c r="AX82" s="98">
        <f t="shared" si="143"/>
        <v>-31.65462443544806</v>
      </c>
      <c r="AY82" s="98">
        <f t="shared" si="143"/>
        <v>-34.820086878992868</v>
      </c>
      <c r="AZ82" s="98">
        <f t="shared" si="143"/>
        <v>-38.302095566892156</v>
      </c>
      <c r="BA82" s="98">
        <f t="shared" si="143"/>
        <v>-42.132305123581375</v>
      </c>
      <c r="BB82" s="98"/>
      <c r="BC82" s="97" t="s">
        <v>144</v>
      </c>
      <c r="BD82" s="119">
        <f t="shared" si="135"/>
        <v>-481.68149846067797</v>
      </c>
      <c r="BE82" s="13"/>
      <c r="BF82" s="4"/>
    </row>
    <row r="83" spans="1:58" x14ac:dyDescent="0.2">
      <c r="B83" s="157"/>
      <c r="C83" s="10" t="s">
        <v>0</v>
      </c>
      <c r="D83" s="57">
        <f>D76+D78</f>
        <v>-70.758993055000005</v>
      </c>
      <c r="E83" s="57">
        <f>E76+E78</f>
        <v>-106.91416464239998</v>
      </c>
      <c r="F83" s="57">
        <f t="shared" ref="F83:AB83" si="144">F76+F78</f>
        <v>50.335519426100014</v>
      </c>
      <c r="G83" s="57">
        <f t="shared" si="144"/>
        <v>55.574062048080009</v>
      </c>
      <c r="H83" s="57">
        <f t="shared" si="144"/>
        <v>61.094234289858782</v>
      </c>
      <c r="I83" s="57">
        <f t="shared" si="144"/>
        <v>63.53733654256132</v>
      </c>
      <c r="J83" s="57">
        <f t="shared" si="144"/>
        <v>66.078240659749767</v>
      </c>
      <c r="K83" s="57">
        <f t="shared" si="144"/>
        <v>68.781125144314132</v>
      </c>
      <c r="L83" s="57">
        <f t="shared" si="144"/>
        <v>71.523218825774762</v>
      </c>
      <c r="M83" s="57">
        <f t="shared" si="144"/>
        <v>74.374560279402999</v>
      </c>
      <c r="N83" s="57">
        <f t="shared" si="144"/>
        <v>77.339498533937046</v>
      </c>
      <c r="O83" s="57">
        <f t="shared" si="144"/>
        <v>80.422555561091855</v>
      </c>
      <c r="P83" s="57">
        <f t="shared" si="144"/>
        <v>83.628433151776022</v>
      </c>
      <c r="Q83" s="57">
        <f t="shared" si="144"/>
        <v>86.962020076384164</v>
      </c>
      <c r="R83" s="57">
        <f t="shared" si="144"/>
        <v>90.464681031130567</v>
      </c>
      <c r="S83" s="57">
        <f t="shared" si="144"/>
        <v>94.107705470985493</v>
      </c>
      <c r="T83" s="57">
        <f t="shared" si="144"/>
        <v>97.896700806756456</v>
      </c>
      <c r="U83" s="57">
        <f t="shared" si="144"/>
        <v>101.83749794575756</v>
      </c>
      <c r="V83" s="57">
        <f t="shared" si="144"/>
        <v>105.93616022128984</v>
      </c>
      <c r="W83" s="57">
        <f t="shared" si="144"/>
        <v>110.19899263438377</v>
      </c>
      <c r="X83" s="57">
        <f t="shared" si="144"/>
        <v>114.63255143828702</v>
      </c>
      <c r="Y83" s="57">
        <f t="shared" si="144"/>
        <v>119.2436541724758</v>
      </c>
      <c r="Z83" s="57">
        <f t="shared" si="144"/>
        <v>124.03939001767804</v>
      </c>
      <c r="AA83" s="57">
        <f t="shared" si="144"/>
        <v>129.02713063097468</v>
      </c>
      <c r="AB83" s="57">
        <f t="shared" si="144"/>
        <v>133.97610804765651</v>
      </c>
      <c r="AC83" s="57">
        <f t="shared" ref="AC83:AK83" si="145">AC76+AC78</f>
        <v>139.10183378014986</v>
      </c>
      <c r="AD83" s="57">
        <f t="shared" si="145"/>
        <v>144.4092566830017</v>
      </c>
      <c r="AE83" s="57">
        <f t="shared" si="145"/>
        <v>149.90331145713219</v>
      </c>
      <c r="AF83" s="57">
        <f t="shared" si="145"/>
        <v>155.58889687290889</v>
      </c>
      <c r="AG83" s="57">
        <f t="shared" si="145"/>
        <v>161.47085100106585</v>
      </c>
      <c r="AH83" s="57">
        <f t="shared" si="145"/>
        <v>167.5539231196731</v>
      </c>
      <c r="AI83" s="57">
        <f t="shared" si="145"/>
        <v>173.84274193088117</v>
      </c>
      <c r="AJ83" s="57">
        <f t="shared" si="145"/>
        <v>180.34177968317962</v>
      </c>
      <c r="AK83" s="57">
        <f t="shared" si="145"/>
        <v>187.05531175307635</v>
      </c>
      <c r="AL83" s="57">
        <f t="shared" ref="AL83:AY83" si="146">AL76+AL78</f>
        <v>193.98737119402594</v>
      </c>
      <c r="AM83" s="57">
        <f t="shared" si="146"/>
        <v>201.1416977096961</v>
      </c>
      <c r="AN83" s="57">
        <f t="shared" si="146"/>
        <v>208.52168045278404</v>
      </c>
      <c r="AO83" s="57">
        <f t="shared" si="146"/>
        <v>216.13029398906542</v>
      </c>
      <c r="AP83" s="57">
        <f t="shared" si="146"/>
        <v>223.97002669861513</v>
      </c>
      <c r="AQ83" s="57">
        <f t="shared" si="146"/>
        <v>232.04280081154559</v>
      </c>
      <c r="AR83" s="57">
        <f t="shared" si="146"/>
        <v>240.34988319349173</v>
      </c>
      <c r="AS83" s="57">
        <f t="shared" si="146"/>
        <v>248.89178590566416</v>
      </c>
      <c r="AT83" s="57">
        <f t="shared" si="146"/>
        <v>257.66815546476676</v>
      </c>
      <c r="AU83" s="57">
        <f t="shared" si="146"/>
        <v>266.67764961852106</v>
      </c>
      <c r="AV83" s="57">
        <f t="shared" si="146"/>
        <v>275.91780033194198</v>
      </c>
      <c r="AW83" s="57">
        <f t="shared" si="146"/>
        <v>285.3848615467677</v>
      </c>
      <c r="AX83" s="57">
        <f t="shared" si="146"/>
        <v>295.07364013034123</v>
      </c>
      <c r="AY83" s="57">
        <f t="shared" si="146"/>
        <v>304.97730826942802</v>
      </c>
      <c r="AZ83" s="57">
        <f t="shared" ref="AZ83:BA83" si="147">AZ76+AZ78</f>
        <v>315.08719538746561</v>
      </c>
      <c r="BA83" s="57">
        <f t="shared" si="147"/>
        <v>325.39255746895071</v>
      </c>
      <c r="BB83" s="57"/>
      <c r="BC83" s="10" t="s">
        <v>0</v>
      </c>
      <c r="BD83" s="14">
        <f t="shared" si="135"/>
        <v>7433.8208337131482</v>
      </c>
      <c r="BE83" s="13"/>
      <c r="BF83" s="4"/>
    </row>
    <row r="84" spans="1:58" x14ac:dyDescent="0.2">
      <c r="B84" s="157"/>
      <c r="C84" s="97" t="s">
        <v>4</v>
      </c>
      <c r="D84" s="100">
        <v>0</v>
      </c>
      <c r="E84" s="100">
        <v>0</v>
      </c>
      <c r="F84" s="101">
        <f t="shared" ref="F84:AB84" si="148">F83/F76</f>
        <v>0.80795168786243887</v>
      </c>
      <c r="G84" s="101">
        <f t="shared" si="148"/>
        <v>0.80727350975971568</v>
      </c>
      <c r="H84" s="101">
        <f t="shared" si="148"/>
        <v>0.80591986911609947</v>
      </c>
      <c r="I84" s="101">
        <f t="shared" si="148"/>
        <v>0.80591140733985545</v>
      </c>
      <c r="J84" s="101">
        <f t="shared" si="148"/>
        <v>0.80590421956932956</v>
      </c>
      <c r="K84" s="101">
        <f t="shared" si="148"/>
        <v>0.80660497236488604</v>
      </c>
      <c r="L84" s="101">
        <f t="shared" si="148"/>
        <v>0.80650178126862793</v>
      </c>
      <c r="M84" s="101">
        <f t="shared" si="148"/>
        <v>0.80639783204964022</v>
      </c>
      <c r="N84" s="101">
        <f t="shared" si="148"/>
        <v>0.80629311797042003</v>
      </c>
      <c r="O84" s="101">
        <f t="shared" si="148"/>
        <v>0.80618763209988709</v>
      </c>
      <c r="P84" s="101">
        <f t="shared" si="148"/>
        <v>0.80608136740128078</v>
      </c>
      <c r="Q84" s="101">
        <f t="shared" si="148"/>
        <v>0.80597431691049259</v>
      </c>
      <c r="R84" s="101">
        <f t="shared" si="148"/>
        <v>0.80618980202006707</v>
      </c>
      <c r="S84" s="101">
        <f t="shared" si="148"/>
        <v>0.80639920184929115</v>
      </c>
      <c r="T84" s="101">
        <f t="shared" si="148"/>
        <v>0.80660260699688158</v>
      </c>
      <c r="U84" s="101">
        <f t="shared" si="148"/>
        <v>0.80680010601599572</v>
      </c>
      <c r="V84" s="101">
        <f t="shared" si="148"/>
        <v>0.80699178575909203</v>
      </c>
      <c r="W84" s="101">
        <f t="shared" si="148"/>
        <v>0.80717773135462456</v>
      </c>
      <c r="X84" s="101">
        <f t="shared" si="148"/>
        <v>0.80735802602133222</v>
      </c>
      <c r="Y84" s="101">
        <f t="shared" si="148"/>
        <v>0.80753275138976688</v>
      </c>
      <c r="Z84" s="101">
        <f t="shared" si="148"/>
        <v>0.80770198726565201</v>
      </c>
      <c r="AA84" s="101">
        <f t="shared" si="148"/>
        <v>0.80786581187397233</v>
      </c>
      <c r="AB84" s="101">
        <f t="shared" si="148"/>
        <v>0.80658883948208615</v>
      </c>
      <c r="AC84" s="101">
        <f t="shared" ref="AC84:AJ84" si="149">AC83/AC76</f>
        <v>0.80523819560605259</v>
      </c>
      <c r="AD84" s="101">
        <f t="shared" si="149"/>
        <v>0.80380962996794025</v>
      </c>
      <c r="AE84" s="101">
        <f t="shared" si="149"/>
        <v>0.80229864708147536</v>
      </c>
      <c r="AF84" s="101">
        <f t="shared" si="149"/>
        <v>0.8007004921054065</v>
      </c>
      <c r="AG84" s="101">
        <f t="shared" si="149"/>
        <v>0.79901013588071845</v>
      </c>
      <c r="AH84" s="101">
        <f t="shared" si="149"/>
        <v>0.79722225910460609</v>
      </c>
      <c r="AI84" s="101">
        <f t="shared" si="149"/>
        <v>0.79533123559141028</v>
      </c>
      <c r="AJ84" s="101">
        <f t="shared" si="149"/>
        <v>0.79333111456783778</v>
      </c>
      <c r="AK84" s="101">
        <f>AK83/AK76</f>
        <v>0.79121560194675145</v>
      </c>
      <c r="AL84" s="101">
        <f t="shared" ref="AL84" si="150">AL83/AL76</f>
        <v>0.78897804052060261</v>
      </c>
      <c r="AM84" s="101">
        <f t="shared" ref="AM84" si="151">AM83/AM76</f>
        <v>0.78661138901217575</v>
      </c>
      <c r="AN84" s="101">
        <f t="shared" ref="AN84" si="152">AN83/AN76</f>
        <v>0.78410819991672442</v>
      </c>
      <c r="AO84" s="101">
        <f t="shared" ref="AO84" si="153">AO83/AO76</f>
        <v>0.78146059606576612</v>
      </c>
      <c r="AP84" s="101">
        <f>AP83/AP76</f>
        <v>0.77866024583879112</v>
      </c>
      <c r="AQ84" s="101">
        <f t="shared" ref="AQ84" si="154">AQ83/AQ76</f>
        <v>0.77569833694487533</v>
      </c>
      <c r="AR84" s="101">
        <f t="shared" ref="AR84" si="155">AR83/AR76</f>
        <v>0.77256554869169503</v>
      </c>
      <c r="AS84" s="101">
        <f t="shared" ref="AS84" si="156">AS83/AS76</f>
        <v>0.76925202265467729</v>
      </c>
      <c r="AT84" s="101">
        <f t="shared" ref="AT84" si="157">AT83/AT76</f>
        <v>0.76574733165398556</v>
      </c>
      <c r="AU84" s="101">
        <f t="shared" ref="AU84" si="158">AU83/AU76</f>
        <v>0.76204044694171547</v>
      </c>
      <c r="AV84" s="101">
        <f t="shared" ref="AV84" si="159">AV83/AV76</f>
        <v>0.75811970349604529</v>
      </c>
      <c r="AW84" s="101">
        <f t="shared" ref="AW84" si="160">AW83/AW76</f>
        <v>0.75397276331312479</v>
      </c>
      <c r="AX84" s="101">
        <f t="shared" ref="AX84" si="161">AX83/AX76</f>
        <v>0.74958657658118966</v>
      </c>
      <c r="AY84" s="101">
        <f>AY83/AY76</f>
        <v>0.7449473406147199</v>
      </c>
      <c r="AZ84" s="101">
        <f t="shared" ref="AZ84" si="162">AZ83/AZ76</f>
        <v>0.74004045641941529</v>
      </c>
      <c r="BA84" s="101">
        <f t="shared" ref="BA84" si="163">BA83/BA76</f>
        <v>0.7348504827513046</v>
      </c>
      <c r="BB84" s="101"/>
      <c r="BC84" s="97" t="s">
        <v>4</v>
      </c>
      <c r="BD84" s="110">
        <f>BD83/BD76</f>
        <v>0.76253717031609503</v>
      </c>
      <c r="BF84" s="4"/>
    </row>
    <row r="85" spans="1:58" x14ac:dyDescent="0.2">
      <c r="B85" s="157"/>
      <c r="BF85" s="4"/>
    </row>
    <row r="86" spans="1:58" x14ac:dyDescent="0.2">
      <c r="B86" s="157"/>
      <c r="C86" s="10" t="s">
        <v>181</v>
      </c>
      <c r="D86" s="57">
        <f>D24</f>
        <v>0</v>
      </c>
      <c r="E86" s="57">
        <f t="shared" ref="E86:BA86" si="164">E24</f>
        <v>0</v>
      </c>
      <c r="F86" s="57">
        <f t="shared" si="164"/>
        <v>-10.35692167</v>
      </c>
      <c r="G86" s="57">
        <f t="shared" si="164"/>
        <v>-9.8964761699999997</v>
      </c>
      <c r="H86" s="57">
        <f t="shared" si="164"/>
        <v>-9.4076313999999996</v>
      </c>
      <c r="I86" s="57">
        <f t="shared" si="164"/>
        <v>-8.8886357599999997</v>
      </c>
      <c r="J86" s="57">
        <f t="shared" si="164"/>
        <v>-8.3376295999999996</v>
      </c>
      <c r="K86" s="57">
        <f t="shared" si="164"/>
        <v>-7.7526385800000002</v>
      </c>
      <c r="L86" s="57">
        <f t="shared" si="164"/>
        <v>-7.1315665999999993</v>
      </c>
      <c r="M86" s="57">
        <f t="shared" si="164"/>
        <v>-6.4721882599999994</v>
      </c>
      <c r="N86" s="57">
        <f t="shared" si="164"/>
        <v>-5.7721409000000001</v>
      </c>
      <c r="O86" s="57">
        <f t="shared" si="164"/>
        <v>-5.0289161600000005</v>
      </c>
      <c r="P86" s="57">
        <f t="shared" si="164"/>
        <v>-4.2398509400000002</v>
      </c>
      <c r="Q86" s="57">
        <f t="shared" si="164"/>
        <v>-3.4021178999999999</v>
      </c>
      <c r="R86" s="57">
        <f t="shared" si="164"/>
        <v>-2.5127153199999999</v>
      </c>
      <c r="S86" s="57">
        <f t="shared" si="164"/>
        <v>-1.56845634</v>
      </c>
      <c r="T86" s="57">
        <f t="shared" si="164"/>
        <v>-0.56595753000000004</v>
      </c>
      <c r="U86" s="57">
        <f t="shared" si="164"/>
        <v>0</v>
      </c>
      <c r="V86" s="57">
        <f t="shared" si="164"/>
        <v>0</v>
      </c>
      <c r="W86" s="57">
        <f t="shared" si="164"/>
        <v>0</v>
      </c>
      <c r="X86" s="57">
        <f t="shared" si="164"/>
        <v>0</v>
      </c>
      <c r="Y86" s="57">
        <f t="shared" si="164"/>
        <v>0</v>
      </c>
      <c r="Z86" s="57">
        <f t="shared" si="164"/>
        <v>0</v>
      </c>
      <c r="AA86" s="57">
        <f t="shared" si="164"/>
        <v>0</v>
      </c>
      <c r="AB86" s="57">
        <f t="shared" si="164"/>
        <v>0</v>
      </c>
      <c r="AC86" s="57">
        <f t="shared" si="164"/>
        <v>0</v>
      </c>
      <c r="AD86" s="57">
        <f t="shared" si="164"/>
        <v>0</v>
      </c>
      <c r="AE86" s="57">
        <f t="shared" si="164"/>
        <v>0</v>
      </c>
      <c r="AF86" s="57">
        <f t="shared" si="164"/>
        <v>0</v>
      </c>
      <c r="AG86" s="57">
        <f t="shared" si="164"/>
        <v>0</v>
      </c>
      <c r="AH86" s="57">
        <f t="shared" si="164"/>
        <v>0</v>
      </c>
      <c r="AI86" s="57">
        <f t="shared" si="164"/>
        <v>0</v>
      </c>
      <c r="AJ86" s="57">
        <f t="shared" si="164"/>
        <v>0</v>
      </c>
      <c r="AK86" s="57">
        <f t="shared" si="164"/>
        <v>0</v>
      </c>
      <c r="AL86" s="57">
        <f t="shared" si="164"/>
        <v>0</v>
      </c>
      <c r="AM86" s="57">
        <f t="shared" si="164"/>
        <v>0</v>
      </c>
      <c r="AN86" s="57">
        <f t="shared" si="164"/>
        <v>0</v>
      </c>
      <c r="AO86" s="57">
        <f t="shared" si="164"/>
        <v>0</v>
      </c>
      <c r="AP86" s="57">
        <f t="shared" si="164"/>
        <v>0</v>
      </c>
      <c r="AQ86" s="57">
        <f t="shared" si="164"/>
        <v>0</v>
      </c>
      <c r="AR86" s="57">
        <f t="shared" si="164"/>
        <v>0</v>
      </c>
      <c r="AS86" s="57">
        <f t="shared" si="164"/>
        <v>0</v>
      </c>
      <c r="AT86" s="57">
        <f t="shared" si="164"/>
        <v>0</v>
      </c>
      <c r="AU86" s="57">
        <f t="shared" si="164"/>
        <v>0</v>
      </c>
      <c r="AV86" s="57">
        <f t="shared" si="164"/>
        <v>0</v>
      </c>
      <c r="AW86" s="57">
        <f t="shared" si="164"/>
        <v>0</v>
      </c>
      <c r="AX86" s="57">
        <f t="shared" si="164"/>
        <v>0</v>
      </c>
      <c r="AY86" s="57">
        <f t="shared" si="164"/>
        <v>0</v>
      </c>
      <c r="AZ86" s="57">
        <f t="shared" si="164"/>
        <v>0</v>
      </c>
      <c r="BA86" s="57">
        <f t="shared" si="164"/>
        <v>0</v>
      </c>
      <c r="BB86" s="57"/>
      <c r="BC86" s="10" t="s">
        <v>181</v>
      </c>
      <c r="BD86" s="14">
        <f t="shared" ref="BD86:BD87" si="165">SUM(D86:BB86)</f>
        <v>-91.333843129999977</v>
      </c>
      <c r="BE86" s="13"/>
      <c r="BF86" s="4"/>
    </row>
    <row r="87" spans="1:58" x14ac:dyDescent="0.2">
      <c r="A87" s="106">
        <v>15</v>
      </c>
      <c r="B87" s="157"/>
      <c r="C87" s="10" t="s">
        <v>179</v>
      </c>
      <c r="D87" s="57">
        <f>($D$42)/($A$25)</f>
        <v>-3.2666666666666666</v>
      </c>
      <c r="E87" s="57">
        <f t="shared" ref="E87:R87" si="166">($D$42)/($A$25)+($E$42/$A$25)</f>
        <v>-8.2133333333333329</v>
      </c>
      <c r="F87" s="57">
        <f t="shared" si="166"/>
        <v>-8.2133333333333329</v>
      </c>
      <c r="G87" s="57">
        <f t="shared" si="166"/>
        <v>-8.2133333333333329</v>
      </c>
      <c r="H87" s="57">
        <f t="shared" si="166"/>
        <v>-8.2133333333333329</v>
      </c>
      <c r="I87" s="57">
        <f t="shared" si="166"/>
        <v>-8.2133333333333329</v>
      </c>
      <c r="J87" s="57">
        <f t="shared" si="166"/>
        <v>-8.2133333333333329</v>
      </c>
      <c r="K87" s="57">
        <f t="shared" si="166"/>
        <v>-8.2133333333333329</v>
      </c>
      <c r="L87" s="57">
        <f t="shared" si="166"/>
        <v>-8.2133333333333329</v>
      </c>
      <c r="M87" s="57">
        <f t="shared" si="166"/>
        <v>-8.2133333333333329</v>
      </c>
      <c r="N87" s="57">
        <f t="shared" si="166"/>
        <v>-8.2133333333333329</v>
      </c>
      <c r="O87" s="57">
        <f t="shared" si="166"/>
        <v>-8.2133333333333329</v>
      </c>
      <c r="P87" s="57">
        <f t="shared" si="166"/>
        <v>-8.2133333333333329</v>
      </c>
      <c r="Q87" s="57">
        <f t="shared" si="166"/>
        <v>-8.2133333333333329</v>
      </c>
      <c r="R87" s="57">
        <f t="shared" si="166"/>
        <v>-8.2133333333333329</v>
      </c>
      <c r="S87" s="57">
        <f>($E$42)/($A$25)</f>
        <v>-4.9466666666666663</v>
      </c>
      <c r="T87" s="57">
        <v>0</v>
      </c>
      <c r="U87" s="57">
        <v>0</v>
      </c>
      <c r="V87" s="57">
        <v>0</v>
      </c>
      <c r="W87" s="57">
        <v>0</v>
      </c>
      <c r="X87" s="57">
        <v>0</v>
      </c>
      <c r="Y87" s="57">
        <v>0</v>
      </c>
      <c r="Z87" s="57">
        <v>0</v>
      </c>
      <c r="AA87" s="57">
        <v>0</v>
      </c>
      <c r="AB87" s="57">
        <v>0</v>
      </c>
      <c r="AC87" s="57">
        <v>0</v>
      </c>
      <c r="AD87" s="57">
        <v>0</v>
      </c>
      <c r="AE87" s="57">
        <v>0</v>
      </c>
      <c r="AF87" s="57">
        <v>0</v>
      </c>
      <c r="AG87" s="57">
        <v>0</v>
      </c>
      <c r="AH87" s="57">
        <v>0</v>
      </c>
      <c r="AI87" s="57">
        <v>0</v>
      </c>
      <c r="AJ87" s="57">
        <v>0</v>
      </c>
      <c r="AK87" s="57">
        <v>0</v>
      </c>
      <c r="AL87" s="57">
        <v>0</v>
      </c>
      <c r="AM87" s="57">
        <v>0</v>
      </c>
      <c r="AN87" s="57">
        <v>0</v>
      </c>
      <c r="AO87" s="57">
        <v>0</v>
      </c>
      <c r="AP87" s="57">
        <v>0</v>
      </c>
      <c r="AQ87" s="57">
        <v>0</v>
      </c>
      <c r="AR87" s="57">
        <v>0</v>
      </c>
      <c r="AS87" s="57">
        <v>0</v>
      </c>
      <c r="AT87" s="57">
        <v>0</v>
      </c>
      <c r="AU87" s="57">
        <v>0</v>
      </c>
      <c r="AV87" s="57">
        <v>0</v>
      </c>
      <c r="AW87" s="57">
        <v>0</v>
      </c>
      <c r="AX87" s="57">
        <v>0</v>
      </c>
      <c r="AY87" s="57">
        <v>0</v>
      </c>
      <c r="AZ87" s="57">
        <v>0</v>
      </c>
      <c r="BA87" s="57">
        <v>0</v>
      </c>
      <c r="BB87" s="57"/>
      <c r="BC87" s="10" t="s">
        <v>179</v>
      </c>
      <c r="BD87" s="14">
        <f t="shared" si="165"/>
        <v>-123.20000000000003</v>
      </c>
      <c r="BE87" s="13"/>
      <c r="BF87" s="4"/>
    </row>
    <row r="88" spans="1:58" x14ac:dyDescent="0.2">
      <c r="B88" s="157"/>
      <c r="C88" s="10" t="s">
        <v>141</v>
      </c>
      <c r="D88" s="57">
        <f>D83+D86+D87</f>
        <v>-74.025659721666671</v>
      </c>
      <c r="E88" s="57">
        <f t="shared" ref="E88" si="167">E83+E86+E87</f>
        <v>-115.12749797573332</v>
      </c>
      <c r="F88" s="57">
        <f t="shared" ref="F88" si="168">F83+F86+F87</f>
        <v>31.765264422766684</v>
      </c>
      <c r="G88" s="57">
        <f t="shared" ref="G88" si="169">G83+G86+G87</f>
        <v>37.464252544746678</v>
      </c>
      <c r="H88" s="57">
        <f t="shared" ref="H88" si="170">H83+H86+H87</f>
        <v>43.473269556525452</v>
      </c>
      <c r="I88" s="57">
        <f t="shared" ref="I88" si="171">I83+I86+I87</f>
        <v>46.435367449227989</v>
      </c>
      <c r="J88" s="57">
        <f t="shared" ref="J88" si="172">J83+J86+J87</f>
        <v>49.527277726416436</v>
      </c>
      <c r="K88" s="57">
        <f t="shared" ref="K88" si="173">K83+K86+K87</f>
        <v>52.815153230980798</v>
      </c>
      <c r="L88" s="57">
        <f t="shared" ref="L88" si="174">L83+L86+L87</f>
        <v>56.178318892441432</v>
      </c>
      <c r="M88" s="57">
        <f t="shared" ref="M88" si="175">M83+M86+M87</f>
        <v>59.689038686069672</v>
      </c>
      <c r="N88" s="57">
        <f t="shared" ref="N88" si="176">N83+N86+N87</f>
        <v>63.354024300603719</v>
      </c>
      <c r="O88" s="57">
        <f t="shared" ref="O88" si="177">O83+O86+O87</f>
        <v>67.180306067758522</v>
      </c>
      <c r="P88" s="57">
        <f t="shared" ref="P88" si="178">P83+P86+P87</f>
        <v>71.175248878442687</v>
      </c>
      <c r="Q88" s="57">
        <f t="shared" ref="Q88" si="179">Q83+Q86+Q87</f>
        <v>75.346568843050832</v>
      </c>
      <c r="R88" s="57">
        <f t="shared" ref="R88" si="180">R83+R86+R87</f>
        <v>79.738632377797231</v>
      </c>
      <c r="S88" s="57">
        <f t="shared" ref="S88" si="181">S83+S86+S87</f>
        <v>87.592582464318824</v>
      </c>
      <c r="T88" s="57">
        <f t="shared" ref="T88" si="182">T83+T86+T87</f>
        <v>97.330743276756451</v>
      </c>
      <c r="U88" s="57">
        <f t="shared" ref="U88" si="183">U83+U86+U87</f>
        <v>101.83749794575756</v>
      </c>
      <c r="V88" s="57">
        <f t="shared" ref="V88" si="184">V83+V86+V87</f>
        <v>105.93616022128984</v>
      </c>
      <c r="W88" s="57">
        <f t="shared" ref="W88" si="185">W83+W86+W87</f>
        <v>110.19899263438377</v>
      </c>
      <c r="X88" s="57">
        <f t="shared" ref="X88" si="186">X83+X86+X87</f>
        <v>114.63255143828702</v>
      </c>
      <c r="Y88" s="57">
        <f t="shared" ref="Y88" si="187">Y83+Y86+Y87</f>
        <v>119.2436541724758</v>
      </c>
      <c r="Z88" s="57">
        <f t="shared" ref="Z88" si="188">Z83+Z86+Z87</f>
        <v>124.03939001767804</v>
      </c>
      <c r="AA88" s="57">
        <f t="shared" ref="AA88" si="189">AA83+AA86+AA87</f>
        <v>129.02713063097468</v>
      </c>
      <c r="AB88" s="57">
        <f t="shared" ref="AB88" si="190">AB83+AB86+AB87</f>
        <v>133.97610804765651</v>
      </c>
      <c r="AC88" s="57">
        <f t="shared" ref="AC88" si="191">AC83+AC86+AC87</f>
        <v>139.10183378014986</v>
      </c>
      <c r="AD88" s="57">
        <f t="shared" ref="AD88" si="192">AD83+AD86+AD87</f>
        <v>144.4092566830017</v>
      </c>
      <c r="AE88" s="57">
        <f t="shared" ref="AE88" si="193">AE83+AE86+AE87</f>
        <v>149.90331145713219</v>
      </c>
      <c r="AF88" s="57">
        <f t="shared" ref="AF88" si="194">AF83+AF86+AF87</f>
        <v>155.58889687290889</v>
      </c>
      <c r="AG88" s="57">
        <f t="shared" ref="AG88" si="195">AG83+AG86+AG87</f>
        <v>161.47085100106585</v>
      </c>
      <c r="AH88" s="57">
        <f t="shared" ref="AH88" si="196">AH83+AH86+AH87</f>
        <v>167.5539231196731</v>
      </c>
      <c r="AI88" s="57">
        <f t="shared" ref="AI88" si="197">AI83+AI86+AI87</f>
        <v>173.84274193088117</v>
      </c>
      <c r="AJ88" s="57">
        <f t="shared" ref="AJ88" si="198">AJ83+AJ86+AJ87</f>
        <v>180.34177968317962</v>
      </c>
      <c r="AK88" s="57">
        <f t="shared" ref="AK88" si="199">AK83+AK86+AK87</f>
        <v>187.05531175307635</v>
      </c>
      <c r="AL88" s="57">
        <f t="shared" ref="AL88" si="200">AL83+AL86+AL87</f>
        <v>193.98737119402594</v>
      </c>
      <c r="AM88" s="57">
        <f t="shared" ref="AM88" si="201">AM83+AM86+AM87</f>
        <v>201.1416977096961</v>
      </c>
      <c r="AN88" s="57">
        <f t="shared" ref="AN88" si="202">AN83+AN86+AN87</f>
        <v>208.52168045278404</v>
      </c>
      <c r="AO88" s="57">
        <f t="shared" ref="AO88" si="203">AO83+AO86+AO87</f>
        <v>216.13029398906542</v>
      </c>
      <c r="AP88" s="57">
        <f t="shared" ref="AP88" si="204">AP83+AP86+AP87</f>
        <v>223.97002669861513</v>
      </c>
      <c r="AQ88" s="57">
        <f t="shared" ref="AQ88" si="205">AQ83+AQ86+AQ87</f>
        <v>232.04280081154559</v>
      </c>
      <c r="AR88" s="57">
        <f t="shared" ref="AR88" si="206">AR83+AR86+AR87</f>
        <v>240.34988319349173</v>
      </c>
      <c r="AS88" s="57">
        <f t="shared" ref="AS88" si="207">AS83+AS86+AS87</f>
        <v>248.89178590566416</v>
      </c>
      <c r="AT88" s="57">
        <f t="shared" ref="AT88" si="208">AT83+AT86+AT87</f>
        <v>257.66815546476676</v>
      </c>
      <c r="AU88" s="57">
        <f t="shared" ref="AU88" si="209">AU83+AU86+AU87</f>
        <v>266.67764961852106</v>
      </c>
      <c r="AV88" s="57">
        <f t="shared" ref="AV88" si="210">AV83+AV86+AV87</f>
        <v>275.91780033194198</v>
      </c>
      <c r="AW88" s="57">
        <f t="shared" ref="AW88" si="211">AW83+AW86+AW87</f>
        <v>285.3848615467677</v>
      </c>
      <c r="AX88" s="57">
        <f t="shared" ref="AX88" si="212">AX83+AX86+AX87</f>
        <v>295.07364013034123</v>
      </c>
      <c r="AY88" s="57">
        <f t="shared" ref="AY88" si="213">AY83+AY86+AY87</f>
        <v>304.97730826942802</v>
      </c>
      <c r="AZ88" s="57">
        <f t="shared" ref="AZ88" si="214">AZ83+AZ86+AZ87</f>
        <v>315.08719538746561</v>
      </c>
      <c r="BA88" s="57">
        <f t="shared" ref="BA88" si="215">BA83+BA86+BA87</f>
        <v>325.39255746895071</v>
      </c>
      <c r="BB88" s="57"/>
      <c r="BC88" s="10" t="s">
        <v>141</v>
      </c>
      <c r="BD88" s="14">
        <f t="shared" ref="BD88" si="216">SUM(D88:BB88)</f>
        <v>7219.2869905831476</v>
      </c>
      <c r="BE88" s="13"/>
      <c r="BF88" s="4"/>
    </row>
    <row r="89" spans="1:58" x14ac:dyDescent="0.2">
      <c r="B89" s="157"/>
      <c r="C89" s="97" t="s">
        <v>142</v>
      </c>
      <c r="D89" s="100">
        <v>0</v>
      </c>
      <c r="E89" s="100">
        <v>0</v>
      </c>
      <c r="F89" s="102">
        <f t="shared" ref="F89:AB89" si="217">F88/F76</f>
        <v>0.50987452396216437</v>
      </c>
      <c r="G89" s="102">
        <f t="shared" si="217"/>
        <v>0.54420889040208076</v>
      </c>
      <c r="H89" s="102">
        <f t="shared" si="217"/>
        <v>0.57347427491794645</v>
      </c>
      <c r="I89" s="102">
        <f t="shared" si="217"/>
        <v>0.58898900029091539</v>
      </c>
      <c r="J89" s="102">
        <f t="shared" si="217"/>
        <v>0.60404516986200618</v>
      </c>
      <c r="K89" s="102">
        <f t="shared" si="217"/>
        <v>0.61936999609905541</v>
      </c>
      <c r="L89" s="102">
        <f t="shared" si="217"/>
        <v>0.63347140969421034</v>
      </c>
      <c r="M89" s="102">
        <f t="shared" si="217"/>
        <v>0.64717171049821298</v>
      </c>
      <c r="N89" s="102">
        <f t="shared" si="217"/>
        <v>0.66048933284578348</v>
      </c>
      <c r="O89" s="102">
        <f t="shared" si="217"/>
        <v>0.67344206478703716</v>
      </c>
      <c r="P89" s="102">
        <f t="shared" si="217"/>
        <v>0.68604707488583527</v>
      </c>
      <c r="Q89" s="102">
        <f t="shared" si="217"/>
        <v>0.69832093713424137</v>
      </c>
      <c r="R89" s="102">
        <f t="shared" si="217"/>
        <v>0.71060298358743768</v>
      </c>
      <c r="S89" s="102">
        <f t="shared" si="217"/>
        <v>0.75057178616391185</v>
      </c>
      <c r="T89" s="102">
        <f t="shared" si="217"/>
        <v>0.80193949970740674</v>
      </c>
      <c r="U89" s="102">
        <f t="shared" si="217"/>
        <v>0.80680010601599572</v>
      </c>
      <c r="V89" s="102">
        <f t="shared" si="217"/>
        <v>0.80699178575909203</v>
      </c>
      <c r="W89" s="102">
        <f t="shared" si="217"/>
        <v>0.80717773135462456</v>
      </c>
      <c r="X89" s="102">
        <f t="shared" si="217"/>
        <v>0.80735802602133222</v>
      </c>
      <c r="Y89" s="102">
        <f t="shared" si="217"/>
        <v>0.80753275138976688</v>
      </c>
      <c r="Z89" s="102">
        <f t="shared" si="217"/>
        <v>0.80770198726565201</v>
      </c>
      <c r="AA89" s="102">
        <f t="shared" si="217"/>
        <v>0.80786581187397233</v>
      </c>
      <c r="AB89" s="102">
        <f t="shared" si="217"/>
        <v>0.80658883948208615</v>
      </c>
      <c r="AC89" s="102">
        <f t="shared" ref="AC89:AJ89" si="218">AC88/AC76</f>
        <v>0.80523819560605259</v>
      </c>
      <c r="AD89" s="102">
        <f t="shared" si="218"/>
        <v>0.80380962996794025</v>
      </c>
      <c r="AE89" s="102">
        <f t="shared" si="218"/>
        <v>0.80229864708147536</v>
      </c>
      <c r="AF89" s="102">
        <f t="shared" si="218"/>
        <v>0.8007004921054065</v>
      </c>
      <c r="AG89" s="102">
        <f t="shared" si="218"/>
        <v>0.79901013588071845</v>
      </c>
      <c r="AH89" s="102">
        <f t="shared" si="218"/>
        <v>0.79722225910460609</v>
      </c>
      <c r="AI89" s="102">
        <f t="shared" si="218"/>
        <v>0.79533123559141028</v>
      </c>
      <c r="AJ89" s="102">
        <f t="shared" si="218"/>
        <v>0.79333111456783778</v>
      </c>
      <c r="AK89" s="102">
        <f>AK88/AK76</f>
        <v>0.79121560194675145</v>
      </c>
      <c r="AL89" s="102">
        <f t="shared" ref="AL89" si="219">AL88/AL76</f>
        <v>0.78897804052060261</v>
      </c>
      <c r="AM89" s="102">
        <f t="shared" ref="AM89" si="220">AM88/AM76</f>
        <v>0.78661138901217575</v>
      </c>
      <c r="AN89" s="102">
        <f t="shared" ref="AN89" si="221">AN88/AN76</f>
        <v>0.78410819991672442</v>
      </c>
      <c r="AO89" s="102">
        <f t="shared" ref="AO89" si="222">AO88/AO76</f>
        <v>0.78146059606576612</v>
      </c>
      <c r="AP89" s="102">
        <f>AP88/AP76</f>
        <v>0.77866024583879112</v>
      </c>
      <c r="AQ89" s="102">
        <f t="shared" ref="AQ89" si="223">AQ88/AQ76</f>
        <v>0.77569833694487533</v>
      </c>
      <c r="AR89" s="102">
        <f t="shared" ref="AR89" si="224">AR88/AR76</f>
        <v>0.77256554869169503</v>
      </c>
      <c r="AS89" s="102">
        <f t="shared" ref="AS89" si="225">AS88/AS76</f>
        <v>0.76925202265467729</v>
      </c>
      <c r="AT89" s="102">
        <f t="shared" ref="AT89" si="226">AT88/AT76</f>
        <v>0.76574733165398556</v>
      </c>
      <c r="AU89" s="102">
        <f t="shared" ref="AU89" si="227">AU88/AU76</f>
        <v>0.76204044694171547</v>
      </c>
      <c r="AV89" s="102">
        <f t="shared" ref="AV89" si="228">AV88/AV76</f>
        <v>0.75811970349604529</v>
      </c>
      <c r="AW89" s="102">
        <f t="shared" ref="AW89" si="229">AW88/AW76</f>
        <v>0.75397276331312479</v>
      </c>
      <c r="AX89" s="102">
        <f t="shared" ref="AX89" si="230">AX88/AX76</f>
        <v>0.74958657658118966</v>
      </c>
      <c r="AY89" s="102">
        <f>AY88/AY76</f>
        <v>0.7449473406147199</v>
      </c>
      <c r="AZ89" s="102">
        <f t="shared" ref="AZ89" si="231">AZ88/AZ76</f>
        <v>0.74004045641941529</v>
      </c>
      <c r="BA89" s="102">
        <f t="shared" ref="BA89" si="232">BA88/BA76</f>
        <v>0.7348504827513046</v>
      </c>
      <c r="BB89" s="102"/>
      <c r="BC89" s="97" t="s">
        <v>142</v>
      </c>
      <c r="BD89" s="110">
        <f>BD88/BD76</f>
        <v>0.7405309862370425</v>
      </c>
      <c r="BE89" s="13"/>
      <c r="BF89" s="4"/>
    </row>
    <row r="90" spans="1:58" x14ac:dyDescent="0.2">
      <c r="B90" s="157"/>
      <c r="D90" s="50"/>
      <c r="E90" s="50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D90" s="50"/>
      <c r="BE90" s="13"/>
      <c r="BF90" s="4"/>
    </row>
    <row r="91" spans="1:58" x14ac:dyDescent="0.2">
      <c r="A91" s="107">
        <v>0.05</v>
      </c>
      <c r="B91" s="157"/>
      <c r="C91" s="10" t="s">
        <v>180</v>
      </c>
      <c r="D91" s="70">
        <v>0</v>
      </c>
      <c r="E91" s="70">
        <v>0</v>
      </c>
      <c r="F91" s="70">
        <f>-F76*$A$91</f>
        <v>-3.1150080000000013</v>
      </c>
      <c r="G91" s="70">
        <f t="shared" ref="G91:BA91" si="233">-G76*$A$91</f>
        <v>-3.4420838400000009</v>
      </c>
      <c r="H91" s="70">
        <f t="shared" si="233"/>
        <v>-3.7903417344000019</v>
      </c>
      <c r="I91" s="70">
        <f t="shared" si="233"/>
        <v>-3.9419554037760025</v>
      </c>
      <c r="J91" s="70">
        <f t="shared" si="233"/>
        <v>-4.0996336199270429</v>
      </c>
      <c r="K91" s="70">
        <f t="shared" si="233"/>
        <v>-4.2636189647241247</v>
      </c>
      <c r="L91" s="70">
        <f t="shared" si="233"/>
        <v>-4.4341637233130902</v>
      </c>
      <c r="M91" s="70">
        <f t="shared" si="233"/>
        <v>-4.6115302722456137</v>
      </c>
      <c r="N91" s="70">
        <f t="shared" si="233"/>
        <v>-4.7959914831354391</v>
      </c>
      <c r="O91" s="70">
        <f t="shared" si="233"/>
        <v>-4.9878311424608572</v>
      </c>
      <c r="P91" s="70">
        <f t="shared" si="233"/>
        <v>-5.1873443881592909</v>
      </c>
      <c r="Q91" s="70">
        <f t="shared" si="233"/>
        <v>-5.3948381636856624</v>
      </c>
      <c r="R91" s="70">
        <f t="shared" si="233"/>
        <v>-5.6106316902330891</v>
      </c>
      <c r="S91" s="70">
        <f t="shared" si="233"/>
        <v>-5.8350569578424132</v>
      </c>
      <c r="T91" s="70">
        <f t="shared" si="233"/>
        <v>-6.0684592361561105</v>
      </c>
      <c r="U91" s="70">
        <f t="shared" si="233"/>
        <v>-6.3111976056023549</v>
      </c>
      <c r="V91" s="70">
        <f t="shared" si="233"/>
        <v>-6.5636455098264497</v>
      </c>
      <c r="W91" s="70">
        <f t="shared" si="233"/>
        <v>-6.8261913302195074</v>
      </c>
      <c r="X91" s="70">
        <f t="shared" si="233"/>
        <v>-7.0992389834282879</v>
      </c>
      <c r="Y91" s="70">
        <f t="shared" si="233"/>
        <v>-7.3832085427654199</v>
      </c>
      <c r="Z91" s="70">
        <f t="shared" si="233"/>
        <v>-7.6785368844760358</v>
      </c>
      <c r="AA91" s="70">
        <f t="shared" si="233"/>
        <v>-7.9856783598550782</v>
      </c>
      <c r="AB91" s="70">
        <f t="shared" si="233"/>
        <v>-8.3051054942492808</v>
      </c>
      <c r="AC91" s="70">
        <f t="shared" si="233"/>
        <v>-8.6373097140192527</v>
      </c>
      <c r="AD91" s="70">
        <f t="shared" si="233"/>
        <v>-8.982802102580024</v>
      </c>
      <c r="AE91" s="70">
        <f t="shared" si="233"/>
        <v>-9.3421141866832258</v>
      </c>
      <c r="AF91" s="70">
        <f t="shared" si="233"/>
        <v>-9.7157987541505548</v>
      </c>
      <c r="AG91" s="70">
        <f t="shared" si="233"/>
        <v>-10.104430704316577</v>
      </c>
      <c r="AH91" s="70">
        <f t="shared" si="233"/>
        <v>-10.508607932489241</v>
      </c>
      <c r="AI91" s="70">
        <f t="shared" si="233"/>
        <v>-10.928952249788813</v>
      </c>
      <c r="AJ91" s="70">
        <f t="shared" si="233"/>
        <v>-11.366110339780365</v>
      </c>
      <c r="AK91" s="70">
        <f t="shared" si="233"/>
        <v>-11.820754753371581</v>
      </c>
      <c r="AL91" s="70">
        <f t="shared" si="233"/>
        <v>-12.293584943506445</v>
      </c>
      <c r="AM91" s="70">
        <f t="shared" si="233"/>
        <v>-12.785328341246704</v>
      </c>
      <c r="AN91" s="70">
        <f t="shared" si="233"/>
        <v>-13.296741474896573</v>
      </c>
      <c r="AO91" s="70">
        <f t="shared" si="233"/>
        <v>-13.828611133892435</v>
      </c>
      <c r="AP91" s="70">
        <f t="shared" si="233"/>
        <v>-14.381755579248134</v>
      </c>
      <c r="AQ91" s="70">
        <f t="shared" si="233"/>
        <v>-14.957025802418062</v>
      </c>
      <c r="AR91" s="70">
        <f t="shared" si="233"/>
        <v>-15.555306834514784</v>
      </c>
      <c r="AS91" s="70">
        <f t="shared" si="233"/>
        <v>-16.177519107895375</v>
      </c>
      <c r="AT91" s="70">
        <f t="shared" si="233"/>
        <v>-16.824619872211191</v>
      </c>
      <c r="AU91" s="70">
        <f t="shared" si="233"/>
        <v>-17.497604667099637</v>
      </c>
      <c r="AV91" s="70">
        <f t="shared" si="233"/>
        <v>-18.197508853783624</v>
      </c>
      <c r="AW91" s="70">
        <f t="shared" si="233"/>
        <v>-18.925409207934969</v>
      </c>
      <c r="AX91" s="70">
        <f t="shared" si="233"/>
        <v>-19.682425576252371</v>
      </c>
      <c r="AY91" s="70">
        <f t="shared" si="233"/>
        <v>-20.469722599302465</v>
      </c>
      <c r="AZ91" s="70">
        <f t="shared" si="233"/>
        <v>-21.288511503274563</v>
      </c>
      <c r="BA91" s="70">
        <f t="shared" si="233"/>
        <v>-22.140051963405551</v>
      </c>
      <c r="BB91" s="70"/>
      <c r="BC91" s="10" t="s">
        <v>180</v>
      </c>
      <c r="BD91" s="12">
        <f t="shared" ref="BD91:BD93" si="234">SUM(D91:BB91)</f>
        <v>-487.43989952854361</v>
      </c>
      <c r="BE91" s="13"/>
      <c r="BF91" s="4"/>
    </row>
    <row r="92" spans="1:58" x14ac:dyDescent="0.2">
      <c r="B92" s="157"/>
      <c r="C92" s="10" t="s">
        <v>182</v>
      </c>
      <c r="D92" s="70">
        <f t="shared" ref="D92:BA92" si="235">D30</f>
        <v>0</v>
      </c>
      <c r="E92" s="70">
        <f t="shared" si="235"/>
        <v>0</v>
      </c>
      <c r="F92" s="70">
        <f>F30</f>
        <v>-7.4653345399999997</v>
      </c>
      <c r="G92" s="70">
        <f t="shared" si="235"/>
        <v>-7.9257800300000003</v>
      </c>
      <c r="H92" s="70">
        <f t="shared" si="235"/>
        <v>-8.4146248000000003</v>
      </c>
      <c r="I92" s="70">
        <f t="shared" si="235"/>
        <v>-8.9336204499999994</v>
      </c>
      <c r="J92" s="70">
        <f t="shared" si="235"/>
        <v>-9.4846266099999994</v>
      </c>
      <c r="K92" s="70">
        <f t="shared" si="235"/>
        <v>-10.069617630000002</v>
      </c>
      <c r="L92" s="70">
        <f t="shared" si="235"/>
        <v>-10.69068961</v>
      </c>
      <c r="M92" s="70">
        <f t="shared" si="235"/>
        <v>-11.35006795</v>
      </c>
      <c r="N92" s="70">
        <f t="shared" si="235"/>
        <v>-12.050115310000001</v>
      </c>
      <c r="O92" s="70">
        <f t="shared" si="235"/>
        <v>-12.793340050000001</v>
      </c>
      <c r="P92" s="70">
        <f t="shared" si="235"/>
        <v>-13.582405269999999</v>
      </c>
      <c r="Q92" s="70">
        <f t="shared" si="235"/>
        <v>-14.42013831</v>
      </c>
      <c r="R92" s="70">
        <f t="shared" si="235"/>
        <v>-15.309540890000001</v>
      </c>
      <c r="S92" s="70">
        <f t="shared" si="235"/>
        <v>-16.253799869999998</v>
      </c>
      <c r="T92" s="70">
        <f t="shared" si="235"/>
        <v>-17.25629868</v>
      </c>
      <c r="U92" s="70">
        <f t="shared" si="235"/>
        <v>0</v>
      </c>
      <c r="V92" s="70">
        <f t="shared" si="235"/>
        <v>0</v>
      </c>
      <c r="W92" s="70">
        <f t="shared" si="235"/>
        <v>0</v>
      </c>
      <c r="X92" s="70">
        <f t="shared" si="235"/>
        <v>0</v>
      </c>
      <c r="Y92" s="70">
        <f t="shared" si="235"/>
        <v>0</v>
      </c>
      <c r="Z92" s="70">
        <f t="shared" si="235"/>
        <v>0</v>
      </c>
      <c r="AA92" s="70">
        <f t="shared" si="235"/>
        <v>0</v>
      </c>
      <c r="AB92" s="70">
        <f t="shared" si="235"/>
        <v>0</v>
      </c>
      <c r="AC92" s="70">
        <f t="shared" si="235"/>
        <v>0</v>
      </c>
      <c r="AD92" s="70">
        <f t="shared" si="235"/>
        <v>0</v>
      </c>
      <c r="AE92" s="70">
        <f t="shared" si="235"/>
        <v>0</v>
      </c>
      <c r="AF92" s="70">
        <f t="shared" si="235"/>
        <v>0</v>
      </c>
      <c r="AG92" s="70">
        <f t="shared" si="235"/>
        <v>0</v>
      </c>
      <c r="AH92" s="70">
        <f t="shared" si="235"/>
        <v>0</v>
      </c>
      <c r="AI92" s="70">
        <f t="shared" si="235"/>
        <v>0</v>
      </c>
      <c r="AJ92" s="70">
        <f t="shared" si="235"/>
        <v>0</v>
      </c>
      <c r="AK92" s="70">
        <f t="shared" si="235"/>
        <v>0</v>
      </c>
      <c r="AL92" s="70">
        <f t="shared" si="235"/>
        <v>0</v>
      </c>
      <c r="AM92" s="70">
        <f t="shared" si="235"/>
        <v>0</v>
      </c>
      <c r="AN92" s="70">
        <f t="shared" si="235"/>
        <v>0</v>
      </c>
      <c r="AO92" s="70">
        <f t="shared" si="235"/>
        <v>0</v>
      </c>
      <c r="AP92" s="70">
        <f t="shared" si="235"/>
        <v>0</v>
      </c>
      <c r="AQ92" s="70">
        <f t="shared" si="235"/>
        <v>0</v>
      </c>
      <c r="AR92" s="70">
        <f t="shared" si="235"/>
        <v>0</v>
      </c>
      <c r="AS92" s="70">
        <f t="shared" si="235"/>
        <v>0</v>
      </c>
      <c r="AT92" s="70">
        <f t="shared" si="235"/>
        <v>0</v>
      </c>
      <c r="AU92" s="70">
        <f t="shared" si="235"/>
        <v>0</v>
      </c>
      <c r="AV92" s="70">
        <f t="shared" si="235"/>
        <v>0</v>
      </c>
      <c r="AW92" s="70">
        <f t="shared" si="235"/>
        <v>0</v>
      </c>
      <c r="AX92" s="70">
        <f t="shared" si="235"/>
        <v>0</v>
      </c>
      <c r="AY92" s="70">
        <f t="shared" si="235"/>
        <v>0</v>
      </c>
      <c r="AZ92" s="70">
        <f t="shared" si="235"/>
        <v>0</v>
      </c>
      <c r="BA92" s="70">
        <f t="shared" si="235"/>
        <v>0</v>
      </c>
      <c r="BB92" s="70"/>
      <c r="BC92" s="10" t="s">
        <v>182</v>
      </c>
      <c r="BD92" s="12">
        <f t="shared" si="234"/>
        <v>-176</v>
      </c>
      <c r="BE92" s="13"/>
      <c r="BF92" s="4"/>
    </row>
    <row r="93" spans="1:58" x14ac:dyDescent="0.2">
      <c r="B93" s="157"/>
      <c r="C93" s="10" t="s">
        <v>183</v>
      </c>
      <c r="D93" s="95">
        <f t="shared" ref="D93" si="236">D88+D91+D92</f>
        <v>-74.025659721666671</v>
      </c>
      <c r="E93" s="95">
        <f t="shared" ref="E93" si="237">E88+E91+E92</f>
        <v>-115.12749797573332</v>
      </c>
      <c r="F93" s="95">
        <f>F88+F91+F92</f>
        <v>21.18492188276668</v>
      </c>
      <c r="G93" s="95">
        <f>G88+G91+G92</f>
        <v>26.096388674746677</v>
      </c>
      <c r="H93" s="95">
        <f t="shared" ref="H93" si="238">H88+H91+H92</f>
        <v>31.268303022125451</v>
      </c>
      <c r="I93" s="95">
        <f t="shared" ref="I93" si="239">I88+I91+I92</f>
        <v>33.559791595451991</v>
      </c>
      <c r="J93" s="95">
        <f t="shared" ref="J93" si="240">J88+J91+J92</f>
        <v>35.943017496489396</v>
      </c>
      <c r="K93" s="95">
        <f t="shared" ref="K93" si="241">K88+K91+K92</f>
        <v>38.48191663625667</v>
      </c>
      <c r="L93" s="95">
        <f t="shared" ref="L93" si="242">L88+L91+L92</f>
        <v>41.053465559128341</v>
      </c>
      <c r="M93" s="95">
        <f t="shared" ref="M93" si="243">M88+M91+M92</f>
        <v>43.727440463824053</v>
      </c>
      <c r="N93" s="95">
        <f t="shared" ref="N93" si="244">N88+N91+N92</f>
        <v>46.507917507468278</v>
      </c>
      <c r="O93" s="95">
        <f t="shared" ref="O93" si="245">O88+O91+O92</f>
        <v>49.399134875297662</v>
      </c>
      <c r="P93" s="95">
        <f t="shared" ref="P93" si="246">P88+P91+P92</f>
        <v>52.405499220283403</v>
      </c>
      <c r="Q93" s="95">
        <f t="shared" ref="Q93" si="247">Q88+Q91+Q92</f>
        <v>55.531592369365171</v>
      </c>
      <c r="R93" s="95">
        <f t="shared" ref="R93" si="248">R88+R91+R92</f>
        <v>58.818459797564138</v>
      </c>
      <c r="S93" s="95">
        <f t="shared" ref="S93" si="249">S88+S91+S92</f>
        <v>65.503725636476418</v>
      </c>
      <c r="T93" s="95">
        <f t="shared" ref="T93" si="250">T88+T91+T92</f>
        <v>74.005985360600334</v>
      </c>
      <c r="U93" s="95">
        <f t="shared" ref="U93" si="251">U88+U91+U92</f>
        <v>95.526300340155203</v>
      </c>
      <c r="V93" s="95">
        <f t="shared" ref="V93" si="252">V88+V91+V92</f>
        <v>99.372514711463396</v>
      </c>
      <c r="W93" s="95">
        <f t="shared" ref="W93" si="253">W88+W91+W92</f>
        <v>103.37280130416427</v>
      </c>
      <c r="X93" s="95">
        <f t="shared" ref="X93" si="254">X88+X91+X92</f>
        <v>107.53331245485873</v>
      </c>
      <c r="Y93" s="95">
        <f t="shared" ref="Y93" si="255">Y88+Y91+Y92</f>
        <v>111.86044562971038</v>
      </c>
      <c r="Z93" s="95">
        <f t="shared" ref="Z93" si="256">Z88+Z91+Z92</f>
        <v>116.36085313320201</v>
      </c>
      <c r="AA93" s="95">
        <f t="shared" ref="AA93" si="257">AA88+AA91+AA92</f>
        <v>121.04145227111961</v>
      </c>
      <c r="AB93" s="95">
        <f t="shared" ref="AB93" si="258">AB88+AB91+AB92</f>
        <v>125.67100255340723</v>
      </c>
      <c r="AC93" s="95">
        <f t="shared" ref="AC93" si="259">AC88+AC91+AC92</f>
        <v>130.46452406613059</v>
      </c>
      <c r="AD93" s="95">
        <f t="shared" ref="AD93" si="260">AD88+AD91+AD92</f>
        <v>135.42645458042168</v>
      </c>
      <c r="AE93" s="95">
        <f t="shared" ref="AE93" si="261">AE88+AE91+AE92</f>
        <v>140.56119727044896</v>
      </c>
      <c r="AF93" s="95">
        <f t="shared" ref="AF93" si="262">AF88+AF91+AF92</f>
        <v>145.87309811875832</v>
      </c>
      <c r="AG93" s="95">
        <f t="shared" ref="AG93" si="263">AG88+AG91+AG92</f>
        <v>151.36642029674928</v>
      </c>
      <c r="AH93" s="95">
        <f t="shared" ref="AH93" si="264">AH88+AH91+AH92</f>
        <v>157.04531518718386</v>
      </c>
      <c r="AI93" s="95">
        <f t="shared" ref="AI93" si="265">AI88+AI91+AI92</f>
        <v>162.91378968109237</v>
      </c>
      <c r="AJ93" s="95">
        <f t="shared" ref="AJ93" si="266">AJ88+AJ91+AJ92</f>
        <v>168.97566934339926</v>
      </c>
      <c r="AK93" s="95">
        <f t="shared" ref="AK93" si="267">AK88+AK91+AK92</f>
        <v>175.23455699970478</v>
      </c>
      <c r="AL93" s="95">
        <f t="shared" ref="AL93" si="268">AL88+AL91+AL92</f>
        <v>181.69378625051951</v>
      </c>
      <c r="AM93" s="95">
        <f t="shared" ref="AM93" si="269">AM88+AM91+AM92</f>
        <v>188.35636936844941</v>
      </c>
      <c r="AN93" s="95">
        <f t="shared" ref="AN93" si="270">AN88+AN91+AN92</f>
        <v>195.22493897788746</v>
      </c>
      <c r="AO93" s="95">
        <f t="shared" ref="AO93" si="271">AO88+AO91+AO92</f>
        <v>202.301682855173</v>
      </c>
      <c r="AP93" s="95">
        <f t="shared" ref="AP93" si="272">AP88+AP91+AP92</f>
        <v>209.58827111936699</v>
      </c>
      <c r="AQ93" s="95">
        <f t="shared" ref="AQ93" si="273">AQ88+AQ91+AQ92</f>
        <v>217.08577500912753</v>
      </c>
      <c r="AR93" s="95">
        <f t="shared" ref="AR93" si="274">AR88+AR91+AR92</f>
        <v>224.79457635897694</v>
      </c>
      <c r="AS93" s="95">
        <f t="shared" ref="AS93" si="275">AS88+AS91+AS92</f>
        <v>232.7142667977688</v>
      </c>
      <c r="AT93" s="95">
        <f t="shared" ref="AT93" si="276">AT88+AT91+AT92</f>
        <v>240.84353559255555</v>
      </c>
      <c r="AU93" s="95">
        <f t="shared" ref="AU93" si="277">AU88+AU91+AU92</f>
        <v>249.18004495142142</v>
      </c>
      <c r="AV93" s="95">
        <f t="shared" ref="AV93" si="278">AV88+AV91+AV92</f>
        <v>257.72029147815834</v>
      </c>
      <c r="AW93" s="95">
        <f t="shared" ref="AW93" si="279">AW88+AW91+AW92</f>
        <v>266.4594523388327</v>
      </c>
      <c r="AX93" s="95">
        <f t="shared" ref="AX93" si="280">AX88+AX91+AX92</f>
        <v>275.39121455408883</v>
      </c>
      <c r="AY93" s="95">
        <f t="shared" ref="AY93" si="281">AY88+AY91+AY92</f>
        <v>284.50758567012554</v>
      </c>
      <c r="AZ93" s="95">
        <f t="shared" ref="AZ93" si="282">AZ88+AZ91+AZ92</f>
        <v>293.79868388419106</v>
      </c>
      <c r="BA93" s="95">
        <f t="shared" ref="BA93" si="283">BA88+BA91+BA92</f>
        <v>303.25250550554517</v>
      </c>
      <c r="BB93" s="95"/>
      <c r="BC93" s="10" t="s">
        <v>183</v>
      </c>
      <c r="BD93" s="120">
        <f t="shared" si="234"/>
        <v>6555.847091054603</v>
      </c>
      <c r="BE93" s="13"/>
      <c r="BF93" s="4"/>
    </row>
    <row r="94" spans="1:58" x14ac:dyDescent="0.2">
      <c r="B94" s="157"/>
      <c r="C94" s="97" t="s">
        <v>186</v>
      </c>
      <c r="D94" s="100">
        <v>0</v>
      </c>
      <c r="E94" s="100">
        <v>0</v>
      </c>
      <c r="F94" s="102">
        <f t="shared" ref="F94:Q94" si="284">F93/F76</f>
        <v>0.34004602689249391</v>
      </c>
      <c r="G94" s="102">
        <f t="shared" si="284"/>
        <v>0.37907834160638387</v>
      </c>
      <c r="H94" s="102">
        <f t="shared" si="284"/>
        <v>0.41247340231018925</v>
      </c>
      <c r="I94" s="102">
        <f t="shared" si="284"/>
        <v>0.42567441989963967</v>
      </c>
      <c r="J94" s="102">
        <f t="shared" si="284"/>
        <v>0.43836865472296821</v>
      </c>
      <c r="K94" s="102">
        <f t="shared" si="284"/>
        <v>0.45128231385876932</v>
      </c>
      <c r="L94" s="102">
        <f t="shared" si="284"/>
        <v>0.4629223019358234</v>
      </c>
      <c r="M94" s="102">
        <f t="shared" si="284"/>
        <v>0.47410987115271286</v>
      </c>
      <c r="N94" s="102">
        <f t="shared" si="284"/>
        <v>0.48486238633875922</v>
      </c>
      <c r="O94" s="102">
        <f t="shared" si="284"/>
        <v>0.49519654399252083</v>
      </c>
      <c r="P94" s="102">
        <f t="shared" si="284"/>
        <v>0.50512839806727483</v>
      </c>
      <c r="Q94" s="102">
        <f t="shared" si="284"/>
        <v>0.51467338485856384</v>
      </c>
      <c r="R94" s="102">
        <f t="shared" ref="R94" si="285">R93/R76</f>
        <v>0.52416967504705847</v>
      </c>
      <c r="S94" s="102">
        <f t="shared" ref="S94" si="286">S93/S76</f>
        <v>0.56129465495995146</v>
      </c>
      <c r="T94" s="102">
        <f t="shared" ref="T94" si="287">T93/T76</f>
        <v>0.60975926903875266</v>
      </c>
      <c r="U94" s="102">
        <f t="shared" ref="U94" si="288">U93/U76</f>
        <v>0.75680010601599568</v>
      </c>
      <c r="V94" s="102">
        <f t="shared" ref="V94" si="289">V93/V76</f>
        <v>0.75699178575909198</v>
      </c>
      <c r="W94" s="102">
        <f t="shared" ref="W94" si="290">W93/W76</f>
        <v>0.75717773135462463</v>
      </c>
      <c r="X94" s="102">
        <f t="shared" ref="X94" si="291">X93/X76</f>
        <v>0.75735802602133218</v>
      </c>
      <c r="Y94" s="102">
        <f t="shared" ref="Y94" si="292">Y93/Y76</f>
        <v>0.75753275138976683</v>
      </c>
      <c r="Z94" s="102">
        <f t="shared" ref="Z94" si="293">Z93/Z76</f>
        <v>0.75770198726565208</v>
      </c>
      <c r="AA94" s="102">
        <f t="shared" ref="AA94" si="294">AA93/AA76</f>
        <v>0.75786581187397239</v>
      </c>
      <c r="AB94" s="102">
        <f t="shared" ref="AB94" si="295">AB93/AB76</f>
        <v>0.75658883948208622</v>
      </c>
      <c r="AC94" s="102">
        <f t="shared" ref="AC94" si="296">AC93/AC76</f>
        <v>0.75523819560605254</v>
      </c>
      <c r="AD94" s="102">
        <f t="shared" ref="AD94" si="297">AD93/AD76</f>
        <v>0.75380962996794032</v>
      </c>
      <c r="AE94" s="102">
        <f t="shared" ref="AE94" si="298">AE93/AE76</f>
        <v>0.75229864708147531</v>
      </c>
      <c r="AF94" s="102">
        <f t="shared" ref="AF94" si="299">AF93/AF76</f>
        <v>0.75070049210540646</v>
      </c>
      <c r="AG94" s="102">
        <f t="shared" ref="AG94" si="300">AG93/AG76</f>
        <v>0.74901013588071852</v>
      </c>
      <c r="AH94" s="102">
        <f t="shared" ref="AH94" si="301">AH93/AH76</f>
        <v>0.74722225910460605</v>
      </c>
      <c r="AI94" s="102">
        <f t="shared" ref="AI94" si="302">AI93/AI76</f>
        <v>0.74533123559141035</v>
      </c>
      <c r="AJ94" s="102">
        <f t="shared" ref="AJ94" si="303">AJ93/AJ76</f>
        <v>0.74333111456783774</v>
      </c>
      <c r="AK94" s="102">
        <f t="shared" ref="AK94" si="304">AK93/AK76</f>
        <v>0.7412156019467514</v>
      </c>
      <c r="AL94" s="102">
        <f t="shared" ref="AL94" si="305">AL93/AL76</f>
        <v>0.73897804052060267</v>
      </c>
      <c r="AM94" s="102">
        <f t="shared" ref="AM94" si="306">AM93/AM76</f>
        <v>0.73661138901217571</v>
      </c>
      <c r="AN94" s="102">
        <f t="shared" ref="AN94" si="307">AN93/AN76</f>
        <v>0.73410819991672438</v>
      </c>
      <c r="AO94" s="102">
        <f t="shared" ref="AO94" si="308">AO93/AO76</f>
        <v>0.73146059606576608</v>
      </c>
      <c r="AP94" s="102">
        <f t="shared" ref="AP94" si="309">AP93/AP76</f>
        <v>0.72866024583879108</v>
      </c>
      <c r="AQ94" s="102">
        <f t="shared" ref="AQ94" si="310">AQ93/AQ76</f>
        <v>0.72569833694487529</v>
      </c>
      <c r="AR94" s="102">
        <f t="shared" ref="AR94" si="311">AR93/AR76</f>
        <v>0.72256554869169498</v>
      </c>
      <c r="AS94" s="102">
        <f t="shared" ref="AS94" si="312">AS93/AS76</f>
        <v>0.71925202265467736</v>
      </c>
      <c r="AT94" s="102">
        <f t="shared" ref="AT94" si="313">AT93/AT76</f>
        <v>0.71574733165398552</v>
      </c>
      <c r="AU94" s="102">
        <f t="shared" ref="AU94" si="314">AU93/AU76</f>
        <v>0.71204044694171542</v>
      </c>
      <c r="AV94" s="102">
        <f t="shared" ref="AV94" si="315">AV93/AV76</f>
        <v>0.70811970349604525</v>
      </c>
      <c r="AW94" s="102">
        <f t="shared" ref="AW94" si="316">AW93/AW76</f>
        <v>0.70397276331312475</v>
      </c>
      <c r="AX94" s="102">
        <f t="shared" ref="AX94" si="317">AX93/AX76</f>
        <v>0.69958657658118961</v>
      </c>
      <c r="AY94" s="102">
        <f t="shared" ref="AY94" si="318">AY93/AY76</f>
        <v>0.69494734061471986</v>
      </c>
      <c r="AZ94" s="102">
        <f t="shared" ref="AZ94" si="319">AZ93/AZ76</f>
        <v>0.69004045641941536</v>
      </c>
      <c r="BA94" s="102">
        <f t="shared" ref="BA94" si="320">BA93/BA76</f>
        <v>0.68485048275130456</v>
      </c>
      <c r="BB94" s="102"/>
      <c r="BC94" s="97" t="s">
        <v>186</v>
      </c>
      <c r="BD94" s="110">
        <f>BD93/BD76</f>
        <v>0.67247747849483364</v>
      </c>
      <c r="BE94" s="13"/>
      <c r="BF94" s="4"/>
    </row>
    <row r="95" spans="1:58" x14ac:dyDescent="0.2">
      <c r="B95" s="157"/>
      <c r="BF95" s="4"/>
    </row>
    <row r="96" spans="1:58" x14ac:dyDescent="0.2">
      <c r="B96" s="157"/>
      <c r="C96" s="10" t="s">
        <v>184</v>
      </c>
      <c r="D96" s="57">
        <f t="shared" ref="D96:E96" si="321">D93-D87</f>
        <v>-70.758993055000005</v>
      </c>
      <c r="E96" s="57">
        <f t="shared" si="321"/>
        <v>-106.91416464239998</v>
      </c>
      <c r="F96" s="57">
        <f>F93-F87</f>
        <v>29.398255216100011</v>
      </c>
      <c r="G96" s="57">
        <f t="shared" ref="G96:AB96" si="322">G93-G87</f>
        <v>34.309722008080008</v>
      </c>
      <c r="H96" s="57">
        <f t="shared" si="322"/>
        <v>39.481636355458782</v>
      </c>
      <c r="I96" s="57">
        <f t="shared" si="322"/>
        <v>41.773124928785322</v>
      </c>
      <c r="J96" s="57">
        <f t="shared" si="322"/>
        <v>44.156350829822728</v>
      </c>
      <c r="K96" s="57">
        <f t="shared" si="322"/>
        <v>46.695249969590002</v>
      </c>
      <c r="L96" s="57">
        <f t="shared" si="322"/>
        <v>49.266798892461672</v>
      </c>
      <c r="M96" s="57">
        <f t="shared" si="322"/>
        <v>51.940773797157384</v>
      </c>
      <c r="N96" s="57">
        <f t="shared" si="322"/>
        <v>54.721250840801609</v>
      </c>
      <c r="O96" s="57">
        <f t="shared" si="322"/>
        <v>57.612468208630993</v>
      </c>
      <c r="P96" s="57">
        <f t="shared" si="322"/>
        <v>60.618832553616734</v>
      </c>
      <c r="Q96" s="57">
        <f t="shared" si="322"/>
        <v>63.744925702698502</v>
      </c>
      <c r="R96" s="57">
        <f t="shared" si="322"/>
        <v>67.031793130897469</v>
      </c>
      <c r="S96" s="57">
        <f t="shared" si="322"/>
        <v>70.45039230314309</v>
      </c>
      <c r="T96" s="57">
        <f t="shared" si="322"/>
        <v>74.005985360600334</v>
      </c>
      <c r="U96" s="57">
        <f t="shared" si="322"/>
        <v>95.526300340155203</v>
      </c>
      <c r="V96" s="57">
        <f t="shared" si="322"/>
        <v>99.372514711463396</v>
      </c>
      <c r="W96" s="57">
        <f t="shared" si="322"/>
        <v>103.37280130416427</v>
      </c>
      <c r="X96" s="57">
        <f t="shared" si="322"/>
        <v>107.53331245485873</v>
      </c>
      <c r="Y96" s="57">
        <f t="shared" si="322"/>
        <v>111.86044562971038</v>
      </c>
      <c r="Z96" s="57">
        <f t="shared" si="322"/>
        <v>116.36085313320201</v>
      </c>
      <c r="AA96" s="57">
        <f t="shared" si="322"/>
        <v>121.04145227111961</v>
      </c>
      <c r="AB96" s="57">
        <f t="shared" si="322"/>
        <v>125.67100255340723</v>
      </c>
      <c r="AC96" s="57">
        <f t="shared" ref="AC96:AK96" si="323">AC93-AC87</f>
        <v>130.46452406613059</v>
      </c>
      <c r="AD96" s="57">
        <f t="shared" si="323"/>
        <v>135.42645458042168</v>
      </c>
      <c r="AE96" s="57">
        <f t="shared" si="323"/>
        <v>140.56119727044896</v>
      </c>
      <c r="AF96" s="57">
        <f t="shared" si="323"/>
        <v>145.87309811875832</v>
      </c>
      <c r="AG96" s="57">
        <f t="shared" si="323"/>
        <v>151.36642029674928</v>
      </c>
      <c r="AH96" s="57">
        <f t="shared" si="323"/>
        <v>157.04531518718386</v>
      </c>
      <c r="AI96" s="57">
        <f t="shared" si="323"/>
        <v>162.91378968109237</v>
      </c>
      <c r="AJ96" s="57">
        <f t="shared" si="323"/>
        <v>168.97566934339926</v>
      </c>
      <c r="AK96" s="57">
        <f t="shared" si="323"/>
        <v>175.23455699970478</v>
      </c>
      <c r="AL96" s="57">
        <f t="shared" ref="AL96:AY96" si="324">AL93-AL87</f>
        <v>181.69378625051951</v>
      </c>
      <c r="AM96" s="57">
        <f t="shared" si="324"/>
        <v>188.35636936844941</v>
      </c>
      <c r="AN96" s="57">
        <f t="shared" si="324"/>
        <v>195.22493897788746</v>
      </c>
      <c r="AO96" s="57">
        <f t="shared" si="324"/>
        <v>202.301682855173</v>
      </c>
      <c r="AP96" s="57">
        <f t="shared" si="324"/>
        <v>209.58827111936699</v>
      </c>
      <c r="AQ96" s="57">
        <f t="shared" si="324"/>
        <v>217.08577500912753</v>
      </c>
      <c r="AR96" s="57">
        <f t="shared" si="324"/>
        <v>224.79457635897694</v>
      </c>
      <c r="AS96" s="57">
        <f t="shared" si="324"/>
        <v>232.7142667977688</v>
      </c>
      <c r="AT96" s="57">
        <f t="shared" si="324"/>
        <v>240.84353559255555</v>
      </c>
      <c r="AU96" s="57">
        <f t="shared" si="324"/>
        <v>249.18004495142142</v>
      </c>
      <c r="AV96" s="57">
        <f t="shared" si="324"/>
        <v>257.72029147815834</v>
      </c>
      <c r="AW96" s="57">
        <f t="shared" si="324"/>
        <v>266.4594523388327</v>
      </c>
      <c r="AX96" s="57">
        <f t="shared" si="324"/>
        <v>275.39121455408883</v>
      </c>
      <c r="AY96" s="57">
        <f t="shared" si="324"/>
        <v>284.50758567012554</v>
      </c>
      <c r="AZ96" s="57">
        <f t="shared" ref="AZ96:BA96" si="325">AZ93-AZ87</f>
        <v>293.79868388419106</v>
      </c>
      <c r="BA96" s="57">
        <f t="shared" si="325"/>
        <v>303.25250550554517</v>
      </c>
      <c r="BB96" s="57"/>
      <c r="BC96" s="10" t="s">
        <v>184</v>
      </c>
      <c r="BD96" s="14">
        <f t="shared" ref="BD96" si="326">SUM(D96:BB96)</f>
        <v>6679.0470910546037</v>
      </c>
      <c r="BF96" s="4"/>
    </row>
    <row r="97" spans="2:58" x14ac:dyDescent="0.2">
      <c r="B97" s="157"/>
      <c r="C97" s="97" t="s">
        <v>187</v>
      </c>
      <c r="D97" s="100">
        <v>0</v>
      </c>
      <c r="E97" s="100">
        <v>0</v>
      </c>
      <c r="F97" s="100">
        <f>F96/F76</f>
        <v>0.47188089430428432</v>
      </c>
      <c r="G97" s="100">
        <f t="shared" ref="G97" si="327">G96/G76</f>
        <v>0.49838591392474624</v>
      </c>
      <c r="H97" s="100">
        <f t="shared" ref="H97" si="328">H96/H76</f>
        <v>0.52081895409502688</v>
      </c>
      <c r="I97" s="100">
        <f t="shared" ref="I97" si="329">I96/I76</f>
        <v>0.52985283507736813</v>
      </c>
      <c r="J97" s="100">
        <f t="shared" ref="J97" si="330">J96/J76</f>
        <v>0.53854020777847633</v>
      </c>
      <c r="K97" s="100">
        <f t="shared" ref="K97" si="331">K96/K76</f>
        <v>0.54760111487368102</v>
      </c>
      <c r="L97" s="100">
        <f t="shared" ref="L97" si="332">L96/L76</f>
        <v>0.55553653368093081</v>
      </c>
      <c r="M97" s="100">
        <f t="shared" ref="M97" si="333">M96/M76</f>
        <v>0.56316201706146995</v>
      </c>
      <c r="N97" s="100">
        <f t="shared" ref="N97" si="334">N96/N76</f>
        <v>0.5704894497125641</v>
      </c>
      <c r="O97" s="100">
        <f t="shared" ref="O97" si="335">O96/O76</f>
        <v>0.57753025877502551</v>
      </c>
      <c r="P97" s="100">
        <f t="shared" ref="P97" si="336">P96/P76</f>
        <v>0.58429543151199081</v>
      </c>
      <c r="Q97" s="100">
        <f t="shared" ref="Q97" si="337">Q96/Q76</f>
        <v>0.59079553240156002</v>
      </c>
      <c r="R97" s="100">
        <f t="shared" ref="R97" si="338">R96/R76</f>
        <v>0.59736404768455487</v>
      </c>
      <c r="S97" s="100">
        <f t="shared" ref="S97" si="339">S96/S76</f>
        <v>0.60368213037283724</v>
      </c>
      <c r="T97" s="100">
        <f t="shared" ref="T97" si="340">T96/T76</f>
        <v>0.60975926903875266</v>
      </c>
      <c r="U97" s="100">
        <f t="shared" ref="U97" si="341">U96/U76</f>
        <v>0.75680010601599568</v>
      </c>
      <c r="V97" s="100">
        <f t="shared" ref="V97" si="342">V96/V76</f>
        <v>0.75699178575909198</v>
      </c>
      <c r="W97" s="100">
        <f t="shared" ref="W97" si="343">W96/W76</f>
        <v>0.75717773135462463</v>
      </c>
      <c r="X97" s="100">
        <f t="shared" ref="X97" si="344">X96/X76</f>
        <v>0.75735802602133218</v>
      </c>
      <c r="Y97" s="100">
        <f t="shared" ref="Y97" si="345">Y96/Y76</f>
        <v>0.75753275138976683</v>
      </c>
      <c r="Z97" s="100">
        <f t="shared" ref="Z97" si="346">Z96/Z76</f>
        <v>0.75770198726565208</v>
      </c>
      <c r="AA97" s="100">
        <f t="shared" ref="AA97" si="347">AA96/AA76</f>
        <v>0.75786581187397239</v>
      </c>
      <c r="AB97" s="100">
        <f t="shared" ref="AB97" si="348">AB96/AB76</f>
        <v>0.75658883948208622</v>
      </c>
      <c r="AC97" s="100">
        <f t="shared" ref="AC97" si="349">AC96/AC76</f>
        <v>0.75523819560605254</v>
      </c>
      <c r="AD97" s="100">
        <f t="shared" ref="AD97" si="350">AD96/AD76</f>
        <v>0.75380962996794032</v>
      </c>
      <c r="AE97" s="100">
        <f t="shared" ref="AE97" si="351">AE96/AE76</f>
        <v>0.75229864708147531</v>
      </c>
      <c r="AF97" s="100">
        <f t="shared" ref="AF97" si="352">AF96/AF76</f>
        <v>0.75070049210540646</v>
      </c>
      <c r="AG97" s="100">
        <f t="shared" ref="AG97" si="353">AG96/AG76</f>
        <v>0.74901013588071852</v>
      </c>
      <c r="AH97" s="100">
        <f t="shared" ref="AH97" si="354">AH96/AH76</f>
        <v>0.74722225910460605</v>
      </c>
      <c r="AI97" s="100">
        <f t="shared" ref="AI97" si="355">AI96/AI76</f>
        <v>0.74533123559141035</v>
      </c>
      <c r="AJ97" s="100">
        <f t="shared" ref="AJ97" si="356">AJ96/AJ76</f>
        <v>0.74333111456783774</v>
      </c>
      <c r="AK97" s="100">
        <f t="shared" ref="AK97" si="357">AK96/AK76</f>
        <v>0.7412156019467514</v>
      </c>
      <c r="AL97" s="100">
        <f t="shared" ref="AL97" si="358">AL96/AL76</f>
        <v>0.73897804052060267</v>
      </c>
      <c r="AM97" s="100">
        <f t="shared" ref="AM97" si="359">AM96/AM76</f>
        <v>0.73661138901217571</v>
      </c>
      <c r="AN97" s="100">
        <f t="shared" ref="AN97" si="360">AN96/AN76</f>
        <v>0.73410819991672438</v>
      </c>
      <c r="AO97" s="100">
        <f t="shared" ref="AO97" si="361">AO96/AO76</f>
        <v>0.73146059606576608</v>
      </c>
      <c r="AP97" s="100">
        <f t="shared" ref="AP97" si="362">AP96/AP76</f>
        <v>0.72866024583879108</v>
      </c>
      <c r="AQ97" s="100">
        <f t="shared" ref="AQ97" si="363">AQ96/AQ76</f>
        <v>0.72569833694487529</v>
      </c>
      <c r="AR97" s="100">
        <f t="shared" ref="AR97" si="364">AR96/AR76</f>
        <v>0.72256554869169498</v>
      </c>
      <c r="AS97" s="100">
        <f t="shared" ref="AS97" si="365">AS96/AS76</f>
        <v>0.71925202265467736</v>
      </c>
      <c r="AT97" s="100">
        <f t="shared" ref="AT97" si="366">AT96/AT76</f>
        <v>0.71574733165398552</v>
      </c>
      <c r="AU97" s="100">
        <f t="shared" ref="AU97" si="367">AU96/AU76</f>
        <v>0.71204044694171542</v>
      </c>
      <c r="AV97" s="100">
        <f t="shared" ref="AV97" si="368">AV96/AV76</f>
        <v>0.70811970349604525</v>
      </c>
      <c r="AW97" s="100">
        <f t="shared" ref="AW97" si="369">AW96/AW76</f>
        <v>0.70397276331312475</v>
      </c>
      <c r="AX97" s="100">
        <f t="shared" ref="AX97" si="370">AX96/AX76</f>
        <v>0.69958657658118961</v>
      </c>
      <c r="AY97" s="100">
        <f t="shared" ref="AY97" si="371">AY96/AY76</f>
        <v>0.69494734061471986</v>
      </c>
      <c r="AZ97" s="100">
        <f t="shared" ref="AZ97" si="372">AZ96/AZ76</f>
        <v>0.69004045641941536</v>
      </c>
      <c r="BA97" s="100">
        <f t="shared" ref="BA97" si="373">BA96/BA76</f>
        <v>0.68485048275130456</v>
      </c>
      <c r="BB97" s="100"/>
      <c r="BC97" s="97" t="s">
        <v>187</v>
      </c>
      <c r="BD97" s="110">
        <f>BD96/BD76</f>
        <v>0.68511493391437983</v>
      </c>
      <c r="BF97" s="4"/>
    </row>
    <row r="98" spans="2:58" x14ac:dyDescent="0.2">
      <c r="B98" s="157"/>
      <c r="BF98" s="4"/>
    </row>
    <row r="99" spans="2:58" x14ac:dyDescent="0.2">
      <c r="B99" s="157"/>
      <c r="C99" s="10" t="s">
        <v>61</v>
      </c>
      <c r="D99" s="87">
        <f>35154883.5456/1000000</f>
        <v>35.154883545599994</v>
      </c>
      <c r="E99" s="87">
        <f>D99*1.04</f>
        <v>36.561078887423996</v>
      </c>
      <c r="F99" s="87">
        <f t="shared" ref="F99" si="374">E99*1.04</f>
        <v>38.023522042920959</v>
      </c>
      <c r="G99" s="87">
        <f t="shared" ref="G99" si="375">F99*1.04</f>
        <v>39.544462924637799</v>
      </c>
      <c r="H99" s="87">
        <f t="shared" ref="H99" si="376">G99*1.04</f>
        <v>41.126241441623314</v>
      </c>
      <c r="I99" s="87">
        <f t="shared" ref="I99" si="377">H99*1.04</f>
        <v>42.771291099288248</v>
      </c>
      <c r="J99" s="87">
        <f t="shared" ref="J99" si="378">I99*1.04</f>
        <v>44.482142743259779</v>
      </c>
      <c r="K99" s="87">
        <f t="shared" ref="K99" si="379">J99*1.04</f>
        <v>46.261428452990174</v>
      </c>
      <c r="L99" s="87">
        <f t="shared" ref="L99" si="380">K99*1.04</f>
        <v>48.111885591109782</v>
      </c>
      <c r="M99" s="87">
        <f t="shared" ref="M99" si="381">L99*1.04</f>
        <v>50.036361014754178</v>
      </c>
      <c r="N99" s="87">
        <f t="shared" ref="N99" si="382">M99*1.04</f>
        <v>52.037815455344344</v>
      </c>
      <c r="O99" s="87">
        <f t="shared" ref="O99" si="383">N99*1.04</f>
        <v>54.119328073558123</v>
      </c>
      <c r="P99" s="87">
        <f t="shared" ref="P99" si="384">O99*1.04</f>
        <v>56.284101196500451</v>
      </c>
      <c r="Q99" s="87">
        <f t="shared" ref="Q99" si="385">P99*1.04</f>
        <v>58.535465244360473</v>
      </c>
      <c r="R99" s="87">
        <f t="shared" ref="R99" si="386">Q99*1.04</f>
        <v>60.876883854134896</v>
      </c>
      <c r="S99" s="87">
        <f t="shared" ref="S99" si="387">R99*1.04</f>
        <v>63.311959208300294</v>
      </c>
      <c r="T99" s="87">
        <f t="shared" ref="T99" si="388">S99*1.04</f>
        <v>65.844437576632302</v>
      </c>
      <c r="U99" s="87">
        <f t="shared" ref="U99" si="389">T99*1.04</f>
        <v>68.478215079697591</v>
      </c>
      <c r="V99" s="87">
        <f t="shared" ref="V99" si="390">U99*1.04</f>
        <v>71.217343682885499</v>
      </c>
      <c r="W99" s="87">
        <f t="shared" ref="W99" si="391">V99*1.04</f>
        <v>74.066037430200922</v>
      </c>
      <c r="X99" s="87">
        <f t="shared" ref="X99" si="392">W99*1.04</f>
        <v>77.028678927408961</v>
      </c>
      <c r="Y99" s="87">
        <f t="shared" ref="Y99" si="393">X99*1.04</f>
        <v>80.109826084505329</v>
      </c>
      <c r="Z99" s="87">
        <f t="shared" ref="Z99" si="394">Y99*1.04</f>
        <v>83.314219127885551</v>
      </c>
      <c r="AA99" s="87">
        <f t="shared" ref="AA99" si="395">Z99*1.04</f>
        <v>86.646787893000976</v>
      </c>
      <c r="AB99" s="87">
        <f t="shared" ref="AB99" si="396">AA99*1.04</f>
        <v>90.112659408721015</v>
      </c>
      <c r="AC99" s="87">
        <f t="shared" ref="AC99" si="397">AB99*1.04</f>
        <v>93.717165785069852</v>
      </c>
      <c r="AD99" s="87">
        <f t="shared" ref="AD99" si="398">AC99*1.04</f>
        <v>97.465852416472643</v>
      </c>
      <c r="AE99" s="87">
        <f t="shared" ref="AE99" si="399">AD99*1.04</f>
        <v>101.36448651313155</v>
      </c>
      <c r="AF99" s="87">
        <f t="shared" ref="AF99" si="400">AE99*1.04</f>
        <v>105.41906597365681</v>
      </c>
      <c r="AG99" s="87">
        <f t="shared" ref="AG99" si="401">AF99*1.04</f>
        <v>109.63582861260309</v>
      </c>
      <c r="AH99" s="87">
        <f t="shared" ref="AH99" si="402">AG99*1.04</f>
        <v>114.02126175710723</v>
      </c>
      <c r="AI99" s="87">
        <f t="shared" ref="AI99" si="403">AH99*1.04</f>
        <v>118.58211222739152</v>
      </c>
      <c r="AJ99" s="87">
        <f t="shared" ref="AJ99" si="404">AI99*1.04</f>
        <v>123.32539671648719</v>
      </c>
      <c r="AK99" s="87">
        <f t="shared" ref="AK99" si="405">AJ99*1.04</f>
        <v>128.25841258514669</v>
      </c>
      <c r="AL99" s="87">
        <f t="shared" ref="AL99" si="406">AK99*1.04</f>
        <v>133.38874908855257</v>
      </c>
      <c r="AM99" s="87">
        <f t="shared" ref="AM99" si="407">AL99*1.04</f>
        <v>138.72429905209469</v>
      </c>
      <c r="AN99" s="87">
        <f t="shared" ref="AN99" si="408">AM99*1.04</f>
        <v>144.27327101417848</v>
      </c>
      <c r="AO99" s="87">
        <f t="shared" ref="AO99" si="409">AN99*1.04</f>
        <v>150.04420185474561</v>
      </c>
      <c r="AP99" s="87">
        <f t="shared" ref="AP99" si="410">AO99*1.04</f>
        <v>156.04596992893545</v>
      </c>
      <c r="AQ99" s="87">
        <f t="shared" ref="AQ99" si="411">AP99*1.04</f>
        <v>162.28780872609286</v>
      </c>
      <c r="AR99" s="87">
        <f t="shared" ref="AR99" si="412">AQ99*1.04</f>
        <v>168.77932107513658</v>
      </c>
      <c r="AS99" s="87">
        <f t="shared" ref="AS99" si="413">AR99*1.04</f>
        <v>175.53049391814204</v>
      </c>
      <c r="AT99" s="87">
        <f t="shared" ref="AT99" si="414">AS99*1.04</f>
        <v>182.55171367486773</v>
      </c>
      <c r="AU99" s="87">
        <f t="shared" ref="AU99" si="415">AT99*1.04</f>
        <v>189.85378222186245</v>
      </c>
      <c r="AV99" s="87">
        <f t="shared" ref="AV99" si="416">AU99*1.04</f>
        <v>197.44793351073696</v>
      </c>
      <c r="AW99" s="87">
        <f t="shared" ref="AW99" si="417">AV99*1.04</f>
        <v>205.34585085116643</v>
      </c>
      <c r="AX99" s="87">
        <f t="shared" ref="AX99" si="418">AW99*1.04</f>
        <v>213.5596848852131</v>
      </c>
      <c r="AY99" s="87">
        <f t="shared" ref="AY99" si="419">AX99*1.04</f>
        <v>222.10207228062163</v>
      </c>
      <c r="AZ99" s="87">
        <f t="shared" ref="AZ99" si="420">AY99*1.04</f>
        <v>230.98615517184649</v>
      </c>
      <c r="BA99" s="87">
        <f t="shared" ref="BA99" si="421">AZ99*1.04</f>
        <v>240.22560137872037</v>
      </c>
      <c r="BB99" s="87"/>
      <c r="BC99" s="10" t="s">
        <v>61</v>
      </c>
      <c r="BD99" s="121">
        <f t="shared" ref="BD99" si="422">SUM(D99:BB99)</f>
        <v>5366.9935472067245</v>
      </c>
      <c r="BF99" s="4"/>
    </row>
    <row r="100" spans="2:58" x14ac:dyDescent="0.2">
      <c r="B100" s="157"/>
      <c r="C100" s="97" t="s">
        <v>205</v>
      </c>
      <c r="D100" s="100">
        <v>0</v>
      </c>
      <c r="E100" s="100">
        <v>0</v>
      </c>
      <c r="F100" s="100">
        <f>F75/F99</f>
        <v>0.30297035574443171</v>
      </c>
      <c r="G100" s="100">
        <f t="shared" ref="G100:Q100" si="423">G75/G99</f>
        <v>0.30952500286390255</v>
      </c>
      <c r="H100" s="100">
        <f t="shared" si="423"/>
        <v>0.31512726535917679</v>
      </c>
      <c r="I100" s="100">
        <f t="shared" si="423"/>
        <v>0.30300698592228537</v>
      </c>
      <c r="J100" s="100">
        <f t="shared" si="423"/>
        <v>0.2913528710791205</v>
      </c>
      <c r="K100" s="100">
        <f t="shared" si="423"/>
        <v>0.28014699142223126</v>
      </c>
      <c r="L100" s="100">
        <f t="shared" si="423"/>
        <v>0.2693721071367608</v>
      </c>
      <c r="M100" s="100">
        <f t="shared" si="423"/>
        <v>0.2590116414776546</v>
      </c>
      <c r="N100" s="100">
        <f t="shared" si="423"/>
        <v>0.24904965526697559</v>
      </c>
      <c r="O100" s="100">
        <f t="shared" si="423"/>
        <v>0.23947082237209188</v>
      </c>
      <c r="P100" s="100">
        <f t="shared" si="423"/>
        <v>0.2302604061270114</v>
      </c>
      <c r="Q100" s="100">
        <f t="shared" si="423"/>
        <v>0.22140423666058787</v>
      </c>
      <c r="R100" s="100">
        <f>R75/R99</f>
        <v>0.2128886890967191</v>
      </c>
      <c r="S100" s="100">
        <f t="shared" ref="S100:AB100" si="424">S75/S99</f>
        <v>0.20470066259299913</v>
      </c>
      <c r="T100" s="100">
        <f t="shared" si="424"/>
        <v>0.19682756018557609</v>
      </c>
      <c r="U100" s="100">
        <f t="shared" si="424"/>
        <v>0.18925726940920778</v>
      </c>
      <c r="V100" s="100">
        <f t="shared" si="424"/>
        <v>0.18197814366269979</v>
      </c>
      <c r="W100" s="100">
        <f t="shared" si="424"/>
        <v>0.17497898429105749</v>
      </c>
      <c r="X100" s="100">
        <f t="shared" si="424"/>
        <v>0.16824902335678604</v>
      </c>
      <c r="Y100" s="100">
        <f t="shared" si="424"/>
        <v>0.16177790707383272</v>
      </c>
      <c r="Z100" s="100">
        <f t="shared" si="424"/>
        <v>0.15555567987868529</v>
      </c>
      <c r="AA100" s="100">
        <f t="shared" si="424"/>
        <v>0.14957276911412046</v>
      </c>
      <c r="AB100" s="100">
        <f t="shared" si="424"/>
        <v>0.14381997030203891</v>
      </c>
      <c r="AC100" s="100">
        <f t="shared" ref="AC100:AK100" si="425">AC75/AC99</f>
        <v>0.13828843298272972</v>
      </c>
      <c r="AD100" s="100">
        <f t="shared" si="425"/>
        <v>0.13296964709877857</v>
      </c>
      <c r="AE100" s="100">
        <f t="shared" si="425"/>
        <v>0.12785542990267171</v>
      </c>
      <c r="AF100" s="100">
        <f t="shared" si="425"/>
        <v>0.12293791336795357</v>
      </c>
      <c r="AG100" s="100">
        <f t="shared" si="425"/>
        <v>0.11820953208457073</v>
      </c>
      <c r="AH100" s="100">
        <f t="shared" si="425"/>
        <v>0.11366301161977954</v>
      </c>
      <c r="AI100" s="100">
        <f t="shared" si="425"/>
        <v>0.10929135732671109</v>
      </c>
      <c r="AJ100" s="100">
        <f t="shared" si="425"/>
        <v>0.10508784358337604</v>
      </c>
      <c r="AK100" s="100">
        <f t="shared" si="425"/>
        <v>0.10104600344555388</v>
      </c>
      <c r="AL100" s="100">
        <f t="shared" ref="AL100:AY100" si="426">AL75/AL99</f>
        <v>9.7159618697647943E-2</v>
      </c>
      <c r="AM100" s="100">
        <f t="shared" si="426"/>
        <v>9.3422710286199931E-2</v>
      </c>
      <c r="AN100" s="100">
        <f t="shared" si="426"/>
        <v>8.9829529121346091E-2</v>
      </c>
      <c r="AO100" s="100">
        <f t="shared" si="426"/>
        <v>8.6374547232063559E-2</v>
      </c>
      <c r="AP100" s="100">
        <f t="shared" si="426"/>
        <v>8.3052449261599562E-2</v>
      </c>
      <c r="AQ100" s="100">
        <f t="shared" si="426"/>
        <v>7.9858124289999582E-2</v>
      </c>
      <c r="AR100" s="100">
        <f t="shared" si="426"/>
        <v>7.6786657971153444E-2</v>
      </c>
      <c r="AS100" s="100">
        <f t="shared" si="426"/>
        <v>7.3833324972262929E-2</v>
      </c>
      <c r="AT100" s="100">
        <f t="shared" si="426"/>
        <v>7.099358170409896E-2</v>
      </c>
      <c r="AU100" s="100">
        <f t="shared" si="426"/>
        <v>6.8263059330864392E-2</v>
      </c>
      <c r="AV100" s="100">
        <f t="shared" si="426"/>
        <v>6.5637557048908057E-2</v>
      </c>
      <c r="AW100" s="100">
        <f t="shared" si="426"/>
        <v>6.3113035623950056E-2</v>
      </c>
      <c r="AX100" s="100">
        <f t="shared" si="426"/>
        <v>6.0685611176875057E-2</v>
      </c>
      <c r="AY100" s="100">
        <f t="shared" si="426"/>
        <v>5.8351549208533707E-2</v>
      </c>
      <c r="AZ100" s="100">
        <f t="shared" ref="AZ100:BA100" si="427">AZ75/AZ99</f>
        <v>5.6107258854359333E-2</v>
      </c>
      <c r="BA100" s="100">
        <f t="shared" si="427"/>
        <v>5.3949287359960893E-2</v>
      </c>
      <c r="BB100" s="71"/>
      <c r="BC100" s="97" t="s">
        <v>205</v>
      </c>
      <c r="BD100" s="110">
        <f>BD75/BD99</f>
        <v>0.1155060080746026</v>
      </c>
      <c r="BF100" s="4"/>
    </row>
    <row r="101" spans="2:58" x14ac:dyDescent="0.2">
      <c r="B101" s="9"/>
      <c r="D101" s="77">
        <f>MAX(D100:BA100)</f>
        <v>0.31512726535917679</v>
      </c>
      <c r="BF101" s="4"/>
    </row>
    <row r="102" spans="2:58" x14ac:dyDescent="0.2">
      <c r="B102" s="9"/>
      <c r="D102" s="77"/>
      <c r="BF102" s="4"/>
    </row>
    <row r="103" spans="2:58" x14ac:dyDescent="0.2">
      <c r="B103" s="9"/>
      <c r="C103" s="29" t="s">
        <v>174</v>
      </c>
      <c r="D103" s="30">
        <f>D41</f>
        <v>-70</v>
      </c>
      <c r="E103" s="30">
        <f>E41</f>
        <v>-106</v>
      </c>
      <c r="F103" s="30">
        <v>0</v>
      </c>
      <c r="G103" s="30">
        <v>0</v>
      </c>
      <c r="H103" s="30">
        <v>0</v>
      </c>
      <c r="I103" s="30"/>
      <c r="J103" s="30"/>
      <c r="K103" s="30"/>
      <c r="L103" s="30"/>
      <c r="M103" s="30"/>
      <c r="BF103" s="4"/>
    </row>
    <row r="104" spans="2:58" x14ac:dyDescent="0.2">
      <c r="B104" s="92">
        <v>0.7</v>
      </c>
      <c r="C104" s="93" t="s">
        <v>172</v>
      </c>
      <c r="D104" s="94">
        <f>$B104*D$41</f>
        <v>-49</v>
      </c>
      <c r="E104" s="94">
        <f>$B104*E$41</f>
        <v>-74.199999999999989</v>
      </c>
      <c r="F104" s="94">
        <f t="shared" ref="F104:H105" si="428">$B104*F$41</f>
        <v>0</v>
      </c>
      <c r="G104" s="94">
        <f t="shared" si="428"/>
        <v>0</v>
      </c>
      <c r="H104" s="94">
        <f t="shared" si="428"/>
        <v>0</v>
      </c>
      <c r="I104" s="30"/>
      <c r="J104" s="30"/>
      <c r="K104" s="30"/>
      <c r="L104" s="30"/>
      <c r="M104" s="30"/>
      <c r="BF104" s="4"/>
    </row>
    <row r="105" spans="2:58" x14ac:dyDescent="0.2">
      <c r="B105" s="92">
        <v>0.3</v>
      </c>
      <c r="C105" s="93" t="s">
        <v>173</v>
      </c>
      <c r="D105" s="94">
        <f>$B105*D$41</f>
        <v>-21</v>
      </c>
      <c r="E105" s="94">
        <f>$B105*E$41</f>
        <v>-31.799999999999997</v>
      </c>
      <c r="F105" s="94">
        <f t="shared" si="428"/>
        <v>0</v>
      </c>
      <c r="G105" s="94">
        <f t="shared" si="428"/>
        <v>0</v>
      </c>
      <c r="H105" s="94">
        <f t="shared" si="428"/>
        <v>0</v>
      </c>
      <c r="I105" s="30"/>
      <c r="J105" s="30"/>
      <c r="K105" s="30"/>
      <c r="L105" s="30"/>
      <c r="M105" s="30"/>
      <c r="BF105" s="4"/>
    </row>
    <row r="106" spans="2:58" x14ac:dyDescent="0.2">
      <c r="B106" s="36" t="s">
        <v>39</v>
      </c>
      <c r="C106" s="37">
        <f>SUM(D103:H103)</f>
        <v>-176</v>
      </c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BF106" s="4"/>
    </row>
    <row r="107" spans="2:58" x14ac:dyDescent="0.2">
      <c r="B107" s="9"/>
      <c r="BF107" s="4"/>
    </row>
    <row r="108" spans="2:58" x14ac:dyDescent="0.2">
      <c r="B108" s="9"/>
      <c r="C108" s="29" t="s">
        <v>154</v>
      </c>
      <c r="D108" s="30">
        <f>D109*$C109</f>
        <v>0</v>
      </c>
      <c r="E108" s="30">
        <f t="shared" ref="E108" si="429">E109*$C109</f>
        <v>0</v>
      </c>
      <c r="F108" s="30">
        <f t="shared" ref="F108" si="430">F109*$C109</f>
        <v>0</v>
      </c>
      <c r="G108" s="30">
        <f t="shared" ref="G108" si="431">G109*$C109</f>
        <v>0</v>
      </c>
      <c r="H108" s="30">
        <f t="shared" ref="H108" si="432">H109*$C109</f>
        <v>0</v>
      </c>
      <c r="I108" s="30">
        <f t="shared" ref="I108:M108" si="433">I109*$C109</f>
        <v>0</v>
      </c>
      <c r="J108" s="30">
        <f t="shared" si="433"/>
        <v>0</v>
      </c>
      <c r="K108" s="30">
        <f t="shared" si="433"/>
        <v>0</v>
      </c>
      <c r="L108" s="30">
        <f t="shared" si="433"/>
        <v>0</v>
      </c>
      <c r="M108" s="30">
        <f t="shared" si="433"/>
        <v>0</v>
      </c>
      <c r="BF108" s="4"/>
    </row>
    <row r="109" spans="2:58" x14ac:dyDescent="0.2">
      <c r="B109" s="36" t="s">
        <v>191</v>
      </c>
      <c r="C109" s="81">
        <f>C47</f>
        <v>0</v>
      </c>
      <c r="D109" s="82">
        <v>0.2</v>
      </c>
      <c r="E109" s="82">
        <v>0.2</v>
      </c>
      <c r="F109" s="82">
        <v>0.2</v>
      </c>
      <c r="G109" s="82">
        <v>0.2</v>
      </c>
      <c r="H109" s="85">
        <v>0.2</v>
      </c>
      <c r="I109" s="80">
        <v>0.25</v>
      </c>
      <c r="J109" s="83">
        <v>0.25</v>
      </c>
      <c r="K109" s="83">
        <v>0.25</v>
      </c>
      <c r="L109" s="83">
        <v>0.25</v>
      </c>
      <c r="M109" s="84">
        <v>0.25</v>
      </c>
      <c r="N109" s="103" t="s">
        <v>192</v>
      </c>
      <c r="O109" s="79"/>
      <c r="BF109" s="4"/>
    </row>
    <row r="110" spans="2:58" x14ac:dyDescent="0.2">
      <c r="B110" s="9"/>
      <c r="D110" s="77">
        <f>IF(D108&lt;0,1,0)</f>
        <v>0</v>
      </c>
      <c r="E110" s="77">
        <f t="shared" ref="E110:AB110" si="434">IF(E108&lt;0,1,0)</f>
        <v>0</v>
      </c>
      <c r="F110" s="77">
        <f t="shared" si="434"/>
        <v>0</v>
      </c>
      <c r="G110" s="77">
        <f t="shared" si="434"/>
        <v>0</v>
      </c>
      <c r="H110" s="77">
        <f t="shared" si="434"/>
        <v>0</v>
      </c>
      <c r="I110" s="77">
        <f t="shared" si="434"/>
        <v>0</v>
      </c>
      <c r="J110" s="77">
        <f t="shared" si="434"/>
        <v>0</v>
      </c>
      <c r="K110" s="77">
        <f t="shared" si="434"/>
        <v>0</v>
      </c>
      <c r="L110" s="77">
        <f t="shared" si="434"/>
        <v>0</v>
      </c>
      <c r="M110" s="77">
        <f t="shared" si="434"/>
        <v>0</v>
      </c>
      <c r="N110" s="77">
        <f t="shared" si="434"/>
        <v>0</v>
      </c>
      <c r="O110" s="77">
        <f t="shared" si="434"/>
        <v>0</v>
      </c>
      <c r="P110" s="77">
        <f t="shared" si="434"/>
        <v>0</v>
      </c>
      <c r="Q110" s="77">
        <f t="shared" si="434"/>
        <v>0</v>
      </c>
      <c r="R110" s="77">
        <f t="shared" si="434"/>
        <v>0</v>
      </c>
      <c r="S110" s="77">
        <f t="shared" si="434"/>
        <v>0</v>
      </c>
      <c r="T110" s="77">
        <f t="shared" si="434"/>
        <v>0</v>
      </c>
      <c r="U110" s="77">
        <f t="shared" si="434"/>
        <v>0</v>
      </c>
      <c r="V110" s="77">
        <f t="shared" si="434"/>
        <v>0</v>
      </c>
      <c r="W110" s="77">
        <f t="shared" si="434"/>
        <v>0</v>
      </c>
      <c r="X110" s="77">
        <f t="shared" si="434"/>
        <v>0</v>
      </c>
      <c r="Y110" s="77">
        <f t="shared" si="434"/>
        <v>0</v>
      </c>
      <c r="Z110" s="77">
        <f t="shared" si="434"/>
        <v>0</v>
      </c>
      <c r="AA110" s="77">
        <f t="shared" si="434"/>
        <v>0</v>
      </c>
      <c r="AB110" s="77">
        <f t="shared" si="434"/>
        <v>0</v>
      </c>
      <c r="AC110" s="77">
        <f t="shared" ref="AC110:AK110" si="435">IF(AC108&lt;0,1,0)</f>
        <v>0</v>
      </c>
      <c r="AD110" s="77">
        <f t="shared" si="435"/>
        <v>0</v>
      </c>
      <c r="AE110" s="77">
        <f t="shared" si="435"/>
        <v>0</v>
      </c>
      <c r="AF110" s="77">
        <f t="shared" si="435"/>
        <v>0</v>
      </c>
      <c r="AG110" s="77">
        <f t="shared" si="435"/>
        <v>0</v>
      </c>
      <c r="AH110" s="77">
        <f t="shared" si="435"/>
        <v>0</v>
      </c>
      <c r="AI110" s="77">
        <f t="shared" si="435"/>
        <v>0</v>
      </c>
      <c r="AJ110" s="77">
        <f t="shared" si="435"/>
        <v>0</v>
      </c>
      <c r="AK110" s="77">
        <f t="shared" si="435"/>
        <v>0</v>
      </c>
      <c r="AL110" s="77">
        <f t="shared" ref="AL110:AT110" si="436">IF(AL108&lt;0,1,0)</f>
        <v>0</v>
      </c>
      <c r="AM110" s="77">
        <f t="shared" si="436"/>
        <v>0</v>
      </c>
      <c r="AN110" s="77">
        <f t="shared" si="436"/>
        <v>0</v>
      </c>
      <c r="AO110" s="77">
        <f t="shared" si="436"/>
        <v>0</v>
      </c>
      <c r="AP110" s="77">
        <f t="shared" si="436"/>
        <v>0</v>
      </c>
      <c r="AQ110" s="77">
        <f t="shared" si="436"/>
        <v>0</v>
      </c>
      <c r="AR110" s="77">
        <f t="shared" si="436"/>
        <v>0</v>
      </c>
      <c r="AS110" s="77">
        <f t="shared" si="436"/>
        <v>0</v>
      </c>
      <c r="AT110" s="77">
        <f t="shared" si="436"/>
        <v>0</v>
      </c>
      <c r="AU110" s="77">
        <f t="shared" ref="AU110:BA110" si="437">IF(AU108&lt;0,1,0)</f>
        <v>0</v>
      </c>
      <c r="AV110" s="77">
        <f t="shared" si="437"/>
        <v>0</v>
      </c>
      <c r="AW110" s="77">
        <f t="shared" si="437"/>
        <v>0</v>
      </c>
      <c r="AX110" s="77">
        <f t="shared" si="437"/>
        <v>0</v>
      </c>
      <c r="AY110" s="77">
        <f t="shared" si="437"/>
        <v>0</v>
      </c>
      <c r="AZ110" s="77">
        <f t="shared" si="437"/>
        <v>0</v>
      </c>
      <c r="BA110" s="77">
        <f t="shared" si="437"/>
        <v>0</v>
      </c>
      <c r="BF110" s="4"/>
    </row>
    <row r="111" spans="2:58" x14ac:dyDescent="0.2">
      <c r="B111" s="9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F111" s="4"/>
    </row>
    <row r="112" spans="2:58" x14ac:dyDescent="0.2">
      <c r="B112" s="9"/>
      <c r="C112" s="3" t="s">
        <v>188</v>
      </c>
      <c r="D112" s="30">
        <f t="shared" ref="D112:M112" si="438">D96+D108</f>
        <v>-70.758993055000005</v>
      </c>
      <c r="E112" s="30">
        <f t="shared" si="438"/>
        <v>-106.91416464239998</v>
      </c>
      <c r="F112" s="30">
        <f t="shared" si="438"/>
        <v>29.398255216100011</v>
      </c>
      <c r="G112" s="30">
        <f t="shared" si="438"/>
        <v>34.309722008080008</v>
      </c>
      <c r="H112" s="30">
        <f t="shared" si="438"/>
        <v>39.481636355458782</v>
      </c>
      <c r="I112" s="30">
        <f t="shared" si="438"/>
        <v>41.773124928785322</v>
      </c>
      <c r="J112" s="30">
        <f t="shared" si="438"/>
        <v>44.156350829822728</v>
      </c>
      <c r="K112" s="30">
        <f t="shared" si="438"/>
        <v>46.695249969590002</v>
      </c>
      <c r="L112" s="30">
        <f t="shared" si="438"/>
        <v>49.266798892461672</v>
      </c>
      <c r="M112" s="30">
        <f t="shared" si="438"/>
        <v>51.940773797157384</v>
      </c>
      <c r="N112" s="30">
        <f t="shared" ref="N112:AB112" si="439">N96+N108</f>
        <v>54.721250840801609</v>
      </c>
      <c r="O112" s="30">
        <f t="shared" si="439"/>
        <v>57.612468208630993</v>
      </c>
      <c r="P112" s="30">
        <f t="shared" si="439"/>
        <v>60.618832553616734</v>
      </c>
      <c r="Q112" s="30">
        <f t="shared" si="439"/>
        <v>63.744925702698502</v>
      </c>
      <c r="R112" s="30">
        <f t="shared" si="439"/>
        <v>67.031793130897469</v>
      </c>
      <c r="S112" s="30">
        <f t="shared" si="439"/>
        <v>70.45039230314309</v>
      </c>
      <c r="T112" s="30">
        <f t="shared" si="439"/>
        <v>74.005985360600334</v>
      </c>
      <c r="U112" s="30">
        <f t="shared" si="439"/>
        <v>95.526300340155203</v>
      </c>
      <c r="V112" s="30">
        <f t="shared" si="439"/>
        <v>99.372514711463396</v>
      </c>
      <c r="W112" s="30">
        <f t="shared" si="439"/>
        <v>103.37280130416427</v>
      </c>
      <c r="X112" s="30">
        <f t="shared" si="439"/>
        <v>107.53331245485873</v>
      </c>
      <c r="Y112" s="30">
        <f t="shared" si="439"/>
        <v>111.86044562971038</v>
      </c>
      <c r="Z112" s="30">
        <f t="shared" si="439"/>
        <v>116.36085313320201</v>
      </c>
      <c r="AA112" s="30">
        <f t="shared" si="439"/>
        <v>121.04145227111961</v>
      </c>
      <c r="AB112" s="30">
        <f t="shared" si="439"/>
        <v>125.67100255340723</v>
      </c>
      <c r="AC112" s="30">
        <f t="shared" ref="AC112:AK112" si="440">AC96+AC108</f>
        <v>130.46452406613059</v>
      </c>
      <c r="AD112" s="30">
        <f t="shared" si="440"/>
        <v>135.42645458042168</v>
      </c>
      <c r="AE112" s="30">
        <f t="shared" si="440"/>
        <v>140.56119727044896</v>
      </c>
      <c r="AF112" s="30">
        <f t="shared" si="440"/>
        <v>145.87309811875832</v>
      </c>
      <c r="AG112" s="30">
        <f t="shared" si="440"/>
        <v>151.36642029674928</v>
      </c>
      <c r="AH112" s="30">
        <f t="shared" si="440"/>
        <v>157.04531518718386</v>
      </c>
      <c r="AI112" s="30">
        <f t="shared" si="440"/>
        <v>162.91378968109237</v>
      </c>
      <c r="AJ112" s="30">
        <f t="shared" si="440"/>
        <v>168.97566934339926</v>
      </c>
      <c r="AK112" s="30">
        <f t="shared" si="440"/>
        <v>175.23455699970478</v>
      </c>
      <c r="AL112" s="30">
        <f t="shared" ref="AL112:AT112" si="441">AL96+AL108</f>
        <v>181.69378625051951</v>
      </c>
      <c r="AM112" s="30">
        <f t="shared" si="441"/>
        <v>188.35636936844941</v>
      </c>
      <c r="AN112" s="30">
        <f t="shared" si="441"/>
        <v>195.22493897788746</v>
      </c>
      <c r="AO112" s="30">
        <f t="shared" si="441"/>
        <v>202.301682855173</v>
      </c>
      <c r="AP112" s="30">
        <f t="shared" si="441"/>
        <v>209.58827111936699</v>
      </c>
      <c r="AQ112" s="30">
        <f t="shared" si="441"/>
        <v>217.08577500912753</v>
      </c>
      <c r="AR112" s="30">
        <f t="shared" si="441"/>
        <v>224.79457635897694</v>
      </c>
      <c r="AS112" s="30">
        <f t="shared" si="441"/>
        <v>232.7142667977688</v>
      </c>
      <c r="AT112" s="30">
        <f t="shared" si="441"/>
        <v>240.84353559255555</v>
      </c>
      <c r="AU112" s="30">
        <f t="shared" ref="AU112:BA112" si="442">AU96+AU108</f>
        <v>249.18004495142142</v>
      </c>
      <c r="AV112" s="30">
        <f t="shared" si="442"/>
        <v>257.72029147815834</v>
      </c>
      <c r="AW112" s="30">
        <f t="shared" si="442"/>
        <v>266.4594523388327</v>
      </c>
      <c r="AX112" s="30">
        <f t="shared" si="442"/>
        <v>275.39121455408883</v>
      </c>
      <c r="AY112" s="30">
        <f t="shared" si="442"/>
        <v>284.50758567012554</v>
      </c>
      <c r="AZ112" s="30">
        <f t="shared" si="442"/>
        <v>293.79868388419106</v>
      </c>
      <c r="BA112" s="30">
        <f t="shared" si="442"/>
        <v>303.25250550554517</v>
      </c>
      <c r="BB112" s="30"/>
      <c r="BC112" s="30"/>
      <c r="BD112" s="7"/>
      <c r="BE112" s="31"/>
      <c r="BF112" s="4"/>
    </row>
    <row r="113" spans="2:58" x14ac:dyDescent="0.2">
      <c r="B113" s="9"/>
      <c r="C113" s="1" t="s">
        <v>37</v>
      </c>
      <c r="D113" s="7">
        <f>D112</f>
        <v>-70.758993055000005</v>
      </c>
      <c r="E113" s="7">
        <f>E112+D113</f>
        <v>-177.67315769739997</v>
      </c>
      <c r="F113" s="7">
        <f t="shared" ref="F113" si="443">F112+E113</f>
        <v>-148.27490248129996</v>
      </c>
      <c r="G113" s="7">
        <f t="shared" ref="G113" si="444">G112+F113</f>
        <v>-113.96518047321996</v>
      </c>
      <c r="H113" s="7">
        <f t="shared" ref="H113" si="445">H112+G113</f>
        <v>-74.48354411776117</v>
      </c>
      <c r="I113" s="7">
        <f t="shared" ref="I113" si="446">I112+H113</f>
        <v>-32.710419188975848</v>
      </c>
      <c r="J113" s="7">
        <f t="shared" ref="J113" si="447">J112+I113</f>
        <v>11.445931640846879</v>
      </c>
      <c r="K113" s="7">
        <f t="shared" ref="K113" si="448">K112+J113</f>
        <v>58.141181610436881</v>
      </c>
      <c r="L113" s="7">
        <f t="shared" ref="L113" si="449">L112+K113</f>
        <v>107.40798050289855</v>
      </c>
      <c r="M113" s="7">
        <f t="shared" ref="M113" si="450">M112+L113</f>
        <v>159.34875430005593</v>
      </c>
      <c r="N113" s="7">
        <f t="shared" ref="N113" si="451">N112+M113</f>
        <v>214.07000514085755</v>
      </c>
      <c r="O113" s="7">
        <f t="shared" ref="O113" si="452">O112+N113</f>
        <v>271.68247334948853</v>
      </c>
      <c r="P113" s="7">
        <f t="shared" ref="P113" si="453">P112+O113</f>
        <v>332.30130590310529</v>
      </c>
      <c r="Q113" s="7">
        <f t="shared" ref="Q113" si="454">Q112+P113</f>
        <v>396.04623160580377</v>
      </c>
      <c r="R113" s="7">
        <f t="shared" ref="R113" si="455">R112+Q113</f>
        <v>463.07802473670125</v>
      </c>
      <c r="S113" s="7">
        <f>S112+R113</f>
        <v>533.52841703984438</v>
      </c>
      <c r="T113" s="7">
        <f t="shared" ref="T113" si="456">T112+S113</f>
        <v>607.53440240044472</v>
      </c>
      <c r="U113" s="7">
        <f t="shared" ref="U113" si="457">U112+T113</f>
        <v>703.06070274059994</v>
      </c>
      <c r="V113" s="7">
        <f t="shared" ref="V113" si="458">V112+U113</f>
        <v>802.43321745206333</v>
      </c>
      <c r="W113" s="7">
        <f t="shared" ref="W113" si="459">W112+V113</f>
        <v>905.80601875622756</v>
      </c>
      <c r="X113" s="7">
        <f t="shared" ref="X113" si="460">X112+W113</f>
        <v>1013.3393312110863</v>
      </c>
      <c r="Y113" s="7">
        <f t="shared" ref="Y113" si="461">Y112+X113</f>
        <v>1125.1997768407966</v>
      </c>
      <c r="Z113" s="7">
        <f t="shared" ref="Z113" si="462">Z112+Y113</f>
        <v>1241.5606299739986</v>
      </c>
      <c r="AA113" s="7">
        <f t="shared" ref="AA113" si="463">AA112+Z113</f>
        <v>1362.6020822451183</v>
      </c>
      <c r="AB113" s="7">
        <f t="shared" ref="AB113" si="464">AB112+AA113</f>
        <v>1488.2730847985256</v>
      </c>
      <c r="AC113" s="7">
        <f t="shared" ref="AC113" si="465">AC112+AB113</f>
        <v>1618.7376088646561</v>
      </c>
      <c r="AD113" s="7">
        <f t="shared" ref="AD113" si="466">AD112+AC113</f>
        <v>1754.1640634450778</v>
      </c>
      <c r="AE113" s="7">
        <f t="shared" ref="AE113" si="467">AE112+AD113</f>
        <v>1894.7252607155267</v>
      </c>
      <c r="AF113" s="7">
        <f t="shared" ref="AF113" si="468">AF112+AE113</f>
        <v>2040.5983588342851</v>
      </c>
      <c r="AG113" s="7">
        <f t="shared" ref="AG113" si="469">AG112+AF113</f>
        <v>2191.9647791310344</v>
      </c>
      <c r="AH113" s="7">
        <f t="shared" ref="AH113" si="470">AH112+AG113</f>
        <v>2349.0100943182183</v>
      </c>
      <c r="AI113" s="7">
        <f t="shared" ref="AI113" si="471">AI112+AH113</f>
        <v>2511.9238839993109</v>
      </c>
      <c r="AJ113" s="7">
        <f t="shared" ref="AJ113" si="472">AJ112+AI113</f>
        <v>2680.8995533427101</v>
      </c>
      <c r="AK113" s="7">
        <f t="shared" ref="AK113" si="473">AK112+AJ113</f>
        <v>2856.1341103424147</v>
      </c>
      <c r="AL113" s="7">
        <f t="shared" ref="AL113" si="474">AL112+AK113</f>
        <v>3037.8278965929344</v>
      </c>
      <c r="AM113" s="7">
        <f t="shared" ref="AM113" si="475">AM112+AL113</f>
        <v>3226.184265961384</v>
      </c>
      <c r="AN113" s="7">
        <f t="shared" ref="AN113" si="476">AN112+AM113</f>
        <v>3421.4092049392716</v>
      </c>
      <c r="AO113" s="7">
        <f t="shared" ref="AO113" si="477">AO112+AN113</f>
        <v>3623.7108877944447</v>
      </c>
      <c r="AP113" s="7">
        <f t="shared" ref="AP113" si="478">AP112+AO113</f>
        <v>3833.2991589138119</v>
      </c>
      <c r="AQ113" s="7">
        <f t="shared" ref="AQ113" si="479">AQ112+AP113</f>
        <v>4050.3849339229396</v>
      </c>
      <c r="AR113" s="7">
        <f t="shared" ref="AR113" si="480">AR112+AQ113</f>
        <v>4275.1795102819169</v>
      </c>
      <c r="AS113" s="7">
        <f t="shared" ref="AS113" si="481">AS112+AR113</f>
        <v>4507.8937770796856</v>
      </c>
      <c r="AT113" s="7">
        <f t="shared" ref="AT113" si="482">AT112+AS113</f>
        <v>4748.7373126722414</v>
      </c>
      <c r="AU113" s="7">
        <f t="shared" ref="AU113" si="483">AU112+AT113</f>
        <v>4997.9173576236626</v>
      </c>
      <c r="AV113" s="7">
        <f t="shared" ref="AV113" si="484">AV112+AU113</f>
        <v>5255.6376491018209</v>
      </c>
      <c r="AW113" s="7">
        <f t="shared" ref="AW113" si="485">AW112+AV113</f>
        <v>5522.0971014406532</v>
      </c>
      <c r="AX113" s="7">
        <f t="shared" ref="AX113" si="486">AX112+AW113</f>
        <v>5797.4883159947422</v>
      </c>
      <c r="AY113" s="7">
        <f t="shared" ref="AY113" si="487">AY112+AX113</f>
        <v>6081.9959016648681</v>
      </c>
      <c r="AZ113" s="7">
        <f t="shared" ref="AZ113" si="488">AZ112+AY113</f>
        <v>6375.7945855490589</v>
      </c>
      <c r="BA113" s="7">
        <f t="shared" ref="BA113" si="489">BA112+AZ113</f>
        <v>6679.0470910546037</v>
      </c>
      <c r="BB113" s="7"/>
      <c r="BC113" s="7"/>
      <c r="BD113" s="7"/>
      <c r="BF113" s="4"/>
    </row>
    <row r="114" spans="2:58" x14ac:dyDescent="0.2">
      <c r="B114" s="9"/>
      <c r="D114" s="76">
        <f>IF(D113&lt;0,1,0)</f>
        <v>1</v>
      </c>
      <c r="E114" s="76">
        <f t="shared" ref="E114:I114" si="490">IF(E113&lt;0,1,0)</f>
        <v>1</v>
      </c>
      <c r="F114" s="76">
        <f t="shared" si="490"/>
        <v>1</v>
      </c>
      <c r="G114" s="76">
        <f t="shared" si="490"/>
        <v>1</v>
      </c>
      <c r="H114" s="76">
        <f t="shared" si="490"/>
        <v>1</v>
      </c>
      <c r="I114" s="76">
        <f t="shared" si="490"/>
        <v>1</v>
      </c>
      <c r="J114" s="76">
        <f>IF(J113&lt;0,1,0)</f>
        <v>0</v>
      </c>
      <c r="K114" s="76">
        <f t="shared" ref="K114:AB114" si="491">IF(K113&lt;0,1,0)</f>
        <v>0</v>
      </c>
      <c r="L114" s="76">
        <f t="shared" si="491"/>
        <v>0</v>
      </c>
      <c r="M114" s="76">
        <f t="shared" si="491"/>
        <v>0</v>
      </c>
      <c r="N114" s="76">
        <f t="shared" si="491"/>
        <v>0</v>
      </c>
      <c r="O114" s="76">
        <f t="shared" si="491"/>
        <v>0</v>
      </c>
      <c r="P114" s="76">
        <f t="shared" si="491"/>
        <v>0</v>
      </c>
      <c r="Q114" s="76">
        <f t="shared" si="491"/>
        <v>0</v>
      </c>
      <c r="R114" s="76">
        <f t="shared" si="491"/>
        <v>0</v>
      </c>
      <c r="S114" s="76">
        <f t="shared" si="491"/>
        <v>0</v>
      </c>
      <c r="T114" s="76">
        <f t="shared" si="491"/>
        <v>0</v>
      </c>
      <c r="U114" s="76">
        <f t="shared" si="491"/>
        <v>0</v>
      </c>
      <c r="V114" s="76">
        <f t="shared" si="491"/>
        <v>0</v>
      </c>
      <c r="W114" s="76">
        <f t="shared" si="491"/>
        <v>0</v>
      </c>
      <c r="X114" s="76">
        <f t="shared" si="491"/>
        <v>0</v>
      </c>
      <c r="Y114" s="76">
        <f t="shared" si="491"/>
        <v>0</v>
      </c>
      <c r="Z114" s="76">
        <f t="shared" si="491"/>
        <v>0</v>
      </c>
      <c r="AA114" s="76">
        <f t="shared" si="491"/>
        <v>0</v>
      </c>
      <c r="AB114" s="76">
        <f t="shared" si="491"/>
        <v>0</v>
      </c>
      <c r="AC114" s="76">
        <f t="shared" ref="AC114:AK114" si="492">IF(AC113&lt;0,1,0)</f>
        <v>0</v>
      </c>
      <c r="AD114" s="76">
        <f t="shared" si="492"/>
        <v>0</v>
      </c>
      <c r="AE114" s="76">
        <f t="shared" si="492"/>
        <v>0</v>
      </c>
      <c r="AF114" s="76">
        <f t="shared" si="492"/>
        <v>0</v>
      </c>
      <c r="AG114" s="76">
        <f t="shared" si="492"/>
        <v>0</v>
      </c>
      <c r="AH114" s="76">
        <f t="shared" si="492"/>
        <v>0</v>
      </c>
      <c r="AI114" s="76">
        <f t="shared" si="492"/>
        <v>0</v>
      </c>
      <c r="AJ114" s="76">
        <f t="shared" si="492"/>
        <v>0</v>
      </c>
      <c r="AK114" s="76">
        <f t="shared" si="492"/>
        <v>0</v>
      </c>
      <c r="AL114" s="76">
        <f t="shared" ref="AL114:AT114" si="493">IF(AL113&lt;0,1,0)</f>
        <v>0</v>
      </c>
      <c r="AM114" s="76">
        <f t="shared" si="493"/>
        <v>0</v>
      </c>
      <c r="AN114" s="76">
        <f t="shared" si="493"/>
        <v>0</v>
      </c>
      <c r="AO114" s="76">
        <f t="shared" si="493"/>
        <v>0</v>
      </c>
      <c r="AP114" s="76">
        <f t="shared" si="493"/>
        <v>0</v>
      </c>
      <c r="AQ114" s="76">
        <f t="shared" si="493"/>
        <v>0</v>
      </c>
      <c r="AR114" s="76">
        <f t="shared" si="493"/>
        <v>0</v>
      </c>
      <c r="AS114" s="76">
        <f t="shared" si="493"/>
        <v>0</v>
      </c>
      <c r="AT114" s="76">
        <f t="shared" si="493"/>
        <v>0</v>
      </c>
      <c r="AU114" s="76">
        <f t="shared" ref="AU114:BA114" si="494">IF(AU113&lt;0,1,0)</f>
        <v>0</v>
      </c>
      <c r="AV114" s="76">
        <f t="shared" si="494"/>
        <v>0</v>
      </c>
      <c r="AW114" s="76">
        <f t="shared" si="494"/>
        <v>0</v>
      </c>
      <c r="AX114" s="76">
        <f t="shared" si="494"/>
        <v>0</v>
      </c>
      <c r="AY114" s="76">
        <f t="shared" si="494"/>
        <v>0</v>
      </c>
      <c r="AZ114" s="76">
        <f t="shared" si="494"/>
        <v>0</v>
      </c>
      <c r="BA114" s="76">
        <f t="shared" si="494"/>
        <v>0</v>
      </c>
      <c r="BF114" s="4"/>
    </row>
    <row r="115" spans="2:58" x14ac:dyDescent="0.2">
      <c r="B115" s="9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F115" s="4"/>
    </row>
    <row r="116" spans="2:58" x14ac:dyDescent="0.2">
      <c r="B116" s="9"/>
      <c r="C116" s="32" t="s">
        <v>193</v>
      </c>
      <c r="D116" s="34">
        <f>NPV(D118,D112:BD112)</f>
        <v>405.44482796270978</v>
      </c>
      <c r="F116" s="64" t="s">
        <v>138</v>
      </c>
      <c r="G116" s="65">
        <f>G54</f>
        <v>176</v>
      </c>
      <c r="H116" s="1" t="s">
        <v>143</v>
      </c>
      <c r="I116" s="68"/>
      <c r="J116" s="68" t="s">
        <v>145</v>
      </c>
      <c r="K116" s="69">
        <f>K54</f>
        <v>91.333843130000005</v>
      </c>
      <c r="L116" s="1" t="s">
        <v>143</v>
      </c>
      <c r="BF116" s="4"/>
    </row>
    <row r="117" spans="2:58" x14ac:dyDescent="0.2">
      <c r="B117" s="9"/>
      <c r="C117" s="32" t="s">
        <v>194</v>
      </c>
      <c r="D117" s="33">
        <f>IRR(D112:BD112)</f>
        <v>0.23339262671027661</v>
      </c>
      <c r="F117" s="64" t="s">
        <v>119</v>
      </c>
      <c r="G117" s="66">
        <f t="shared" ref="G117:G119" si="495">G55</f>
        <v>0.06</v>
      </c>
      <c r="BF117" s="4"/>
    </row>
    <row r="118" spans="2:58" x14ac:dyDescent="0.2">
      <c r="B118" s="9"/>
      <c r="C118" s="32" t="s">
        <v>1</v>
      </c>
      <c r="D118" s="35">
        <v>0.1</v>
      </c>
      <c r="F118" s="64" t="s">
        <v>139</v>
      </c>
      <c r="G118" s="67">
        <f t="shared" si="495"/>
        <v>15</v>
      </c>
      <c r="BF118" s="4"/>
    </row>
    <row r="119" spans="2:58" x14ac:dyDescent="0.2">
      <c r="B119" s="9"/>
      <c r="C119" s="32" t="s">
        <v>195</v>
      </c>
      <c r="D119" s="34" cm="1">
        <f t="array" ref="D119">NPV(D118,-D108:M108)</f>
        <v>0</v>
      </c>
      <c r="F119" s="64" t="s">
        <v>140</v>
      </c>
      <c r="G119" s="67">
        <f t="shared" si="495"/>
        <v>2</v>
      </c>
      <c r="BF119" s="4"/>
    </row>
    <row r="120" spans="2:58" x14ac:dyDescent="0.2">
      <c r="B120" s="9"/>
      <c r="C120" s="32" t="s">
        <v>196</v>
      </c>
      <c r="D120" s="34">
        <f>-(SUM(D108:M108))</f>
        <v>0</v>
      </c>
      <c r="F120" s="64"/>
      <c r="G120" s="67"/>
      <c r="BF120" s="4"/>
    </row>
    <row r="121" spans="2:58" x14ac:dyDescent="0.2">
      <c r="B121" s="9"/>
      <c r="C121" s="32" t="s">
        <v>197</v>
      </c>
      <c r="D121" s="104">
        <f>D120/BD96</f>
        <v>0</v>
      </c>
      <c r="F121" s="64"/>
      <c r="G121" s="67"/>
      <c r="BF121" s="4"/>
    </row>
    <row r="122" spans="2:58" ht="17" thickBot="1" x14ac:dyDescent="0.25">
      <c r="B122" s="15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5"/>
    </row>
  </sheetData>
  <mergeCells count="4">
    <mergeCell ref="B64:BF64"/>
    <mergeCell ref="B75:B100"/>
    <mergeCell ref="B2:BF2"/>
    <mergeCell ref="B13:B38"/>
  </mergeCells>
  <phoneticPr fontId="9" type="noConversion"/>
  <conditionalFormatting sqref="D51:BD51">
    <cfRule type="cellIs" dxfId="3" priority="4" operator="lessThan">
      <formula>0</formula>
    </cfRule>
  </conditionalFormatting>
  <conditionalFormatting sqref="D113:BD113">
    <cfRule type="cellIs" dxfId="2" priority="1" operator="lessThan">
      <formula>0</formula>
    </cfRule>
  </conditionalFormatting>
  <pageMargins left="0.25" right="0.25" top="0.75" bottom="0.75" header="0.3" footer="0.3"/>
  <pageSetup scale="23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5A527-5108-5242-93F3-AF31F69754B7}">
  <sheetPr>
    <pageSetUpPr fitToPage="1"/>
  </sheetPr>
  <dimension ref="A1:BF122"/>
  <sheetViews>
    <sheetView zoomScale="156" zoomScaleNormal="100" workbookViewId="0">
      <selection activeCell="AG103" sqref="AG103"/>
    </sheetView>
  </sheetViews>
  <sheetFormatPr baseColWidth="10" defaultRowHeight="16" x14ac:dyDescent="0.2"/>
  <cols>
    <col min="1" max="1" width="5.33203125" style="106" bestFit="1" customWidth="1"/>
    <col min="2" max="2" width="19.83203125" style="3" customWidth="1"/>
    <col min="3" max="3" width="18.83203125" style="1" bestFit="1" customWidth="1"/>
    <col min="4" max="4" width="9.5" style="1" bestFit="1" customWidth="1"/>
    <col min="5" max="5" width="10.5" style="1" bestFit="1" customWidth="1"/>
    <col min="6" max="6" width="9.5" style="1" customWidth="1"/>
    <col min="7" max="9" width="9.5" style="1" bestFit="1" customWidth="1"/>
    <col min="10" max="10" width="9.1640625" style="1" customWidth="1"/>
    <col min="11" max="11" width="10.33203125" style="1" customWidth="1"/>
    <col min="12" max="17" width="9.5" style="1" bestFit="1" customWidth="1"/>
    <col min="18" max="18" width="10" style="1" bestFit="1" customWidth="1"/>
    <col min="19" max="28" width="9.5" style="1" bestFit="1" customWidth="1"/>
    <col min="29" max="30" width="9.33203125" style="1" bestFit="1" customWidth="1"/>
    <col min="31" max="31" width="10.5" style="1" bestFit="1" customWidth="1"/>
    <col min="32" max="44" width="10.6640625" style="1" bestFit="1" customWidth="1"/>
    <col min="45" max="53" width="12" style="1" bestFit="1" customWidth="1"/>
    <col min="54" max="54" width="4.33203125" style="1" customWidth="1"/>
    <col min="55" max="55" width="17.5" style="1" customWidth="1"/>
    <col min="56" max="56" width="11.83203125" style="1" bestFit="1" customWidth="1"/>
    <col min="57" max="57" width="5.1640625" style="1" bestFit="1" customWidth="1"/>
    <col min="58" max="58" width="2.83203125" style="1" customWidth="1"/>
    <col min="59" max="16384" width="10.83203125" style="1"/>
  </cols>
  <sheetData>
    <row r="1" spans="1:58" ht="17" thickBot="1" x14ac:dyDescent="0.25">
      <c r="H1" s="17"/>
      <c r="I1" s="17"/>
      <c r="J1" s="18"/>
      <c r="K1" s="19"/>
      <c r="L1" s="18"/>
      <c r="M1" s="8"/>
    </row>
    <row r="2" spans="1:58" ht="17" thickBot="1" x14ac:dyDescent="0.25">
      <c r="B2" s="154" t="s">
        <v>60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6"/>
    </row>
    <row r="3" spans="1:58" x14ac:dyDescent="0.2">
      <c r="B3" s="20"/>
      <c r="C3" s="90" t="s">
        <v>175</v>
      </c>
      <c r="D3" s="91">
        <v>0.8</v>
      </c>
      <c r="E3" s="21"/>
      <c r="F3" s="21"/>
      <c r="G3" s="21"/>
      <c r="H3" s="22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3"/>
    </row>
    <row r="4" spans="1:58" x14ac:dyDescent="0.2">
      <c r="B4" s="9"/>
      <c r="C4" s="90" t="s">
        <v>176</v>
      </c>
      <c r="D4" s="89">
        <v>3</v>
      </c>
      <c r="H4" s="6"/>
      <c r="BF4" s="4"/>
    </row>
    <row r="5" spans="1:58" x14ac:dyDescent="0.2">
      <c r="B5" s="9"/>
      <c r="C5" s="90" t="s">
        <v>177</v>
      </c>
      <c r="D5" s="89">
        <f>D3*D4</f>
        <v>2.4000000000000004</v>
      </c>
      <c r="H5" s="6"/>
      <c r="BF5" s="4"/>
    </row>
    <row r="6" spans="1:58" x14ac:dyDescent="0.2">
      <c r="B6" s="9"/>
      <c r="C6" s="90" t="s">
        <v>178</v>
      </c>
      <c r="D6" s="24">
        <f>D5*12</f>
        <v>28.800000000000004</v>
      </c>
      <c r="H6" s="6"/>
      <c r="BF6" s="4"/>
    </row>
    <row r="7" spans="1:58" x14ac:dyDescent="0.2">
      <c r="B7" s="9"/>
      <c r="C7" s="90" t="s">
        <v>5</v>
      </c>
      <c r="D7" s="25">
        <f> SUMMARY!M7</f>
        <v>5</v>
      </c>
      <c r="E7" s="25">
        <f>D7*(1+$D$8)</f>
        <v>5.2</v>
      </c>
      <c r="F7" s="25">
        <f>E7*(1+$D$8)</f>
        <v>5.4080000000000004</v>
      </c>
      <c r="G7" s="25">
        <f t="shared" ref="G7:AB7" si="0">F7*(1+$D$8)</f>
        <v>5.6243200000000009</v>
      </c>
      <c r="H7" s="25">
        <f t="shared" si="0"/>
        <v>5.8492928000000015</v>
      </c>
      <c r="I7" s="25">
        <f t="shared" si="0"/>
        <v>6.0832645120000022</v>
      </c>
      <c r="J7" s="25">
        <f t="shared" si="0"/>
        <v>6.3265950924800025</v>
      </c>
      <c r="K7" s="25">
        <f t="shared" si="0"/>
        <v>6.5796588961792031</v>
      </c>
      <c r="L7" s="25">
        <f t="shared" si="0"/>
        <v>6.8428452520263718</v>
      </c>
      <c r="M7" s="25">
        <f t="shared" si="0"/>
        <v>7.1165590621074273</v>
      </c>
      <c r="N7" s="25">
        <f t="shared" si="0"/>
        <v>7.4012214245917249</v>
      </c>
      <c r="O7" s="25">
        <f t="shared" si="0"/>
        <v>7.6972702815753946</v>
      </c>
      <c r="P7" s="25">
        <f t="shared" si="0"/>
        <v>8.00516109283841</v>
      </c>
      <c r="Q7" s="25">
        <f t="shared" si="0"/>
        <v>8.3253675365519459</v>
      </c>
      <c r="R7" s="25">
        <f t="shared" si="0"/>
        <v>8.6583822380140241</v>
      </c>
      <c r="S7" s="25">
        <f t="shared" si="0"/>
        <v>9.0047175275345861</v>
      </c>
      <c r="T7" s="25">
        <f t="shared" si="0"/>
        <v>9.3649062286359701</v>
      </c>
      <c r="U7" s="25">
        <f t="shared" si="0"/>
        <v>9.739502477781409</v>
      </c>
      <c r="V7" s="25">
        <f t="shared" si="0"/>
        <v>10.129082576892666</v>
      </c>
      <c r="W7" s="25">
        <f t="shared" si="0"/>
        <v>10.534245879968372</v>
      </c>
      <c r="X7" s="25">
        <f t="shared" si="0"/>
        <v>10.955615715167108</v>
      </c>
      <c r="Y7" s="25">
        <f t="shared" si="0"/>
        <v>11.393840343773793</v>
      </c>
      <c r="Z7" s="25">
        <f t="shared" si="0"/>
        <v>11.849593957524744</v>
      </c>
      <c r="AA7" s="25">
        <f t="shared" si="0"/>
        <v>12.323577715825735</v>
      </c>
      <c r="AB7" s="25">
        <f t="shared" si="0"/>
        <v>12.816520824458765</v>
      </c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F7" s="4"/>
    </row>
    <row r="8" spans="1:58" x14ac:dyDescent="0.2">
      <c r="B8" s="9"/>
      <c r="C8" s="90" t="s">
        <v>189</v>
      </c>
      <c r="D8" s="6">
        <v>0.04</v>
      </c>
      <c r="H8" s="6"/>
      <c r="BF8" s="4"/>
    </row>
    <row r="9" spans="1:58" x14ac:dyDescent="0.2">
      <c r="B9" s="9"/>
      <c r="BF9" s="4"/>
    </row>
    <row r="10" spans="1:58" x14ac:dyDescent="0.2">
      <c r="B10" s="9"/>
      <c r="H10" s="6"/>
      <c r="BF10" s="4"/>
    </row>
    <row r="11" spans="1:58" x14ac:dyDescent="0.2">
      <c r="B11" s="9"/>
      <c r="D11" s="26">
        <v>0</v>
      </c>
      <c r="E11" s="26">
        <v>0</v>
      </c>
      <c r="F11" s="26">
        <v>0.25</v>
      </c>
      <c r="G11" s="26">
        <v>0.5</v>
      </c>
      <c r="H11" s="26">
        <v>0.75</v>
      </c>
      <c r="I11" s="26">
        <v>0.9</v>
      </c>
      <c r="J11" s="26">
        <v>0.9</v>
      </c>
      <c r="K11" s="26">
        <v>0.9</v>
      </c>
      <c r="L11" s="26">
        <v>0.9</v>
      </c>
      <c r="M11" s="26">
        <v>0.9</v>
      </c>
      <c r="N11" s="26">
        <v>0.9</v>
      </c>
      <c r="O11" s="26">
        <v>0.9</v>
      </c>
      <c r="P11" s="26">
        <v>0.9</v>
      </c>
      <c r="Q11" s="26">
        <v>0.9</v>
      </c>
      <c r="R11" s="26">
        <v>0.9</v>
      </c>
      <c r="S11" s="26">
        <v>0.9</v>
      </c>
      <c r="T11" s="26">
        <v>0.9</v>
      </c>
      <c r="U11" s="26">
        <v>0.9</v>
      </c>
      <c r="V11" s="26">
        <v>0.9</v>
      </c>
      <c r="W11" s="26">
        <v>0.9</v>
      </c>
      <c r="X11" s="26">
        <v>0.9</v>
      </c>
      <c r="Y11" s="26">
        <v>0.9</v>
      </c>
      <c r="Z11" s="26">
        <v>0.9</v>
      </c>
      <c r="AA11" s="26">
        <v>0.9</v>
      </c>
      <c r="AB11" s="26">
        <v>0.9</v>
      </c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F11" s="4"/>
    </row>
    <row r="12" spans="1:58" x14ac:dyDescent="0.2">
      <c r="B12" s="9"/>
      <c r="D12" s="2" t="s">
        <v>6</v>
      </c>
      <c r="E12" s="2" t="s">
        <v>7</v>
      </c>
      <c r="F12" s="2" t="s">
        <v>8</v>
      </c>
      <c r="G12" s="2" t="s">
        <v>9</v>
      </c>
      <c r="H12" s="2" t="s">
        <v>10</v>
      </c>
      <c r="I12" s="2" t="s">
        <v>11</v>
      </c>
      <c r="J12" s="2" t="s">
        <v>12</v>
      </c>
      <c r="K12" s="2" t="s">
        <v>13</v>
      </c>
      <c r="L12" s="2" t="s">
        <v>14</v>
      </c>
      <c r="M12" s="2" t="s">
        <v>15</v>
      </c>
      <c r="N12" s="2" t="s">
        <v>16</v>
      </c>
      <c r="O12" s="2" t="s">
        <v>17</v>
      </c>
      <c r="P12" s="2" t="s">
        <v>18</v>
      </c>
      <c r="Q12" s="2" t="s">
        <v>19</v>
      </c>
      <c r="R12" s="2" t="s">
        <v>20</v>
      </c>
      <c r="S12" s="2" t="s">
        <v>21</v>
      </c>
      <c r="T12" s="2" t="s">
        <v>22</v>
      </c>
      <c r="U12" s="2" t="s">
        <v>23</v>
      </c>
      <c r="V12" s="2" t="s">
        <v>24</v>
      </c>
      <c r="W12" s="2" t="s">
        <v>25</v>
      </c>
      <c r="X12" s="2" t="s">
        <v>26</v>
      </c>
      <c r="Y12" s="2" t="s">
        <v>27</v>
      </c>
      <c r="Z12" s="2" t="s">
        <v>28</v>
      </c>
      <c r="AA12" s="2" t="s">
        <v>29</v>
      </c>
      <c r="AB12" s="2" t="s">
        <v>30</v>
      </c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86" t="s">
        <v>137</v>
      </c>
      <c r="BF12" s="4"/>
    </row>
    <row r="13" spans="1:58" ht="16" customHeight="1" x14ac:dyDescent="0.2">
      <c r="B13" s="157" t="s">
        <v>36</v>
      </c>
      <c r="C13" s="10" t="s">
        <v>2</v>
      </c>
      <c r="D13" s="11">
        <f t="shared" ref="D13:AB13" si="1">$D$6*D11</f>
        <v>0</v>
      </c>
      <c r="E13" s="11">
        <f t="shared" si="1"/>
        <v>0</v>
      </c>
      <c r="F13" s="11">
        <f t="shared" si="1"/>
        <v>7.2000000000000011</v>
      </c>
      <c r="G13" s="11">
        <f t="shared" si="1"/>
        <v>14.400000000000002</v>
      </c>
      <c r="H13" s="11">
        <f t="shared" si="1"/>
        <v>21.6</v>
      </c>
      <c r="I13" s="11">
        <f t="shared" si="1"/>
        <v>25.920000000000005</v>
      </c>
      <c r="J13" s="11">
        <f t="shared" si="1"/>
        <v>25.920000000000005</v>
      </c>
      <c r="K13" s="11">
        <f t="shared" si="1"/>
        <v>25.920000000000005</v>
      </c>
      <c r="L13" s="11">
        <f t="shared" si="1"/>
        <v>25.920000000000005</v>
      </c>
      <c r="M13" s="11">
        <f t="shared" si="1"/>
        <v>25.920000000000005</v>
      </c>
      <c r="N13" s="11">
        <f t="shared" si="1"/>
        <v>25.920000000000005</v>
      </c>
      <c r="O13" s="11">
        <f t="shared" si="1"/>
        <v>25.920000000000005</v>
      </c>
      <c r="P13" s="11">
        <f t="shared" si="1"/>
        <v>25.920000000000005</v>
      </c>
      <c r="Q13" s="11">
        <f t="shared" si="1"/>
        <v>25.920000000000005</v>
      </c>
      <c r="R13" s="11">
        <f t="shared" si="1"/>
        <v>25.920000000000005</v>
      </c>
      <c r="S13" s="11">
        <f t="shared" si="1"/>
        <v>25.920000000000005</v>
      </c>
      <c r="T13" s="11">
        <f t="shared" si="1"/>
        <v>25.920000000000005</v>
      </c>
      <c r="U13" s="11">
        <f t="shared" si="1"/>
        <v>25.920000000000005</v>
      </c>
      <c r="V13" s="11">
        <f t="shared" si="1"/>
        <v>25.920000000000005</v>
      </c>
      <c r="W13" s="11">
        <f t="shared" si="1"/>
        <v>25.920000000000005</v>
      </c>
      <c r="X13" s="11">
        <f t="shared" si="1"/>
        <v>25.920000000000005</v>
      </c>
      <c r="Y13" s="11">
        <f t="shared" si="1"/>
        <v>25.920000000000005</v>
      </c>
      <c r="Z13" s="11">
        <f t="shared" si="1"/>
        <v>25.920000000000005</v>
      </c>
      <c r="AA13" s="11">
        <f t="shared" si="1"/>
        <v>25.920000000000005</v>
      </c>
      <c r="AB13" s="11">
        <f t="shared" si="1"/>
        <v>25.920000000000005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0" t="s">
        <v>2</v>
      </c>
      <c r="BD13" s="118">
        <f>SUM(D13:BB13)</f>
        <v>561.60000000000014</v>
      </c>
      <c r="BE13" s="13"/>
      <c r="BF13" s="4"/>
    </row>
    <row r="14" spans="1:58" x14ac:dyDescent="0.2">
      <c r="B14" s="157"/>
      <c r="C14" s="10" t="s">
        <v>3</v>
      </c>
      <c r="D14" s="70">
        <f>D13*D7</f>
        <v>0</v>
      </c>
      <c r="E14" s="70">
        <f>E13*E7</f>
        <v>0</v>
      </c>
      <c r="F14" s="70">
        <f>F13*F7</f>
        <v>38.93760000000001</v>
      </c>
      <c r="G14" s="70">
        <f t="shared" ref="G14:AB14" si="2">G13*G7</f>
        <v>80.990208000000024</v>
      </c>
      <c r="H14" s="70">
        <f t="shared" si="2"/>
        <v>126.34472448000004</v>
      </c>
      <c r="I14" s="70">
        <f t="shared" si="2"/>
        <v>157.67821615104009</v>
      </c>
      <c r="J14" s="70">
        <f t="shared" si="2"/>
        <v>163.98534479708169</v>
      </c>
      <c r="K14" s="70">
        <f t="shared" si="2"/>
        <v>170.54475858896498</v>
      </c>
      <c r="L14" s="70">
        <f t="shared" si="2"/>
        <v>177.36654893252359</v>
      </c>
      <c r="M14" s="70">
        <f t="shared" si="2"/>
        <v>184.46121088982454</v>
      </c>
      <c r="N14" s="70">
        <f t="shared" si="2"/>
        <v>191.83965932541756</v>
      </c>
      <c r="O14" s="70">
        <f t="shared" si="2"/>
        <v>199.51324569843428</v>
      </c>
      <c r="P14" s="70">
        <f t="shared" si="2"/>
        <v>207.49377552637162</v>
      </c>
      <c r="Q14" s="70">
        <f t="shared" si="2"/>
        <v>215.7935265474265</v>
      </c>
      <c r="R14" s="70">
        <f t="shared" si="2"/>
        <v>224.42526760932356</v>
      </c>
      <c r="S14" s="70">
        <f t="shared" si="2"/>
        <v>233.40227831369651</v>
      </c>
      <c r="T14" s="70">
        <f t="shared" si="2"/>
        <v>242.73836944624441</v>
      </c>
      <c r="U14" s="70">
        <f t="shared" si="2"/>
        <v>252.44790422409417</v>
      </c>
      <c r="V14" s="70">
        <f t="shared" si="2"/>
        <v>262.54582039305797</v>
      </c>
      <c r="W14" s="70">
        <f t="shared" si="2"/>
        <v>273.04765320878028</v>
      </c>
      <c r="X14" s="70">
        <f t="shared" si="2"/>
        <v>283.9695593371315</v>
      </c>
      <c r="Y14" s="70">
        <f t="shared" si="2"/>
        <v>295.32834171061677</v>
      </c>
      <c r="Z14" s="70">
        <f t="shared" si="2"/>
        <v>307.14147537904142</v>
      </c>
      <c r="AA14" s="70">
        <f t="shared" si="2"/>
        <v>319.42713439420311</v>
      </c>
      <c r="AB14" s="70">
        <f t="shared" si="2"/>
        <v>332.20421976997125</v>
      </c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0" t="s">
        <v>3</v>
      </c>
      <c r="BD14" s="12">
        <f t="shared" ref="BD14:BD37" si="3">SUM(D14:BB14)</f>
        <v>4941.6268427232462</v>
      </c>
      <c r="BE14" s="13"/>
      <c r="BF14" s="4"/>
    </row>
    <row r="15" spans="1:58" x14ac:dyDescent="0.2">
      <c r="B15" s="157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D15" s="49"/>
      <c r="BE15" s="13"/>
      <c r="BF15" s="4"/>
    </row>
    <row r="16" spans="1:58" x14ac:dyDescent="0.2">
      <c r="A16" s="105"/>
      <c r="B16" s="157"/>
      <c r="C16" s="10" t="s">
        <v>155</v>
      </c>
      <c r="D16" s="57">
        <f>SUM(D17:D20)</f>
        <v>-70.758993055000005</v>
      </c>
      <c r="E16" s="57">
        <f>SUM(E17:E20)</f>
        <v>-146.91416464240001</v>
      </c>
      <c r="F16" s="57">
        <f>SUM(F17:F20)</f>
        <v>-7.9930053739000027</v>
      </c>
      <c r="G16" s="57">
        <f>SUM(G17:G20)</f>
        <v>-15.332865055920006</v>
      </c>
      <c r="H16" s="57">
        <f t="shared" ref="H16:AB16" si="4">SUM(H17:H20)</f>
        <v>-23.304041662781263</v>
      </c>
      <c r="I16" s="57">
        <f t="shared" si="4"/>
        <v>-28.704419905797124</v>
      </c>
      <c r="J16" s="57">
        <f t="shared" si="4"/>
        <v>-29.853186046543016</v>
      </c>
      <c r="K16" s="57">
        <f t="shared" si="4"/>
        <v>-30.987558630230374</v>
      </c>
      <c r="L16" s="57">
        <f t="shared" si="4"/>
        <v>-32.236212299751536</v>
      </c>
      <c r="M16" s="57">
        <f t="shared" si="4"/>
        <v>-33.535248091144361</v>
      </c>
      <c r="N16" s="57">
        <f t="shared" si="4"/>
        <v>-34.886702171432226</v>
      </c>
      <c r="O16" s="57">
        <f t="shared" si="4"/>
        <v>-36.292693172492186</v>
      </c>
      <c r="P16" s="57">
        <f t="shared" si="4"/>
        <v>-37.755425531151367</v>
      </c>
      <c r="Q16" s="57">
        <f t="shared" si="4"/>
        <v>-39.277192953860329</v>
      </c>
      <c r="R16" s="57">
        <f t="shared" si="4"/>
        <v>-40.824100520323711</v>
      </c>
      <c r="S16" s="57">
        <f t="shared" si="4"/>
        <v>-42.432627342526956</v>
      </c>
      <c r="T16" s="57">
        <f t="shared" si="4"/>
        <v>-44.105245319296507</v>
      </c>
      <c r="U16" s="57">
        <f t="shared" si="4"/>
        <v>-45.844526025337522</v>
      </c>
      <c r="V16" s="57">
        <f t="shared" si="4"/>
        <v>-47.653144708649066</v>
      </c>
      <c r="W16" s="57">
        <f t="shared" si="4"/>
        <v>-49.533884492752684</v>
      </c>
      <c r="X16" s="57">
        <f t="shared" si="4"/>
        <v>-51.489640773934887</v>
      </c>
      <c r="Y16" s="57">
        <f t="shared" si="4"/>
        <v>-53.52342572823499</v>
      </c>
      <c r="Z16" s="57">
        <f t="shared" si="4"/>
        <v>-55.638373079061175</v>
      </c>
      <c r="AA16" s="57">
        <f t="shared" si="4"/>
        <v>-57.83774298963413</v>
      </c>
      <c r="AB16" s="57">
        <f t="shared" si="4"/>
        <v>-58.908190521752765</v>
      </c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0" t="s">
        <v>155</v>
      </c>
      <c r="BD16" s="14">
        <f t="shared" si="3"/>
        <v>-1115.622610093908</v>
      </c>
      <c r="BE16" s="13"/>
      <c r="BF16" s="4"/>
    </row>
    <row r="17" spans="1:58" x14ac:dyDescent="0.2">
      <c r="A17" s="105">
        <v>0.1</v>
      </c>
      <c r="B17" s="157"/>
      <c r="C17" s="97" t="s">
        <v>230</v>
      </c>
      <c r="D17" s="98">
        <v>0</v>
      </c>
      <c r="E17" s="98">
        <v>0</v>
      </c>
      <c r="F17" s="98">
        <f>(-$A$17*F13*5.408)</f>
        <v>-3.8937600000000012</v>
      </c>
      <c r="G17" s="98">
        <f>F17*(1+$D$8)*(G11/F11)</f>
        <v>-8.0990208000000035</v>
      </c>
      <c r="H17" s="98">
        <f>G17*(1+$D$8)*(H11/G11)</f>
        <v>-12.634472448000007</v>
      </c>
      <c r="I17" s="98">
        <f t="shared" ref="I17:AB17" si="5">H17*(1+$D$8)*(I11/H11)</f>
        <v>-15.767821615104008</v>
      </c>
      <c r="J17" s="98">
        <f t="shared" si="5"/>
        <v>-16.398534479708168</v>
      </c>
      <c r="K17" s="98">
        <f t="shared" si="5"/>
        <v>-17.054475858896495</v>
      </c>
      <c r="L17" s="98">
        <f t="shared" si="5"/>
        <v>-17.736654893252357</v>
      </c>
      <c r="M17" s="98">
        <f t="shared" si="5"/>
        <v>-18.446121088982451</v>
      </c>
      <c r="N17" s="98">
        <f t="shared" si="5"/>
        <v>-19.183965932541749</v>
      </c>
      <c r="O17" s="98">
        <f t="shared" si="5"/>
        <v>-19.951324569843418</v>
      </c>
      <c r="P17" s="98">
        <f t="shared" si="5"/>
        <v>-20.749377552637156</v>
      </c>
      <c r="Q17" s="98">
        <f t="shared" si="5"/>
        <v>-21.579352654742642</v>
      </c>
      <c r="R17" s="98">
        <f t="shared" si="5"/>
        <v>-22.442526760932349</v>
      </c>
      <c r="S17" s="98">
        <f t="shared" si="5"/>
        <v>-23.340227831369646</v>
      </c>
      <c r="T17" s="98">
        <f t="shared" si="5"/>
        <v>-24.273836944624431</v>
      </c>
      <c r="U17" s="98">
        <f t="shared" si="5"/>
        <v>-25.244790422409409</v>
      </c>
      <c r="V17" s="98">
        <f t="shared" si="5"/>
        <v>-26.254582039305784</v>
      </c>
      <c r="W17" s="98">
        <f t="shared" si="5"/>
        <v>-27.304765320878015</v>
      </c>
      <c r="X17" s="98">
        <f t="shared" si="5"/>
        <v>-28.396955933713137</v>
      </c>
      <c r="Y17" s="98">
        <f t="shared" si="5"/>
        <v>-29.532834171061662</v>
      </c>
      <c r="Z17" s="98">
        <f t="shared" si="5"/>
        <v>-30.714147537904129</v>
      </c>
      <c r="AA17" s="98">
        <f t="shared" si="5"/>
        <v>-31.942713439420295</v>
      </c>
      <c r="AB17" s="98">
        <f t="shared" si="5"/>
        <v>-33.220421976997109</v>
      </c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97" t="s">
        <v>173</v>
      </c>
      <c r="BD17" s="119">
        <f t="shared" si="3"/>
        <v>-494.16268427232433</v>
      </c>
      <c r="BE17" s="13"/>
      <c r="BF17" s="4"/>
    </row>
    <row r="18" spans="1:58" x14ac:dyDescent="0.2">
      <c r="A18" s="105">
        <v>7.0000000000000007E-2</v>
      </c>
      <c r="B18" s="157"/>
      <c r="C18" s="97" t="s">
        <v>231</v>
      </c>
      <c r="D18" s="98">
        <f>(-D14*$A$18)+D43</f>
        <v>-21</v>
      </c>
      <c r="E18" s="98">
        <f t="shared" ref="E18:AB18" si="6">(-E14*$A$18)+E43</f>
        <v>-43.8</v>
      </c>
      <c r="F18" s="98">
        <f t="shared" si="6"/>
        <v>-2.7256320000000009</v>
      </c>
      <c r="G18" s="98">
        <f t="shared" si="6"/>
        <v>-5.6693145600000019</v>
      </c>
      <c r="H18" s="98">
        <f t="shared" si="6"/>
        <v>-8.8441307136000038</v>
      </c>
      <c r="I18" s="98">
        <f t="shared" si="6"/>
        <v>-11.037475130572806</v>
      </c>
      <c r="J18" s="98">
        <f t="shared" si="6"/>
        <v>-11.47897413579572</v>
      </c>
      <c r="K18" s="98">
        <f t="shared" si="6"/>
        <v>-11.93813310122755</v>
      </c>
      <c r="L18" s="98">
        <f t="shared" si="6"/>
        <v>-12.415658425276652</v>
      </c>
      <c r="M18" s="98">
        <f t="shared" si="6"/>
        <v>-12.912284762287719</v>
      </c>
      <c r="N18" s="98">
        <f t="shared" si="6"/>
        <v>-13.42877615277923</v>
      </c>
      <c r="O18" s="98">
        <f t="shared" si="6"/>
        <v>-13.9659271988904</v>
      </c>
      <c r="P18" s="98">
        <f t="shared" si="6"/>
        <v>-14.524564286846015</v>
      </c>
      <c r="Q18" s="98">
        <f t="shared" si="6"/>
        <v>-15.105546858319856</v>
      </c>
      <c r="R18" s="98">
        <f t="shared" si="6"/>
        <v>-15.70976873265265</v>
      </c>
      <c r="S18" s="98">
        <f t="shared" si="6"/>
        <v>-16.338159481958758</v>
      </c>
      <c r="T18" s="98">
        <f t="shared" si="6"/>
        <v>-16.991685861237109</v>
      </c>
      <c r="U18" s="98">
        <f t="shared" si="6"/>
        <v>-17.671353295686593</v>
      </c>
      <c r="V18" s="98">
        <f t="shared" si="6"/>
        <v>-18.378207427514059</v>
      </c>
      <c r="W18" s="98">
        <f t="shared" si="6"/>
        <v>-19.113335724614622</v>
      </c>
      <c r="X18" s="98">
        <f t="shared" si="6"/>
        <v>-19.877869153599207</v>
      </c>
      <c r="Y18" s="98">
        <f t="shared" si="6"/>
        <v>-20.672983919743174</v>
      </c>
      <c r="Z18" s="98">
        <f t="shared" si="6"/>
        <v>-21.499903276532901</v>
      </c>
      <c r="AA18" s="98">
        <f t="shared" si="6"/>
        <v>-22.35989940759422</v>
      </c>
      <c r="AB18" s="98">
        <f t="shared" si="6"/>
        <v>-23.25429538389799</v>
      </c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97"/>
      <c r="BD18" s="119"/>
      <c r="BE18" s="13"/>
      <c r="BF18" s="4"/>
    </row>
    <row r="19" spans="1:58" x14ac:dyDescent="0.2">
      <c r="A19" s="105"/>
      <c r="B19" s="157"/>
      <c r="C19" s="97" t="s">
        <v>172</v>
      </c>
      <c r="D19" s="98">
        <f>D42</f>
        <v>-49</v>
      </c>
      <c r="E19" s="98">
        <f>E42</f>
        <v>-102.19999999999999</v>
      </c>
      <c r="F19" s="98">
        <f>F42</f>
        <v>0</v>
      </c>
      <c r="G19" s="98">
        <f>G42</f>
        <v>0</v>
      </c>
      <c r="H19" s="98">
        <f t="shared" ref="H19:AB19" si="7">H42</f>
        <v>0</v>
      </c>
      <c r="I19" s="98">
        <f t="shared" si="7"/>
        <v>0</v>
      </c>
      <c r="J19" s="98">
        <f t="shared" si="7"/>
        <v>0</v>
      </c>
      <c r="K19" s="98">
        <f t="shared" si="7"/>
        <v>0</v>
      </c>
      <c r="L19" s="98">
        <f t="shared" si="7"/>
        <v>0</v>
      </c>
      <c r="M19" s="98">
        <f t="shared" si="7"/>
        <v>0</v>
      </c>
      <c r="N19" s="98">
        <f t="shared" si="7"/>
        <v>0</v>
      </c>
      <c r="O19" s="98">
        <f t="shared" si="7"/>
        <v>0</v>
      </c>
      <c r="P19" s="98">
        <f t="shared" si="7"/>
        <v>0</v>
      </c>
      <c r="Q19" s="98">
        <f t="shared" si="7"/>
        <v>0</v>
      </c>
      <c r="R19" s="98">
        <f t="shared" si="7"/>
        <v>0</v>
      </c>
      <c r="S19" s="98">
        <f t="shared" si="7"/>
        <v>0</v>
      </c>
      <c r="T19" s="98">
        <f t="shared" si="7"/>
        <v>0</v>
      </c>
      <c r="U19" s="98">
        <f t="shared" si="7"/>
        <v>0</v>
      </c>
      <c r="V19" s="98">
        <f t="shared" si="7"/>
        <v>0</v>
      </c>
      <c r="W19" s="98">
        <f t="shared" si="7"/>
        <v>0</v>
      </c>
      <c r="X19" s="98">
        <f t="shared" si="7"/>
        <v>0</v>
      </c>
      <c r="Y19" s="98">
        <f t="shared" si="7"/>
        <v>0</v>
      </c>
      <c r="Z19" s="98">
        <f t="shared" si="7"/>
        <v>0</v>
      </c>
      <c r="AA19" s="98">
        <f t="shared" si="7"/>
        <v>0</v>
      </c>
      <c r="AB19" s="98">
        <f t="shared" si="7"/>
        <v>0</v>
      </c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97" t="s">
        <v>172</v>
      </c>
      <c r="BD19" s="119">
        <f t="shared" si="3"/>
        <v>-151.19999999999999</v>
      </c>
      <c r="BE19" s="13"/>
      <c r="BF19" s="4"/>
    </row>
    <row r="20" spans="1:58" x14ac:dyDescent="0.2">
      <c r="B20" s="157"/>
      <c r="C20" s="97" t="s">
        <v>144</v>
      </c>
      <c r="D20" s="98">
        <f>-'Rents to TWC-IPM'!L6/1000000</f>
        <v>-0.75899305499999992</v>
      </c>
      <c r="E20" s="98">
        <f>-'Rents to TWC-IPM'!M6/1000000</f>
        <v>-0.91416464240000006</v>
      </c>
      <c r="F20" s="98">
        <f>-'Rents to TWC-IPM'!N6/1000000</f>
        <v>-1.3736133739</v>
      </c>
      <c r="G20" s="98">
        <f>-'Rents to TWC-IPM'!O6/1000000</f>
        <v>-1.5645296959200004</v>
      </c>
      <c r="H20" s="98">
        <f>-'Rents to TWC-IPM'!P6/1000000</f>
        <v>-1.82543850118125</v>
      </c>
      <c r="I20" s="98">
        <f>-'Rents to TWC-IPM'!Q6/1000000</f>
        <v>-1.8991231601203129</v>
      </c>
      <c r="J20" s="98">
        <f>-'Rents to TWC-IPM'!R6/1000000</f>
        <v>-1.9756774310391283</v>
      </c>
      <c r="K20" s="98">
        <f>-'Rents to TWC-IPM'!S6/1000000</f>
        <v>-1.9949496701063294</v>
      </c>
      <c r="L20" s="98">
        <f>-'Rents to TWC-IPM'!T6/1000000</f>
        <v>-2.0838989812225281</v>
      </c>
      <c r="M20" s="98">
        <f>-'Rents to TWC-IPM'!U6/1000000</f>
        <v>-2.1768422398741936</v>
      </c>
      <c r="N20" s="98">
        <f>-'Rents to TWC-IPM'!V6/1000000</f>
        <v>-2.2739600861112446</v>
      </c>
      <c r="O20" s="98">
        <f>-'Rents to TWC-IPM'!W6/1000000</f>
        <v>-2.3754414037583689</v>
      </c>
      <c r="P20" s="98">
        <f>-'Rents to TWC-IPM'!X6/1000000</f>
        <v>-2.4814836916681946</v>
      </c>
      <c r="Q20" s="98">
        <f>-'Rents to TWC-IPM'!Y6/1000000</f>
        <v>-2.5922934407978326</v>
      </c>
      <c r="R20" s="98">
        <f>-'Rents to TWC-IPM'!Z6/1000000</f>
        <v>-2.6718050267387126</v>
      </c>
      <c r="S20" s="98">
        <f>-'Rents to TWC-IPM'!AA6/1000000</f>
        <v>-2.7542400291985567</v>
      </c>
      <c r="T20" s="98">
        <f>-'Rents to TWC-IPM'!AB6/1000000</f>
        <v>-2.8397225134349742</v>
      </c>
      <c r="U20" s="98">
        <f>-'Rents to TWC-IPM'!AC6/1000000</f>
        <v>-2.9283823072415189</v>
      </c>
      <c r="V20" s="98">
        <f>-'Rents to TWC-IPM'!AD6/1000000</f>
        <v>-3.0203552418292214</v>
      </c>
      <c r="W20" s="98">
        <f>-'Rents to TWC-IPM'!AE6/1000000</f>
        <v>-3.1157834472600476</v>
      </c>
      <c r="X20" s="98">
        <f>-'Rents to TWC-IPM'!AF6/1000000</f>
        <v>-3.2148156866225421</v>
      </c>
      <c r="Y20" s="98">
        <f>-'Rents to TWC-IPM'!AG6/1000000</f>
        <v>-3.3176076374301511</v>
      </c>
      <c r="Z20" s="98">
        <f>-'Rents to TWC-IPM'!AH6/1000000</f>
        <v>-3.4243222646241458</v>
      </c>
      <c r="AA20" s="98">
        <f>-'Rents to TWC-IPM'!AI6/1000000</f>
        <v>-3.5351301426196122</v>
      </c>
      <c r="AB20" s="98">
        <f>-'Rents to TWC-IPM'!AJ6/1000000</f>
        <v>-2.4334731608576674</v>
      </c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97" t="s">
        <v>144</v>
      </c>
      <c r="BD20" s="119">
        <f t="shared" si="3"/>
        <v>-59.546046830956541</v>
      </c>
      <c r="BE20" s="13"/>
      <c r="BF20" s="4"/>
    </row>
    <row r="21" spans="1:58" x14ac:dyDescent="0.2">
      <c r="B21" s="157"/>
      <c r="C21" s="10" t="s">
        <v>0</v>
      </c>
      <c r="D21" s="57">
        <f>D14+D16</f>
        <v>-70.758993055000005</v>
      </c>
      <c r="E21" s="57">
        <f>E14+E16</f>
        <v>-146.91416464240001</v>
      </c>
      <c r="F21" s="57">
        <f t="shared" ref="F21:AB21" si="8">F14+F16</f>
        <v>30.944594626100006</v>
      </c>
      <c r="G21" s="57">
        <f t="shared" si="8"/>
        <v>65.657342944080014</v>
      </c>
      <c r="H21" s="57">
        <f t="shared" si="8"/>
        <v>103.04068281721878</v>
      </c>
      <c r="I21" s="57">
        <f t="shared" si="8"/>
        <v>128.97379624524297</v>
      </c>
      <c r="J21" s="57">
        <f t="shared" si="8"/>
        <v>134.13215875053868</v>
      </c>
      <c r="K21" s="57">
        <f t="shared" si="8"/>
        <v>139.5571999587346</v>
      </c>
      <c r="L21" s="57">
        <f t="shared" si="8"/>
        <v>145.13033663277204</v>
      </c>
      <c r="M21" s="57">
        <f t="shared" si="8"/>
        <v>150.92596279868019</v>
      </c>
      <c r="N21" s="57">
        <f t="shared" si="8"/>
        <v>156.95295715398532</v>
      </c>
      <c r="O21" s="57">
        <f t="shared" si="8"/>
        <v>163.22055252594208</v>
      </c>
      <c r="P21" s="57">
        <f t="shared" si="8"/>
        <v>169.73834999522026</v>
      </c>
      <c r="Q21" s="57">
        <f t="shared" si="8"/>
        <v>176.51633359356617</v>
      </c>
      <c r="R21" s="57">
        <f t="shared" si="8"/>
        <v>183.60116708899983</v>
      </c>
      <c r="S21" s="57">
        <f t="shared" si="8"/>
        <v>190.96965097116956</v>
      </c>
      <c r="T21" s="57">
        <f t="shared" si="8"/>
        <v>198.63312412694791</v>
      </c>
      <c r="U21" s="57">
        <f t="shared" si="8"/>
        <v>206.60337819875664</v>
      </c>
      <c r="V21" s="57">
        <f t="shared" si="8"/>
        <v>214.89267568440891</v>
      </c>
      <c r="W21" s="57">
        <f t="shared" si="8"/>
        <v>223.51376871602758</v>
      </c>
      <c r="X21" s="57">
        <f t="shared" si="8"/>
        <v>232.47991856319661</v>
      </c>
      <c r="Y21" s="57">
        <f t="shared" si="8"/>
        <v>241.80491598238177</v>
      </c>
      <c r="Z21" s="57">
        <f t="shared" si="8"/>
        <v>251.50310229998024</v>
      </c>
      <c r="AA21" s="57">
        <f t="shared" si="8"/>
        <v>261.58939140456897</v>
      </c>
      <c r="AB21" s="57">
        <f t="shared" si="8"/>
        <v>273.29602924821847</v>
      </c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0" t="s">
        <v>0</v>
      </c>
      <c r="BD21" s="14">
        <f t="shared" si="3"/>
        <v>3826.0042326293374</v>
      </c>
      <c r="BE21" s="13"/>
      <c r="BF21" s="4"/>
    </row>
    <row r="22" spans="1:58" s="113" customFormat="1" x14ac:dyDescent="0.2">
      <c r="A22" s="109"/>
      <c r="B22" s="157"/>
      <c r="C22" s="97" t="s">
        <v>4</v>
      </c>
      <c r="D22" s="110">
        <v>0</v>
      </c>
      <c r="E22" s="110">
        <v>0</v>
      </c>
      <c r="F22" s="111">
        <f t="shared" ref="F22:AB22" si="9">F21/F14</f>
        <v>0.79472270057990213</v>
      </c>
      <c r="G22" s="111">
        <f t="shared" si="9"/>
        <v>0.81068248329575832</v>
      </c>
      <c r="H22" s="111">
        <f t="shared" si="9"/>
        <v>0.81555192146965971</v>
      </c>
      <c r="I22" s="111">
        <f t="shared" si="9"/>
        <v>0.81795570366992776</v>
      </c>
      <c r="J22" s="111">
        <f t="shared" si="9"/>
        <v>0.81795210978466482</v>
      </c>
      <c r="K22" s="111">
        <f t="shared" si="9"/>
        <v>0.81830248618244306</v>
      </c>
      <c r="L22" s="111">
        <f t="shared" si="9"/>
        <v>0.81825089063431389</v>
      </c>
      <c r="M22" s="111">
        <f t="shared" si="9"/>
        <v>0.81819891602482009</v>
      </c>
      <c r="N22" s="111">
        <f t="shared" si="9"/>
        <v>0.81814655898520994</v>
      </c>
      <c r="O22" s="111">
        <f t="shared" si="9"/>
        <v>0.81809381604994358</v>
      </c>
      <c r="P22" s="111">
        <f t="shared" si="9"/>
        <v>0.81804068370064043</v>
      </c>
      <c r="Q22" s="111">
        <f t="shared" si="9"/>
        <v>0.81798715845524639</v>
      </c>
      <c r="R22" s="111">
        <f t="shared" si="9"/>
        <v>0.81809490101003346</v>
      </c>
      <c r="S22" s="111">
        <f t="shared" si="9"/>
        <v>0.81819960092464561</v>
      </c>
      <c r="T22" s="111">
        <f t="shared" si="9"/>
        <v>0.81830130349844088</v>
      </c>
      <c r="U22" s="111">
        <f t="shared" si="9"/>
        <v>0.8184000530079979</v>
      </c>
      <c r="V22" s="111">
        <f t="shared" si="9"/>
        <v>0.81849589287954605</v>
      </c>
      <c r="W22" s="111">
        <f t="shared" si="9"/>
        <v>0.81858886567731226</v>
      </c>
      <c r="X22" s="111">
        <f t="shared" si="9"/>
        <v>0.81867901301066615</v>
      </c>
      <c r="Y22" s="111">
        <f t="shared" si="9"/>
        <v>0.81876637569488342</v>
      </c>
      <c r="Z22" s="111">
        <f t="shared" si="9"/>
        <v>0.81885099363282599</v>
      </c>
      <c r="AA22" s="111">
        <f t="shared" si="9"/>
        <v>0.8189329059369862</v>
      </c>
      <c r="AB22" s="111">
        <f t="shared" si="9"/>
        <v>0.82267476745917711</v>
      </c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97" t="s">
        <v>4</v>
      </c>
      <c r="BD22" s="110">
        <f>BD21/BD14</f>
        <v>0.77423981097708539</v>
      </c>
      <c r="BF22" s="114"/>
    </row>
    <row r="23" spans="1:58" x14ac:dyDescent="0.2">
      <c r="B23" s="157"/>
      <c r="BF23" s="4"/>
    </row>
    <row r="24" spans="1:58" x14ac:dyDescent="0.2">
      <c r="B24" s="157"/>
      <c r="C24" s="10" t="s">
        <v>181</v>
      </c>
      <c r="D24" s="57">
        <v>0</v>
      </c>
      <c r="E24" s="57">
        <v>0</v>
      </c>
      <c r="F24" s="57">
        <f>-'Financial Cost'!H34/1000000</f>
        <v>-12.71076751</v>
      </c>
      <c r="G24" s="57">
        <f>-'Financial Cost'!I34/1000000</f>
        <v>-12.145675300000001</v>
      </c>
      <c r="H24" s="57">
        <f>-'Financial Cost'!J34/1000000</f>
        <v>-11.54572945</v>
      </c>
      <c r="I24" s="57">
        <f>-'Financial Cost'!K34/1000000</f>
        <v>-10.90878025</v>
      </c>
      <c r="J24" s="57">
        <f>-'Financial Cost'!L34/1000000</f>
        <v>-10.23254541</v>
      </c>
      <c r="K24" s="57">
        <f>-'Financial Cost'!M34/1000000</f>
        <v>-9.5146019000000006</v>
      </c>
      <c r="L24" s="57">
        <f>-'Financial Cost'!N34/1000000</f>
        <v>-8.7523771899999989</v>
      </c>
      <c r="M24" s="57">
        <f>-'Financial Cost'!O34/1000000</f>
        <v>-7.9431401299999997</v>
      </c>
      <c r="N24" s="57">
        <f>-'Financial Cost'!P34/1000000</f>
        <v>-7.0839911100000004</v>
      </c>
      <c r="O24" s="57">
        <f>-'Financial Cost'!Q34/1000000</f>
        <v>-6.1718516500000007</v>
      </c>
      <c r="P24" s="57">
        <f>-'Financial Cost'!R34/1000000</f>
        <v>-5.2034534199999998</v>
      </c>
      <c r="Q24" s="57">
        <f>-'Financial Cost'!S34/1000000</f>
        <v>-4.1753265099999997</v>
      </c>
      <c r="R24" s="57">
        <f>-'Financial Cost'!T34/1000000</f>
        <v>-3.0837869900000001</v>
      </c>
      <c r="S24" s="57">
        <f>-'Financial Cost'!U34/1000000</f>
        <v>-1.92492369</v>
      </c>
      <c r="T24" s="57">
        <f>-'Financial Cost'!V34/1000000</f>
        <v>-0.69458423999999996</v>
      </c>
      <c r="U24" s="57">
        <f>-'Financial Cost'!W34/1000000</f>
        <v>0</v>
      </c>
      <c r="V24" s="57">
        <f>-'Financial Cost'!X34/1000000</f>
        <v>0</v>
      </c>
      <c r="W24" s="57">
        <f>-'Financial Cost'!Y34/1000000</f>
        <v>0</v>
      </c>
      <c r="X24" s="57">
        <f>-'Financial Cost'!Z34/1000000</f>
        <v>0</v>
      </c>
      <c r="Y24" s="57">
        <f>-'Financial Cost'!AA34/1000000</f>
        <v>0</v>
      </c>
      <c r="Z24" s="57">
        <f>-'Financial Cost'!AB34/1000000</f>
        <v>0</v>
      </c>
      <c r="AA24" s="57">
        <f>-'Financial Cost'!AC34/1000000</f>
        <v>0</v>
      </c>
      <c r="AB24" s="57">
        <f>-'Financial Cost'!AD34/1000000</f>
        <v>0</v>
      </c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 t="s">
        <v>181</v>
      </c>
      <c r="BD24" s="14">
        <f t="shared" si="3"/>
        <v>-112.09153474999999</v>
      </c>
      <c r="BE24" s="13"/>
      <c r="BF24" s="4"/>
    </row>
    <row r="25" spans="1:58" x14ac:dyDescent="0.2">
      <c r="A25" s="106">
        <v>15</v>
      </c>
      <c r="B25" s="157"/>
      <c r="C25" s="10" t="s">
        <v>179</v>
      </c>
      <c r="D25" s="57">
        <f>($D$42)/($A$25)</f>
        <v>-3.2666666666666666</v>
      </c>
      <c r="E25" s="57">
        <f t="shared" ref="E25:R25" si="10">($D$42)/($A$25)+($E$42/$A$25)</f>
        <v>-10.079999999999998</v>
      </c>
      <c r="F25" s="57">
        <f t="shared" si="10"/>
        <v>-10.079999999999998</v>
      </c>
      <c r="G25" s="57">
        <f t="shared" si="10"/>
        <v>-10.079999999999998</v>
      </c>
      <c r="H25" s="57">
        <f t="shared" si="10"/>
        <v>-10.079999999999998</v>
      </c>
      <c r="I25" s="57">
        <f t="shared" si="10"/>
        <v>-10.079999999999998</v>
      </c>
      <c r="J25" s="57">
        <f t="shared" si="10"/>
        <v>-10.079999999999998</v>
      </c>
      <c r="K25" s="57">
        <f t="shared" si="10"/>
        <v>-10.079999999999998</v>
      </c>
      <c r="L25" s="57">
        <f t="shared" si="10"/>
        <v>-10.079999999999998</v>
      </c>
      <c r="M25" s="57">
        <f t="shared" si="10"/>
        <v>-10.079999999999998</v>
      </c>
      <c r="N25" s="57">
        <f t="shared" si="10"/>
        <v>-10.079999999999998</v>
      </c>
      <c r="O25" s="57">
        <f t="shared" si="10"/>
        <v>-10.079999999999998</v>
      </c>
      <c r="P25" s="57">
        <f t="shared" si="10"/>
        <v>-10.079999999999998</v>
      </c>
      <c r="Q25" s="57">
        <f t="shared" si="10"/>
        <v>-10.079999999999998</v>
      </c>
      <c r="R25" s="57">
        <f t="shared" si="10"/>
        <v>-10.079999999999998</v>
      </c>
      <c r="S25" s="57">
        <f>($E$42)/($A$25)</f>
        <v>-6.8133333333333326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 t="s">
        <v>179</v>
      </c>
      <c r="BD25" s="14">
        <f t="shared" si="3"/>
        <v>-151.19999999999999</v>
      </c>
      <c r="BE25" s="13"/>
      <c r="BF25" s="4"/>
    </row>
    <row r="26" spans="1:58" x14ac:dyDescent="0.2">
      <c r="B26" s="157"/>
      <c r="C26" s="10" t="s">
        <v>141</v>
      </c>
      <c r="D26" s="57">
        <f>D21+D24+D25</f>
        <v>-74.025659721666671</v>
      </c>
      <c r="E26" s="57">
        <f t="shared" ref="E26:AB26" si="11">E21+E24+E25</f>
        <v>-156.99416464239999</v>
      </c>
      <c r="F26" s="57">
        <f t="shared" si="11"/>
        <v>8.1538271161000075</v>
      </c>
      <c r="G26" s="57">
        <f t="shared" si="11"/>
        <v>43.431667644080015</v>
      </c>
      <c r="H26" s="57">
        <f t="shared" si="11"/>
        <v>81.414953367218786</v>
      </c>
      <c r="I26" s="57">
        <f t="shared" si="11"/>
        <v>107.98501599524296</v>
      </c>
      <c r="J26" s="57">
        <f t="shared" si="11"/>
        <v>113.81961334053868</v>
      </c>
      <c r="K26" s="57">
        <f t="shared" si="11"/>
        <v>119.9625980587346</v>
      </c>
      <c r="L26" s="57">
        <f t="shared" si="11"/>
        <v>126.29795944277204</v>
      </c>
      <c r="M26" s="57">
        <f t="shared" si="11"/>
        <v>132.90282266868019</v>
      </c>
      <c r="N26" s="57">
        <f t="shared" si="11"/>
        <v>139.78896604398534</v>
      </c>
      <c r="O26" s="57">
        <f t="shared" si="11"/>
        <v>146.96870087594209</v>
      </c>
      <c r="P26" s="57">
        <f t="shared" si="11"/>
        <v>154.45489657522029</v>
      </c>
      <c r="Q26" s="57">
        <f t="shared" si="11"/>
        <v>162.2610070835662</v>
      </c>
      <c r="R26" s="57">
        <f t="shared" si="11"/>
        <v>170.43738009899982</v>
      </c>
      <c r="S26" s="57">
        <f t="shared" si="11"/>
        <v>182.23139394783624</v>
      </c>
      <c r="T26" s="57">
        <f t="shared" si="11"/>
        <v>197.93853988694789</v>
      </c>
      <c r="U26" s="57">
        <f t="shared" si="11"/>
        <v>206.60337819875664</v>
      </c>
      <c r="V26" s="57">
        <f t="shared" si="11"/>
        <v>214.89267568440891</v>
      </c>
      <c r="W26" s="57">
        <f t="shared" si="11"/>
        <v>223.51376871602758</v>
      </c>
      <c r="X26" s="57">
        <f t="shared" si="11"/>
        <v>232.47991856319661</v>
      </c>
      <c r="Y26" s="57">
        <f t="shared" si="11"/>
        <v>241.80491598238177</v>
      </c>
      <c r="Z26" s="57">
        <f t="shared" si="11"/>
        <v>251.50310229998024</v>
      </c>
      <c r="AA26" s="57">
        <f t="shared" si="11"/>
        <v>261.58939140456897</v>
      </c>
      <c r="AB26" s="57">
        <f t="shared" si="11"/>
        <v>273.29602924821847</v>
      </c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 t="s">
        <v>141</v>
      </c>
      <c r="BD26" s="14">
        <f t="shared" si="3"/>
        <v>3562.7126978793381</v>
      </c>
      <c r="BE26" s="13"/>
      <c r="BF26" s="4"/>
    </row>
    <row r="27" spans="1:58" s="113" customFormat="1" x14ac:dyDescent="0.2">
      <c r="A27" s="109"/>
      <c r="B27" s="157"/>
      <c r="C27" s="97" t="s">
        <v>142</v>
      </c>
      <c r="D27" s="110">
        <v>0</v>
      </c>
      <c r="E27" s="110">
        <v>0</v>
      </c>
      <c r="F27" s="115">
        <f t="shared" ref="F27:AB27" si="12">F26/F14</f>
        <v>0.20940754222396873</v>
      </c>
      <c r="G27" s="115">
        <f t="shared" si="12"/>
        <v>0.53625825536934046</v>
      </c>
      <c r="H27" s="115">
        <f t="shared" si="12"/>
        <v>0.64438743843322488</v>
      </c>
      <c r="I27" s="115">
        <f t="shared" si="12"/>
        <v>0.68484422662293454</v>
      </c>
      <c r="J27" s="115">
        <f t="shared" si="12"/>
        <v>0.69408405660506456</v>
      </c>
      <c r="K27" s="115">
        <f t="shared" si="12"/>
        <v>0.70340829616382428</v>
      </c>
      <c r="L27" s="115">
        <f t="shared" si="12"/>
        <v>0.71207316262786502</v>
      </c>
      <c r="M27" s="115">
        <f t="shared" si="12"/>
        <v>0.72049197783950747</v>
      </c>
      <c r="N27" s="115">
        <f t="shared" si="12"/>
        <v>0.72867605444847749</v>
      </c>
      <c r="O27" s="115">
        <f t="shared" si="12"/>
        <v>0.73663630883979681</v>
      </c>
      <c r="P27" s="115">
        <f t="shared" si="12"/>
        <v>0.74438327696046813</v>
      </c>
      <c r="Q27" s="115">
        <f t="shared" si="12"/>
        <v>0.75192712997303435</v>
      </c>
      <c r="R27" s="115">
        <f t="shared" si="12"/>
        <v>0.75943935330711021</v>
      </c>
      <c r="S27" s="115">
        <f t="shared" si="12"/>
        <v>0.78076099027154411</v>
      </c>
      <c r="T27" s="115">
        <f t="shared" si="12"/>
        <v>0.815439851303699</v>
      </c>
      <c r="U27" s="115">
        <f t="shared" si="12"/>
        <v>0.8184000530079979</v>
      </c>
      <c r="V27" s="115">
        <f t="shared" si="12"/>
        <v>0.81849589287954605</v>
      </c>
      <c r="W27" s="115">
        <f t="shared" si="12"/>
        <v>0.81858886567731226</v>
      </c>
      <c r="X27" s="115">
        <f t="shared" si="12"/>
        <v>0.81867901301066615</v>
      </c>
      <c r="Y27" s="115">
        <f t="shared" si="12"/>
        <v>0.81876637569488342</v>
      </c>
      <c r="Z27" s="115">
        <f t="shared" si="12"/>
        <v>0.81885099363282599</v>
      </c>
      <c r="AA27" s="115">
        <f t="shared" si="12"/>
        <v>0.8189329059369862</v>
      </c>
      <c r="AB27" s="115">
        <f t="shared" si="12"/>
        <v>0.82267476745917711</v>
      </c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97" t="s">
        <v>142</v>
      </c>
      <c r="BD27" s="110">
        <f>BD26/BD14</f>
        <v>0.72095947574948571</v>
      </c>
      <c r="BE27" s="13"/>
      <c r="BF27" s="114"/>
    </row>
    <row r="28" spans="1:58" x14ac:dyDescent="0.2">
      <c r="B28" s="157"/>
      <c r="D28" s="50"/>
      <c r="E28" s="50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BD28" s="50"/>
      <c r="BE28" s="13"/>
      <c r="BF28" s="4"/>
    </row>
    <row r="29" spans="1:58" x14ac:dyDescent="0.2">
      <c r="A29" s="107">
        <v>3.5000000000000003E-2</v>
      </c>
      <c r="B29" s="157"/>
      <c r="C29" s="10" t="s">
        <v>180</v>
      </c>
      <c r="D29" s="70">
        <v>0</v>
      </c>
      <c r="E29" s="70">
        <v>0</v>
      </c>
      <c r="F29" s="70">
        <f>-F14*$A$29</f>
        <v>-1.3628160000000005</v>
      </c>
      <c r="G29" s="70">
        <f t="shared" ref="G29:AB29" si="13">-G14*$A$29</f>
        <v>-2.8346572800000009</v>
      </c>
      <c r="H29" s="70">
        <f t="shared" si="13"/>
        <v>-4.4220653568000019</v>
      </c>
      <c r="I29" s="70">
        <f t="shared" si="13"/>
        <v>-5.5187375652864032</v>
      </c>
      <c r="J29" s="70">
        <f t="shared" si="13"/>
        <v>-5.7394870678978602</v>
      </c>
      <c r="K29" s="70">
        <f t="shared" si="13"/>
        <v>-5.9690665506137748</v>
      </c>
      <c r="L29" s="70">
        <f t="shared" si="13"/>
        <v>-6.2078292126383259</v>
      </c>
      <c r="M29" s="70">
        <f t="shared" si="13"/>
        <v>-6.4561423811438594</v>
      </c>
      <c r="N29" s="70">
        <f t="shared" si="13"/>
        <v>-6.7143880763896151</v>
      </c>
      <c r="O29" s="70">
        <f t="shared" si="13"/>
        <v>-6.9829635994452</v>
      </c>
      <c r="P29" s="70">
        <f t="shared" si="13"/>
        <v>-7.2622821434230076</v>
      </c>
      <c r="Q29" s="70">
        <f t="shared" si="13"/>
        <v>-7.5527734291599282</v>
      </c>
      <c r="R29" s="70">
        <f t="shared" si="13"/>
        <v>-7.854884366326325</v>
      </c>
      <c r="S29" s="70">
        <f t="shared" si="13"/>
        <v>-8.1690797409793792</v>
      </c>
      <c r="T29" s="70">
        <f t="shared" si="13"/>
        <v>-8.4958429306185543</v>
      </c>
      <c r="U29" s="70">
        <f t="shared" si="13"/>
        <v>-8.8356766478432966</v>
      </c>
      <c r="V29" s="70">
        <f t="shared" si="13"/>
        <v>-9.1891037137570297</v>
      </c>
      <c r="W29" s="70">
        <f t="shared" si="13"/>
        <v>-9.5566678623073109</v>
      </c>
      <c r="X29" s="70">
        <f t="shared" si="13"/>
        <v>-9.9389345767996033</v>
      </c>
      <c r="Y29" s="70">
        <f t="shared" si="13"/>
        <v>-10.336491959871587</v>
      </c>
      <c r="Z29" s="70">
        <f t="shared" si="13"/>
        <v>-10.749951638266451</v>
      </c>
      <c r="AA29" s="70">
        <f t="shared" si="13"/>
        <v>-11.17994970379711</v>
      </c>
      <c r="AB29" s="70">
        <f t="shared" si="13"/>
        <v>-11.627147691948995</v>
      </c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10" t="s">
        <v>180</v>
      </c>
      <c r="BD29" s="12">
        <f t="shared" si="3"/>
        <v>-172.95693949531366</v>
      </c>
      <c r="BE29" s="13"/>
      <c r="BF29" s="4"/>
    </row>
    <row r="30" spans="1:58" x14ac:dyDescent="0.2">
      <c r="B30" s="157"/>
      <c r="C30" s="10" t="s">
        <v>182</v>
      </c>
      <c r="D30" s="70">
        <v>0</v>
      </c>
      <c r="E30" s="70">
        <v>0</v>
      </c>
      <c r="F30" s="70">
        <f>-'Financial Cost'!H35/1000000</f>
        <v>-9.1620014800000007</v>
      </c>
      <c r="G30" s="70">
        <f>-'Financial Cost'!I35/1000000</f>
        <v>-9.7270936799999994</v>
      </c>
      <c r="H30" s="70">
        <f>-'Financial Cost'!J35/1000000</f>
        <v>-10.327039529999999</v>
      </c>
      <c r="I30" s="70">
        <f>-'Financial Cost'!K35/1000000</f>
        <v>-10.963988730000001</v>
      </c>
      <c r="J30" s="70">
        <f>-'Financial Cost'!L35/1000000</f>
        <v>-11.64022357</v>
      </c>
      <c r="K30" s="70">
        <f>-'Financial Cost'!M35/1000000</f>
        <v>-12.35816709</v>
      </c>
      <c r="L30" s="70">
        <f>-'Financial Cost'!N35/1000000</f>
        <v>-13.120391789999999</v>
      </c>
      <c r="M30" s="70">
        <f>-'Financial Cost'!O35/1000000</f>
        <v>-13.92962885</v>
      </c>
      <c r="N30" s="70">
        <f>-'Financial Cost'!P35/1000000</f>
        <v>-14.788777880000001</v>
      </c>
      <c r="O30" s="70">
        <f>-'Financial Cost'!Q35/1000000</f>
        <v>-15.70091734</v>
      </c>
      <c r="P30" s="70">
        <f>-'Financial Cost'!R35/1000000</f>
        <v>-16.669315560000001</v>
      </c>
      <c r="Q30" s="70">
        <f>-'Financial Cost'!S35/1000000</f>
        <v>-17.697442469999999</v>
      </c>
      <c r="R30" s="70">
        <f>-'Financial Cost'!T35/1000000</f>
        <v>-18.788982000000001</v>
      </c>
      <c r="S30" s="70">
        <f>-'Financial Cost'!U35/1000000</f>
        <v>-19.94784529</v>
      </c>
      <c r="T30" s="70">
        <f>-'Financial Cost'!V35/1000000</f>
        <v>-21.178184739999999</v>
      </c>
      <c r="U30" s="70">
        <f>-'Financial Cost'!W35/1000000</f>
        <v>0</v>
      </c>
      <c r="V30" s="70">
        <f>-'Financial Cost'!X35/1000000</f>
        <v>0</v>
      </c>
      <c r="W30" s="70">
        <f>-'Financial Cost'!Y35/1000000</f>
        <v>0</v>
      </c>
      <c r="X30" s="70">
        <f>-'Financial Cost'!Z35/1000000</f>
        <v>0</v>
      </c>
      <c r="Y30" s="70">
        <f>-'Financial Cost'!AA35/1000000</f>
        <v>0</v>
      </c>
      <c r="Z30" s="70">
        <f>-'Financial Cost'!AB35/1000000</f>
        <v>0</v>
      </c>
      <c r="AA30" s="70">
        <f>-'Financial Cost'!AC35/1000000</f>
        <v>0</v>
      </c>
      <c r="AB30" s="70">
        <f>-'Financial Cost'!AD35/1000000</f>
        <v>0</v>
      </c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10" t="s">
        <v>182</v>
      </c>
      <c r="BD30" s="12">
        <f t="shared" si="3"/>
        <v>-216</v>
      </c>
      <c r="BE30" s="13"/>
      <c r="BF30" s="4"/>
    </row>
    <row r="31" spans="1:58" x14ac:dyDescent="0.2">
      <c r="B31" s="157"/>
      <c r="C31" s="10" t="s">
        <v>183</v>
      </c>
      <c r="D31" s="95">
        <f t="shared" ref="D31:E31" si="14">D26+D29+D30</f>
        <v>-74.025659721666671</v>
      </c>
      <c r="E31" s="95">
        <f t="shared" si="14"/>
        <v>-156.99416464239999</v>
      </c>
      <c r="F31" s="95">
        <f>F26+F29+F30</f>
        <v>-2.3709903638999936</v>
      </c>
      <c r="G31" s="95">
        <f>G26+G29+G30</f>
        <v>30.869916684080014</v>
      </c>
      <c r="H31" s="95">
        <f t="shared" ref="H31:AB31" si="15">H26+H29+H30</f>
        <v>66.665848480418788</v>
      </c>
      <c r="I31" s="95">
        <f t="shared" si="15"/>
        <v>91.502289699956563</v>
      </c>
      <c r="J31" s="95">
        <f t="shared" si="15"/>
        <v>96.439902702640822</v>
      </c>
      <c r="K31" s="95">
        <f t="shared" si="15"/>
        <v>101.63536441812083</v>
      </c>
      <c r="L31" s="95">
        <f t="shared" si="15"/>
        <v>106.96973844013371</v>
      </c>
      <c r="M31" s="95">
        <f t="shared" si="15"/>
        <v>112.51705143753632</v>
      </c>
      <c r="N31" s="95">
        <f t="shared" si="15"/>
        <v>118.28580008759573</v>
      </c>
      <c r="O31" s="95">
        <f t="shared" si="15"/>
        <v>124.28481993649687</v>
      </c>
      <c r="P31" s="95">
        <f t="shared" si="15"/>
        <v>130.52329887179727</v>
      </c>
      <c r="Q31" s="95">
        <f t="shared" si="15"/>
        <v>137.01079118440626</v>
      </c>
      <c r="R31" s="95">
        <f t="shared" si="15"/>
        <v>143.79351373267349</v>
      </c>
      <c r="S31" s="95">
        <f t="shared" si="15"/>
        <v>154.11446891685685</v>
      </c>
      <c r="T31" s="95">
        <f t="shared" si="15"/>
        <v>168.26451221632934</v>
      </c>
      <c r="U31" s="95">
        <f t="shared" si="15"/>
        <v>197.76770155091336</v>
      </c>
      <c r="V31" s="95">
        <f t="shared" si="15"/>
        <v>205.70357197065189</v>
      </c>
      <c r="W31" s="95">
        <f t="shared" si="15"/>
        <v>213.95710085372028</v>
      </c>
      <c r="X31" s="95">
        <f t="shared" si="15"/>
        <v>222.54098398639701</v>
      </c>
      <c r="Y31" s="95">
        <f t="shared" si="15"/>
        <v>231.46842402251019</v>
      </c>
      <c r="Z31" s="95">
        <f t="shared" si="15"/>
        <v>240.75315066171379</v>
      </c>
      <c r="AA31" s="95">
        <f t="shared" si="15"/>
        <v>250.40944170077185</v>
      </c>
      <c r="AB31" s="95">
        <f t="shared" si="15"/>
        <v>261.66888155626947</v>
      </c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10" t="s">
        <v>183</v>
      </c>
      <c r="BD31" s="120">
        <f t="shared" si="3"/>
        <v>3173.7557583840239</v>
      </c>
      <c r="BE31" s="13"/>
      <c r="BF31" s="4"/>
    </row>
    <row r="32" spans="1:58" s="113" customFormat="1" x14ac:dyDescent="0.2">
      <c r="A32" s="109"/>
      <c r="B32" s="157"/>
      <c r="C32" s="97" t="s">
        <v>186</v>
      </c>
      <c r="D32" s="110">
        <v>0</v>
      </c>
      <c r="E32" s="110">
        <v>0</v>
      </c>
      <c r="F32" s="115">
        <f t="shared" ref="F32:Q32" si="16">F31/F14</f>
        <v>-6.0892051998582164E-2</v>
      </c>
      <c r="G32" s="115">
        <f t="shared" si="16"/>
        <v>0.38115616006418956</v>
      </c>
      <c r="H32" s="115">
        <f t="shared" si="16"/>
        <v>0.52765043221865415</v>
      </c>
      <c r="I32" s="115">
        <f t="shared" si="16"/>
        <v>0.58031027959059633</v>
      </c>
      <c r="J32" s="115">
        <f t="shared" si="16"/>
        <v>0.5881007404776154</v>
      </c>
      <c r="K32" s="115">
        <f t="shared" si="16"/>
        <v>0.59594540025164455</v>
      </c>
      <c r="L32" s="115">
        <f t="shared" si="16"/>
        <v>0.60309984652646498</v>
      </c>
      <c r="M32" s="115">
        <f t="shared" si="16"/>
        <v>0.60997675822881159</v>
      </c>
      <c r="N32" s="115">
        <f t="shared" si="16"/>
        <v>0.61658679182153653</v>
      </c>
      <c r="O32" s="115">
        <f t="shared" si="16"/>
        <v>0.62294019377718046</v>
      </c>
      <c r="P32" s="115">
        <f t="shared" si="16"/>
        <v>0.62904681617887026</v>
      </c>
      <c r="Q32" s="115">
        <f t="shared" si="16"/>
        <v>0.63491613199200581</v>
      </c>
      <c r="R32" s="115">
        <f t="shared" ref="R32:AB32" si="17">R31/R14</f>
        <v>0.64071891398158998</v>
      </c>
      <c r="S32" s="115">
        <f t="shared" si="17"/>
        <v>0.66029547796326338</v>
      </c>
      <c r="T32" s="115">
        <f t="shared" si="17"/>
        <v>0.69319289159018727</v>
      </c>
      <c r="U32" s="115">
        <f t="shared" si="17"/>
        <v>0.78340005300799798</v>
      </c>
      <c r="V32" s="115">
        <f t="shared" si="17"/>
        <v>0.78349589287954613</v>
      </c>
      <c r="W32" s="115">
        <f t="shared" si="17"/>
        <v>0.78358886567731234</v>
      </c>
      <c r="X32" s="115">
        <f t="shared" si="17"/>
        <v>0.78367901301066611</v>
      </c>
      <c r="Y32" s="115">
        <f t="shared" si="17"/>
        <v>0.7837663756948835</v>
      </c>
      <c r="Z32" s="115">
        <f t="shared" si="17"/>
        <v>0.78385099363282607</v>
      </c>
      <c r="AA32" s="115">
        <f t="shared" si="17"/>
        <v>0.78393290593698617</v>
      </c>
      <c r="AB32" s="115">
        <f t="shared" si="17"/>
        <v>0.78767476745917708</v>
      </c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97" t="s">
        <v>186</v>
      </c>
      <c r="BD32" s="110">
        <f>BD31/BD14</f>
        <v>0.64224917408677129</v>
      </c>
      <c r="BE32" s="13"/>
      <c r="BF32" s="114"/>
    </row>
    <row r="33" spans="1:58" x14ac:dyDescent="0.2">
      <c r="B33" s="157"/>
      <c r="BF33" s="4"/>
    </row>
    <row r="34" spans="1:58" x14ac:dyDescent="0.2">
      <c r="B34" s="157"/>
      <c r="C34" s="10" t="s">
        <v>184</v>
      </c>
      <c r="D34" s="57">
        <f t="shared" ref="D34:E34" si="18">D31-D25</f>
        <v>-70.758993055000005</v>
      </c>
      <c r="E34" s="57">
        <f t="shared" si="18"/>
        <v>-146.91416464240001</v>
      </c>
      <c r="F34" s="57">
        <f>F31-F25</f>
        <v>7.7090096361000047</v>
      </c>
      <c r="G34" s="57">
        <f t="shared" ref="G34:AB34" si="19">G31-G25</f>
        <v>40.949916684080009</v>
      </c>
      <c r="H34" s="57">
        <f t="shared" si="19"/>
        <v>76.745848480418786</v>
      </c>
      <c r="I34" s="57">
        <f t="shared" si="19"/>
        <v>101.58228969995656</v>
      </c>
      <c r="J34" s="57">
        <f t="shared" si="19"/>
        <v>106.51990270264082</v>
      </c>
      <c r="K34" s="57">
        <f t="shared" si="19"/>
        <v>111.71536441812083</v>
      </c>
      <c r="L34" s="57">
        <f t="shared" si="19"/>
        <v>117.04973844013371</v>
      </c>
      <c r="M34" s="57">
        <f t="shared" si="19"/>
        <v>122.59705143753632</v>
      </c>
      <c r="N34" s="57">
        <f t="shared" si="19"/>
        <v>128.36580008759574</v>
      </c>
      <c r="O34" s="57">
        <f t="shared" si="19"/>
        <v>134.36481993649687</v>
      </c>
      <c r="P34" s="57">
        <f t="shared" si="19"/>
        <v>140.60329887179728</v>
      </c>
      <c r="Q34" s="57">
        <f t="shared" si="19"/>
        <v>147.09079118440627</v>
      </c>
      <c r="R34" s="57">
        <f t="shared" si="19"/>
        <v>153.87351373267347</v>
      </c>
      <c r="S34" s="57">
        <f t="shared" si="19"/>
        <v>160.92780225019018</v>
      </c>
      <c r="T34" s="57">
        <f t="shared" si="19"/>
        <v>168.26451221632934</v>
      </c>
      <c r="U34" s="57">
        <f t="shared" si="19"/>
        <v>197.76770155091336</v>
      </c>
      <c r="V34" s="57">
        <f t="shared" si="19"/>
        <v>205.70357197065189</v>
      </c>
      <c r="W34" s="57">
        <f t="shared" si="19"/>
        <v>213.95710085372028</v>
      </c>
      <c r="X34" s="57">
        <f t="shared" si="19"/>
        <v>222.54098398639701</v>
      </c>
      <c r="Y34" s="57">
        <f t="shared" si="19"/>
        <v>231.46842402251019</v>
      </c>
      <c r="Z34" s="57">
        <f t="shared" si="19"/>
        <v>240.75315066171379</v>
      </c>
      <c r="AA34" s="57">
        <f t="shared" si="19"/>
        <v>250.40944170077185</v>
      </c>
      <c r="AB34" s="57">
        <f t="shared" si="19"/>
        <v>261.66888155626947</v>
      </c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10" t="s">
        <v>184</v>
      </c>
      <c r="BD34" s="14">
        <f t="shared" si="3"/>
        <v>3324.9557583840237</v>
      </c>
      <c r="BF34" s="4"/>
    </row>
    <row r="35" spans="1:58" s="113" customFormat="1" x14ac:dyDescent="0.2">
      <c r="A35" s="109"/>
      <c r="B35" s="157"/>
      <c r="C35" s="97" t="s">
        <v>187</v>
      </c>
      <c r="D35" s="110">
        <v>0</v>
      </c>
      <c r="E35" s="110">
        <v>0</v>
      </c>
      <c r="F35" s="110">
        <f>F34/F14</f>
        <v>0.19798368764638813</v>
      </c>
      <c r="G35" s="110">
        <f t="shared" ref="G35:AB35" si="20">G34/G14</f>
        <v>0.5056156502781175</v>
      </c>
      <c r="H35" s="110">
        <f t="shared" si="20"/>
        <v>0.60743215671476181</v>
      </c>
      <c r="I35" s="110">
        <f t="shared" si="20"/>
        <v>0.64423794344965701</v>
      </c>
      <c r="J35" s="110">
        <f t="shared" si="20"/>
        <v>0.64956964803440453</v>
      </c>
      <c r="K35" s="110">
        <f t="shared" si="20"/>
        <v>0.65505011905624944</v>
      </c>
      <c r="L35" s="110">
        <f t="shared" si="20"/>
        <v>0.65993130691550805</v>
      </c>
      <c r="M35" s="110">
        <f t="shared" si="20"/>
        <v>0.6646223932182761</v>
      </c>
      <c r="N35" s="110">
        <f t="shared" si="20"/>
        <v>0.66913067161909867</v>
      </c>
      <c r="O35" s="110">
        <f t="shared" si="20"/>
        <v>0.6734631551209902</v>
      </c>
      <c r="P35" s="110">
        <f t="shared" si="20"/>
        <v>0.67762658670176434</v>
      </c>
      <c r="Q35" s="110">
        <f t="shared" si="20"/>
        <v>0.6816274498024808</v>
      </c>
      <c r="R35" s="110">
        <f t="shared" si="20"/>
        <v>0.68563364264550808</v>
      </c>
      <c r="S35" s="110">
        <f t="shared" si="20"/>
        <v>0.68948685254006203</v>
      </c>
      <c r="T35" s="110">
        <f t="shared" si="20"/>
        <v>0.69319289159018727</v>
      </c>
      <c r="U35" s="110">
        <f t="shared" si="20"/>
        <v>0.78340005300799798</v>
      </c>
      <c r="V35" s="110">
        <f t="shared" si="20"/>
        <v>0.78349589287954613</v>
      </c>
      <c r="W35" s="110">
        <f t="shared" si="20"/>
        <v>0.78358886567731234</v>
      </c>
      <c r="X35" s="110">
        <f t="shared" si="20"/>
        <v>0.78367901301066611</v>
      </c>
      <c r="Y35" s="110">
        <f t="shared" si="20"/>
        <v>0.7837663756948835</v>
      </c>
      <c r="Z35" s="110">
        <f t="shared" si="20"/>
        <v>0.78385099363282607</v>
      </c>
      <c r="AA35" s="110">
        <f t="shared" si="20"/>
        <v>0.78393290593698617</v>
      </c>
      <c r="AB35" s="110">
        <f t="shared" si="20"/>
        <v>0.78767476745917708</v>
      </c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97" t="s">
        <v>187</v>
      </c>
      <c r="BD35" s="110">
        <f>BD34/BD14</f>
        <v>0.67284638525067131</v>
      </c>
      <c r="BF35" s="114"/>
    </row>
    <row r="36" spans="1:58" x14ac:dyDescent="0.2">
      <c r="B36" s="157"/>
      <c r="BF36" s="4"/>
    </row>
    <row r="37" spans="1:58" x14ac:dyDescent="0.2">
      <c r="B37" s="157"/>
      <c r="C37" s="10" t="s">
        <v>61</v>
      </c>
      <c r="D37" s="87">
        <f>35154883.5456/1000000</f>
        <v>35.154883545599994</v>
      </c>
      <c r="E37" s="87">
        <f>D37*1.04</f>
        <v>36.561078887423996</v>
      </c>
      <c r="F37" s="87">
        <f t="shared" ref="F37:AB37" si="21">E37*1.04</f>
        <v>38.023522042920959</v>
      </c>
      <c r="G37" s="87">
        <f t="shared" si="21"/>
        <v>39.544462924637799</v>
      </c>
      <c r="H37" s="87">
        <f t="shared" si="21"/>
        <v>41.126241441623314</v>
      </c>
      <c r="I37" s="87">
        <f t="shared" si="21"/>
        <v>42.771291099288248</v>
      </c>
      <c r="J37" s="87">
        <f t="shared" si="21"/>
        <v>44.482142743259779</v>
      </c>
      <c r="K37" s="87">
        <f t="shared" si="21"/>
        <v>46.261428452990174</v>
      </c>
      <c r="L37" s="87">
        <f t="shared" si="21"/>
        <v>48.111885591109782</v>
      </c>
      <c r="M37" s="87">
        <f t="shared" si="21"/>
        <v>50.036361014754178</v>
      </c>
      <c r="N37" s="87">
        <f t="shared" si="21"/>
        <v>52.037815455344344</v>
      </c>
      <c r="O37" s="87">
        <f t="shared" si="21"/>
        <v>54.119328073558123</v>
      </c>
      <c r="P37" s="87">
        <f t="shared" si="21"/>
        <v>56.284101196500451</v>
      </c>
      <c r="Q37" s="87">
        <f t="shared" si="21"/>
        <v>58.535465244360473</v>
      </c>
      <c r="R37" s="87">
        <f t="shared" si="21"/>
        <v>60.876883854134896</v>
      </c>
      <c r="S37" s="87">
        <f t="shared" si="21"/>
        <v>63.311959208300294</v>
      </c>
      <c r="T37" s="87">
        <f t="shared" si="21"/>
        <v>65.844437576632302</v>
      </c>
      <c r="U37" s="87">
        <f t="shared" si="21"/>
        <v>68.478215079697591</v>
      </c>
      <c r="V37" s="87">
        <f t="shared" si="21"/>
        <v>71.217343682885499</v>
      </c>
      <c r="W37" s="87">
        <f t="shared" si="21"/>
        <v>74.066037430200922</v>
      </c>
      <c r="X37" s="87">
        <f t="shared" si="21"/>
        <v>77.028678927408961</v>
      </c>
      <c r="Y37" s="87">
        <f t="shared" si="21"/>
        <v>80.109826084505329</v>
      </c>
      <c r="Z37" s="87">
        <f t="shared" si="21"/>
        <v>83.314219127885551</v>
      </c>
      <c r="AA37" s="87">
        <f t="shared" si="21"/>
        <v>86.646787893000976</v>
      </c>
      <c r="AB37" s="87">
        <f t="shared" si="21"/>
        <v>90.112659408721015</v>
      </c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 t="s">
        <v>61</v>
      </c>
      <c r="BD37" s="121">
        <f t="shared" si="3"/>
        <v>1464.0570559867451</v>
      </c>
      <c r="BF37" s="4"/>
    </row>
    <row r="38" spans="1:58" s="113" customFormat="1" x14ac:dyDescent="0.2">
      <c r="A38" s="109"/>
      <c r="B38" s="157"/>
      <c r="C38" s="97" t="s">
        <v>205</v>
      </c>
      <c r="D38" s="110">
        <v>0</v>
      </c>
      <c r="E38" s="110">
        <v>0</v>
      </c>
      <c r="F38" s="110">
        <f>F13/F37</f>
        <v>0.18935647234026978</v>
      </c>
      <c r="G38" s="110">
        <f t="shared" ref="G38:Q38" si="22">G13/G37</f>
        <v>0.3641470621928265</v>
      </c>
      <c r="H38" s="110">
        <f t="shared" si="22"/>
        <v>0.52521210893196124</v>
      </c>
      <c r="I38" s="110">
        <f t="shared" si="22"/>
        <v>0.60601397184457073</v>
      </c>
      <c r="J38" s="110">
        <f t="shared" si="22"/>
        <v>0.582705742158241</v>
      </c>
      <c r="K38" s="110">
        <f t="shared" si="22"/>
        <v>0.56029398284446252</v>
      </c>
      <c r="L38" s="110">
        <f t="shared" si="22"/>
        <v>0.53874421427352159</v>
      </c>
      <c r="M38" s="110">
        <f t="shared" si="22"/>
        <v>0.51802328295530919</v>
      </c>
      <c r="N38" s="110">
        <f t="shared" si="22"/>
        <v>0.49809931053395118</v>
      </c>
      <c r="O38" s="110">
        <f t="shared" si="22"/>
        <v>0.47894164474418377</v>
      </c>
      <c r="P38" s="110">
        <f t="shared" si="22"/>
        <v>0.4605208122540228</v>
      </c>
      <c r="Q38" s="110">
        <f t="shared" si="22"/>
        <v>0.44280847332117573</v>
      </c>
      <c r="R38" s="110">
        <f>R13/R37</f>
        <v>0.42577737819343819</v>
      </c>
      <c r="S38" s="110">
        <f t="shared" ref="S38:AB38" si="23">S13/S37</f>
        <v>0.40940132518599825</v>
      </c>
      <c r="T38" s="110">
        <f t="shared" si="23"/>
        <v>0.39365512037115219</v>
      </c>
      <c r="U38" s="110">
        <f t="shared" si="23"/>
        <v>0.37851453881841557</v>
      </c>
      <c r="V38" s="110">
        <f t="shared" si="23"/>
        <v>0.36395628732539959</v>
      </c>
      <c r="W38" s="110">
        <f t="shared" si="23"/>
        <v>0.34995796858211498</v>
      </c>
      <c r="X38" s="110">
        <f t="shared" si="23"/>
        <v>0.33649804671357209</v>
      </c>
      <c r="Y38" s="110">
        <f t="shared" si="23"/>
        <v>0.32355581414766543</v>
      </c>
      <c r="Z38" s="110">
        <f t="shared" si="23"/>
        <v>0.31111135975737059</v>
      </c>
      <c r="AA38" s="110">
        <f t="shared" si="23"/>
        <v>0.29914553822824091</v>
      </c>
      <c r="AB38" s="110">
        <f t="shared" si="23"/>
        <v>0.28763994060407783</v>
      </c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97" t="s">
        <v>205</v>
      </c>
      <c r="BD38" s="110">
        <f>BD13/BD37</f>
        <v>0.38359160778846352</v>
      </c>
      <c r="BF38" s="114"/>
    </row>
    <row r="39" spans="1:58" x14ac:dyDescent="0.2">
      <c r="B39" s="9"/>
      <c r="D39" s="77">
        <f>MAX(D38:BA38)</f>
        <v>0.60601397184457073</v>
      </c>
      <c r="BF39" s="4"/>
    </row>
    <row r="40" spans="1:58" x14ac:dyDescent="0.2">
      <c r="B40" s="9"/>
      <c r="D40" s="77"/>
      <c r="BF40" s="4"/>
    </row>
    <row r="41" spans="1:58" x14ac:dyDescent="0.2">
      <c r="B41" s="9"/>
      <c r="C41" s="29" t="s">
        <v>174</v>
      </c>
      <c r="D41" s="30">
        <v>-70</v>
      </c>
      <c r="E41" s="30">
        <v>-146</v>
      </c>
      <c r="F41" s="30">
        <v>0</v>
      </c>
      <c r="G41" s="30">
        <v>0</v>
      </c>
      <c r="H41" s="30">
        <v>0</v>
      </c>
      <c r="I41" s="30"/>
      <c r="J41" s="30"/>
      <c r="K41" s="30"/>
      <c r="L41" s="30"/>
      <c r="M41" s="30"/>
      <c r="BF41" s="4"/>
    </row>
    <row r="42" spans="1:58" x14ac:dyDescent="0.2">
      <c r="B42" s="92">
        <v>0.7</v>
      </c>
      <c r="C42" s="93" t="s">
        <v>172</v>
      </c>
      <c r="D42" s="94">
        <f>$B42*D$41</f>
        <v>-49</v>
      </c>
      <c r="E42" s="94">
        <f>$B42*E$41</f>
        <v>-102.19999999999999</v>
      </c>
      <c r="F42" s="94">
        <f t="shared" ref="F42:H43" si="24">$B42*F$41</f>
        <v>0</v>
      </c>
      <c r="G42" s="94">
        <f t="shared" si="24"/>
        <v>0</v>
      </c>
      <c r="H42" s="94">
        <f t="shared" si="24"/>
        <v>0</v>
      </c>
      <c r="I42" s="30"/>
      <c r="J42" s="30"/>
      <c r="K42" s="30"/>
      <c r="L42" s="30"/>
      <c r="M42" s="30"/>
      <c r="BF42" s="4"/>
    </row>
    <row r="43" spans="1:58" x14ac:dyDescent="0.2">
      <c r="B43" s="92">
        <v>0.3</v>
      </c>
      <c r="C43" s="93" t="s">
        <v>173</v>
      </c>
      <c r="D43" s="94">
        <f>$B43*D$41</f>
        <v>-21</v>
      </c>
      <c r="E43" s="94">
        <f>$B43*E$41</f>
        <v>-43.8</v>
      </c>
      <c r="F43" s="94">
        <f t="shared" si="24"/>
        <v>0</v>
      </c>
      <c r="G43" s="94">
        <f t="shared" si="24"/>
        <v>0</v>
      </c>
      <c r="H43" s="94">
        <f t="shared" si="24"/>
        <v>0</v>
      </c>
      <c r="I43" s="30"/>
      <c r="J43" s="30"/>
      <c r="K43" s="30"/>
      <c r="L43" s="30"/>
      <c r="M43" s="30"/>
      <c r="BF43" s="4"/>
    </row>
    <row r="44" spans="1:58" x14ac:dyDescent="0.2">
      <c r="B44" s="36" t="s">
        <v>39</v>
      </c>
      <c r="C44" s="37">
        <f>SUM(D41:H41)</f>
        <v>-216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BF44" s="4"/>
    </row>
    <row r="45" spans="1:58" x14ac:dyDescent="0.2">
      <c r="B45" s="9"/>
      <c r="BF45" s="4"/>
    </row>
    <row r="46" spans="1:58" x14ac:dyDescent="0.2">
      <c r="B46" s="9"/>
      <c r="C46" s="29" t="s">
        <v>154</v>
      </c>
      <c r="D46" s="30">
        <f>D47*$C47</f>
        <v>0</v>
      </c>
      <c r="E46" s="30">
        <f t="shared" ref="E46:I46" si="25">E47*$C47</f>
        <v>0</v>
      </c>
      <c r="F46" s="30">
        <f t="shared" si="25"/>
        <v>0</v>
      </c>
      <c r="G46" s="30">
        <f t="shared" si="25"/>
        <v>0</v>
      </c>
      <c r="H46" s="30">
        <f t="shared" si="25"/>
        <v>0</v>
      </c>
      <c r="I46" s="30">
        <f t="shared" si="25"/>
        <v>0</v>
      </c>
      <c r="BF46" s="4"/>
    </row>
    <row r="47" spans="1:58" x14ac:dyDescent="0.2">
      <c r="B47" s="36" t="s">
        <v>191</v>
      </c>
      <c r="C47" s="81">
        <f>- SUMMARY!K7</f>
        <v>0</v>
      </c>
      <c r="D47" s="82">
        <v>0.2</v>
      </c>
      <c r="E47" s="82">
        <v>0.2</v>
      </c>
      <c r="F47" s="82">
        <v>0.2</v>
      </c>
      <c r="G47" s="82">
        <v>0.2</v>
      </c>
      <c r="H47" s="85">
        <v>0.2</v>
      </c>
      <c r="I47" s="78">
        <v>0</v>
      </c>
      <c r="J47" s="78"/>
      <c r="BF47" s="4"/>
    </row>
    <row r="48" spans="1:58" x14ac:dyDescent="0.2">
      <c r="B48" s="9"/>
      <c r="D48" s="77">
        <f>IF(D46&lt;0,1,0)</f>
        <v>0</v>
      </c>
      <c r="E48" s="77">
        <f t="shared" ref="E48:AB48" si="26">IF(E46&lt;0,1,0)</f>
        <v>0</v>
      </c>
      <c r="F48" s="77">
        <f t="shared" si="26"/>
        <v>0</v>
      </c>
      <c r="G48" s="77">
        <f t="shared" si="26"/>
        <v>0</v>
      </c>
      <c r="H48" s="77">
        <f t="shared" si="26"/>
        <v>0</v>
      </c>
      <c r="I48" s="77">
        <f t="shared" si="26"/>
        <v>0</v>
      </c>
      <c r="J48" s="77">
        <f t="shared" si="26"/>
        <v>0</v>
      </c>
      <c r="K48" s="77">
        <f t="shared" si="26"/>
        <v>0</v>
      </c>
      <c r="L48" s="77">
        <f t="shared" si="26"/>
        <v>0</v>
      </c>
      <c r="M48" s="77">
        <f t="shared" si="26"/>
        <v>0</v>
      </c>
      <c r="N48" s="77">
        <f t="shared" si="26"/>
        <v>0</v>
      </c>
      <c r="O48" s="77">
        <f t="shared" si="26"/>
        <v>0</v>
      </c>
      <c r="P48" s="77">
        <f t="shared" si="26"/>
        <v>0</v>
      </c>
      <c r="Q48" s="77">
        <f t="shared" si="26"/>
        <v>0</v>
      </c>
      <c r="R48" s="77">
        <f t="shared" si="26"/>
        <v>0</v>
      </c>
      <c r="S48" s="77">
        <f t="shared" si="26"/>
        <v>0</v>
      </c>
      <c r="T48" s="77">
        <f t="shared" si="26"/>
        <v>0</v>
      </c>
      <c r="U48" s="77">
        <f t="shared" si="26"/>
        <v>0</v>
      </c>
      <c r="V48" s="77">
        <f t="shared" si="26"/>
        <v>0</v>
      </c>
      <c r="W48" s="77">
        <f t="shared" si="26"/>
        <v>0</v>
      </c>
      <c r="X48" s="77">
        <f t="shared" si="26"/>
        <v>0</v>
      </c>
      <c r="Y48" s="77">
        <f t="shared" si="26"/>
        <v>0</v>
      </c>
      <c r="Z48" s="77">
        <f t="shared" si="26"/>
        <v>0</v>
      </c>
      <c r="AA48" s="77">
        <f t="shared" si="26"/>
        <v>0</v>
      </c>
      <c r="AB48" s="77">
        <f t="shared" si="26"/>
        <v>0</v>
      </c>
      <c r="BF48" s="4"/>
    </row>
    <row r="49" spans="2:58" x14ac:dyDescent="0.2">
      <c r="B49" s="9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BF49" s="4"/>
    </row>
    <row r="50" spans="2:58" x14ac:dyDescent="0.2">
      <c r="B50" s="9"/>
      <c r="C50" s="3" t="s">
        <v>188</v>
      </c>
      <c r="D50" s="30">
        <f t="shared" ref="D50:M50" si="27">D34+D46</f>
        <v>-70.758993055000005</v>
      </c>
      <c r="E50" s="30">
        <f t="shared" si="27"/>
        <v>-146.91416464240001</v>
      </c>
      <c r="F50" s="30">
        <f t="shared" si="27"/>
        <v>7.7090096361000047</v>
      </c>
      <c r="G50" s="30">
        <f t="shared" si="27"/>
        <v>40.949916684080009</v>
      </c>
      <c r="H50" s="30">
        <f t="shared" si="27"/>
        <v>76.745848480418786</v>
      </c>
      <c r="I50" s="30">
        <f t="shared" si="27"/>
        <v>101.58228969995656</v>
      </c>
      <c r="J50" s="30">
        <f t="shared" si="27"/>
        <v>106.51990270264082</v>
      </c>
      <c r="K50" s="30">
        <f t="shared" si="27"/>
        <v>111.71536441812083</v>
      </c>
      <c r="L50" s="30">
        <f t="shared" si="27"/>
        <v>117.04973844013371</v>
      </c>
      <c r="M50" s="30">
        <f t="shared" si="27"/>
        <v>122.59705143753632</v>
      </c>
      <c r="N50" s="30">
        <f t="shared" ref="N50:AB50" si="28">N34+N46</f>
        <v>128.36580008759574</v>
      </c>
      <c r="O50" s="30">
        <f t="shared" si="28"/>
        <v>134.36481993649687</v>
      </c>
      <c r="P50" s="30">
        <f t="shared" si="28"/>
        <v>140.60329887179728</v>
      </c>
      <c r="Q50" s="30">
        <f t="shared" si="28"/>
        <v>147.09079118440627</v>
      </c>
      <c r="R50" s="30">
        <f t="shared" si="28"/>
        <v>153.87351373267347</v>
      </c>
      <c r="S50" s="30">
        <f t="shared" si="28"/>
        <v>160.92780225019018</v>
      </c>
      <c r="T50" s="30">
        <f t="shared" si="28"/>
        <v>168.26451221632934</v>
      </c>
      <c r="U50" s="30">
        <f t="shared" si="28"/>
        <v>197.76770155091336</v>
      </c>
      <c r="V50" s="30">
        <f t="shared" si="28"/>
        <v>205.70357197065189</v>
      </c>
      <c r="W50" s="30">
        <f t="shared" si="28"/>
        <v>213.95710085372028</v>
      </c>
      <c r="X50" s="30">
        <f t="shared" si="28"/>
        <v>222.54098398639701</v>
      </c>
      <c r="Y50" s="30">
        <f t="shared" si="28"/>
        <v>231.46842402251019</v>
      </c>
      <c r="Z50" s="30">
        <f t="shared" si="28"/>
        <v>240.75315066171379</v>
      </c>
      <c r="AA50" s="30">
        <f t="shared" si="28"/>
        <v>250.40944170077185</v>
      </c>
      <c r="AB50" s="30">
        <f t="shared" si="28"/>
        <v>261.66888155626947</v>
      </c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7"/>
      <c r="BE50" s="31"/>
      <c r="BF50" s="4"/>
    </row>
    <row r="51" spans="2:58" x14ac:dyDescent="0.2">
      <c r="B51" s="9"/>
      <c r="C51" s="1" t="s">
        <v>37</v>
      </c>
      <c r="D51" s="7">
        <f>D50</f>
        <v>-70.758993055000005</v>
      </c>
      <c r="E51" s="7">
        <f>E50+D51</f>
        <v>-217.67315769740003</v>
      </c>
      <c r="F51" s="7">
        <f t="shared" ref="F51:R51" si="29">F50+E51</f>
        <v>-209.96414806130002</v>
      </c>
      <c r="G51" s="7">
        <f t="shared" si="29"/>
        <v>-169.01423137722003</v>
      </c>
      <c r="H51" s="7">
        <f t="shared" si="29"/>
        <v>-92.268382896801242</v>
      </c>
      <c r="I51" s="7">
        <f t="shared" si="29"/>
        <v>9.3139068031553194</v>
      </c>
      <c r="J51" s="7">
        <f t="shared" si="29"/>
        <v>115.83380950579614</v>
      </c>
      <c r="K51" s="7">
        <f t="shared" si="29"/>
        <v>227.54917392391695</v>
      </c>
      <c r="L51" s="7">
        <f t="shared" si="29"/>
        <v>344.59891236405065</v>
      </c>
      <c r="M51" s="7">
        <f t="shared" si="29"/>
        <v>467.19596380158697</v>
      </c>
      <c r="N51" s="7">
        <f t="shared" si="29"/>
        <v>595.56176388918266</v>
      </c>
      <c r="O51" s="7">
        <f t="shared" si="29"/>
        <v>729.92658382567947</v>
      </c>
      <c r="P51" s="7">
        <f t="shared" si="29"/>
        <v>870.52988269747675</v>
      </c>
      <c r="Q51" s="7">
        <f t="shared" si="29"/>
        <v>1017.620673881883</v>
      </c>
      <c r="R51" s="7">
        <f t="shared" si="29"/>
        <v>1171.4941876145565</v>
      </c>
      <c r="S51" s="7">
        <f>S50+R51</f>
        <v>1332.4219898647466</v>
      </c>
      <c r="T51" s="7">
        <f t="shared" ref="T51:AB51" si="30">T50+S51</f>
        <v>1500.686502081076</v>
      </c>
      <c r="U51" s="7">
        <f t="shared" si="30"/>
        <v>1698.4542036319895</v>
      </c>
      <c r="V51" s="7">
        <f t="shared" si="30"/>
        <v>1904.1577756026413</v>
      </c>
      <c r="W51" s="7">
        <f t="shared" si="30"/>
        <v>2118.1148764563618</v>
      </c>
      <c r="X51" s="7">
        <f t="shared" si="30"/>
        <v>2340.6558604427587</v>
      </c>
      <c r="Y51" s="7">
        <f t="shared" si="30"/>
        <v>2572.1242844652688</v>
      </c>
      <c r="Z51" s="7">
        <f t="shared" si="30"/>
        <v>2812.8774351269826</v>
      </c>
      <c r="AA51" s="7">
        <f t="shared" si="30"/>
        <v>3063.2868768277544</v>
      </c>
      <c r="AB51" s="7">
        <f t="shared" si="30"/>
        <v>3324.9557583840237</v>
      </c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F51" s="4"/>
    </row>
    <row r="52" spans="2:58" x14ac:dyDescent="0.2">
      <c r="B52" s="9"/>
      <c r="D52" s="76">
        <f>IF(D51&lt;0,1,0)</f>
        <v>1</v>
      </c>
      <c r="E52" s="76">
        <f t="shared" ref="E52:I52" si="31">IF(E51&lt;0,1,0)</f>
        <v>1</v>
      </c>
      <c r="F52" s="76">
        <f t="shared" si="31"/>
        <v>1</v>
      </c>
      <c r="G52" s="76">
        <f t="shared" si="31"/>
        <v>1</v>
      </c>
      <c r="H52" s="76">
        <f t="shared" si="31"/>
        <v>1</v>
      </c>
      <c r="I52" s="76">
        <f t="shared" si="31"/>
        <v>0</v>
      </c>
      <c r="J52" s="76">
        <f>IF(J51&lt;0,1,0)</f>
        <v>0</v>
      </c>
      <c r="K52" s="76">
        <f t="shared" ref="K52:AB52" si="32">IF(K51&lt;0,1,0)</f>
        <v>0</v>
      </c>
      <c r="L52" s="76">
        <f t="shared" si="32"/>
        <v>0</v>
      </c>
      <c r="M52" s="76">
        <f t="shared" si="32"/>
        <v>0</v>
      </c>
      <c r="N52" s="76">
        <f t="shared" si="32"/>
        <v>0</v>
      </c>
      <c r="O52" s="76">
        <f t="shared" si="32"/>
        <v>0</v>
      </c>
      <c r="P52" s="76">
        <f t="shared" si="32"/>
        <v>0</v>
      </c>
      <c r="Q52" s="76">
        <f t="shared" si="32"/>
        <v>0</v>
      </c>
      <c r="R52" s="76">
        <f t="shared" si="32"/>
        <v>0</v>
      </c>
      <c r="S52" s="76">
        <f t="shared" si="32"/>
        <v>0</v>
      </c>
      <c r="T52" s="76">
        <f t="shared" si="32"/>
        <v>0</v>
      </c>
      <c r="U52" s="76">
        <f t="shared" si="32"/>
        <v>0</v>
      </c>
      <c r="V52" s="76">
        <f t="shared" si="32"/>
        <v>0</v>
      </c>
      <c r="W52" s="76">
        <f t="shared" si="32"/>
        <v>0</v>
      </c>
      <c r="X52" s="76">
        <f t="shared" si="32"/>
        <v>0</v>
      </c>
      <c r="Y52" s="76">
        <f t="shared" si="32"/>
        <v>0</v>
      </c>
      <c r="Z52" s="76">
        <f t="shared" si="32"/>
        <v>0</v>
      </c>
      <c r="AA52" s="76">
        <f t="shared" si="32"/>
        <v>0</v>
      </c>
      <c r="AB52" s="76">
        <f t="shared" si="32"/>
        <v>0</v>
      </c>
      <c r="BF52" s="4"/>
    </row>
    <row r="53" spans="2:58" x14ac:dyDescent="0.2">
      <c r="B53" s="9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BF53" s="4"/>
    </row>
    <row r="54" spans="2:58" x14ac:dyDescent="0.2">
      <c r="B54" s="9"/>
      <c r="C54" s="32" t="s">
        <v>193</v>
      </c>
      <c r="D54" s="34">
        <f>NPV(D56,D50:BD50)</f>
        <v>665.08664504346496</v>
      </c>
      <c r="F54" s="64" t="s">
        <v>138</v>
      </c>
      <c r="G54" s="65">
        <f>'Financial Cost'!C28/1000000</f>
        <v>216</v>
      </c>
      <c r="H54" s="1" t="s">
        <v>143</v>
      </c>
      <c r="I54" s="68"/>
      <c r="J54" s="68" t="s">
        <v>145</v>
      </c>
      <c r="K54" s="69">
        <f>'Financial Cost'!C50/1000000</f>
        <v>112.09153474999999</v>
      </c>
      <c r="L54" s="1" t="s">
        <v>143</v>
      </c>
      <c r="BF54" s="4"/>
    </row>
    <row r="55" spans="2:58" x14ac:dyDescent="0.2">
      <c r="B55" s="9"/>
      <c r="C55" s="32" t="s">
        <v>194</v>
      </c>
      <c r="D55" s="33">
        <f>IRR(D50:BD50)</f>
        <v>0.30637105953140309</v>
      </c>
      <c r="F55" s="64" t="s">
        <v>119</v>
      </c>
      <c r="G55" s="66">
        <f>'Financial Cost'!C29</f>
        <v>0.06</v>
      </c>
      <c r="BF55" s="4"/>
    </row>
    <row r="56" spans="2:58" x14ac:dyDescent="0.2">
      <c r="B56" s="9"/>
      <c r="C56" s="32" t="s">
        <v>1</v>
      </c>
      <c r="D56" s="35">
        <v>0.1</v>
      </c>
      <c r="F56" s="64" t="s">
        <v>139</v>
      </c>
      <c r="G56" s="67">
        <f>'Financial Cost'!C30</f>
        <v>15</v>
      </c>
      <c r="BF56" s="4"/>
    </row>
    <row r="57" spans="2:58" x14ac:dyDescent="0.2">
      <c r="B57" s="9"/>
      <c r="C57" s="32" t="s">
        <v>195</v>
      </c>
      <c r="D57" s="34" cm="1">
        <f t="array" ref="D57">NPV(D56,-D46:M46)</f>
        <v>0</v>
      </c>
      <c r="F57" s="64" t="s">
        <v>140</v>
      </c>
      <c r="G57" s="67">
        <f>'Financial Cost'!C31</f>
        <v>2</v>
      </c>
      <c r="BF57" s="4"/>
    </row>
    <row r="58" spans="2:58" x14ac:dyDescent="0.2">
      <c r="B58" s="9"/>
      <c r="C58" s="32" t="s">
        <v>196</v>
      </c>
      <c r="D58" s="34">
        <f>-(SUM(D46:M46))</f>
        <v>0</v>
      </c>
      <c r="F58" s="64"/>
      <c r="G58" s="67"/>
      <c r="BF58" s="4"/>
    </row>
    <row r="59" spans="2:58" x14ac:dyDescent="0.2">
      <c r="B59" s="9"/>
      <c r="C59" s="32" t="s">
        <v>197</v>
      </c>
      <c r="D59" s="104">
        <f>D58/BD34</f>
        <v>0</v>
      </c>
      <c r="F59" s="64"/>
      <c r="G59" s="67"/>
      <c r="BF59" s="4"/>
    </row>
    <row r="60" spans="2:58" ht="17" thickBot="1" x14ac:dyDescent="0.25">
      <c r="B60" s="15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5"/>
    </row>
    <row r="63" spans="2:58" ht="17" thickBot="1" x14ac:dyDescent="0.25"/>
    <row r="64" spans="2:58" ht="17" thickBot="1" x14ac:dyDescent="0.25">
      <c r="B64" s="154" t="s">
        <v>60</v>
      </c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6"/>
    </row>
    <row r="65" spans="1:58" x14ac:dyDescent="0.2">
      <c r="B65" s="20"/>
      <c r="C65" s="90" t="s">
        <v>175</v>
      </c>
      <c r="D65" s="91">
        <v>0.4</v>
      </c>
      <c r="E65" s="21"/>
      <c r="F65" s="21"/>
      <c r="G65" s="21"/>
      <c r="H65" s="22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3"/>
    </row>
    <row r="66" spans="1:58" x14ac:dyDescent="0.2">
      <c r="B66" s="9"/>
      <c r="C66" s="90" t="s">
        <v>176</v>
      </c>
      <c r="D66" s="89">
        <v>3</v>
      </c>
      <c r="H66" s="6"/>
      <c r="BF66" s="4"/>
    </row>
    <row r="67" spans="1:58" x14ac:dyDescent="0.2">
      <c r="B67" s="9"/>
      <c r="C67" s="90" t="s">
        <v>177</v>
      </c>
      <c r="D67" s="89">
        <f>D65*D66</f>
        <v>1.2000000000000002</v>
      </c>
      <c r="H67" s="6"/>
      <c r="BF67" s="4"/>
    </row>
    <row r="68" spans="1:58" x14ac:dyDescent="0.2">
      <c r="B68" s="9"/>
      <c r="C68" s="90" t="s">
        <v>178</v>
      </c>
      <c r="D68" s="24">
        <f>D67*12</f>
        <v>14.400000000000002</v>
      </c>
      <c r="H68" s="6"/>
      <c r="BF68" s="4"/>
    </row>
    <row r="69" spans="1:58" x14ac:dyDescent="0.2">
      <c r="B69" s="9"/>
      <c r="C69" s="90" t="s">
        <v>5</v>
      </c>
      <c r="D69" s="25">
        <f> SUMMARY!M7</f>
        <v>5</v>
      </c>
      <c r="E69" s="25">
        <f>D69*(1+$D$8)</f>
        <v>5.2</v>
      </c>
      <c r="F69" s="25">
        <f>E69*(1+$D$8)</f>
        <v>5.4080000000000004</v>
      </c>
      <c r="G69" s="25">
        <f t="shared" ref="G69:BA69" si="33">F69*(1+$D$8)</f>
        <v>5.6243200000000009</v>
      </c>
      <c r="H69" s="25">
        <f t="shared" si="33"/>
        <v>5.8492928000000015</v>
      </c>
      <c r="I69" s="25">
        <f t="shared" si="33"/>
        <v>6.0832645120000022</v>
      </c>
      <c r="J69" s="25">
        <f t="shared" si="33"/>
        <v>6.3265950924800025</v>
      </c>
      <c r="K69" s="25">
        <f t="shared" si="33"/>
        <v>6.5796588961792031</v>
      </c>
      <c r="L69" s="25">
        <f t="shared" si="33"/>
        <v>6.8428452520263718</v>
      </c>
      <c r="M69" s="25">
        <f t="shared" si="33"/>
        <v>7.1165590621074273</v>
      </c>
      <c r="N69" s="25">
        <f t="shared" si="33"/>
        <v>7.4012214245917249</v>
      </c>
      <c r="O69" s="25">
        <f t="shared" si="33"/>
        <v>7.6972702815753946</v>
      </c>
      <c r="P69" s="25">
        <f t="shared" si="33"/>
        <v>8.00516109283841</v>
      </c>
      <c r="Q69" s="25">
        <f t="shared" si="33"/>
        <v>8.3253675365519459</v>
      </c>
      <c r="R69" s="25">
        <f t="shared" si="33"/>
        <v>8.6583822380140241</v>
      </c>
      <c r="S69" s="25">
        <f t="shared" si="33"/>
        <v>9.0047175275345861</v>
      </c>
      <c r="T69" s="25">
        <f t="shared" si="33"/>
        <v>9.3649062286359701</v>
      </c>
      <c r="U69" s="25">
        <f t="shared" si="33"/>
        <v>9.739502477781409</v>
      </c>
      <c r="V69" s="25">
        <f t="shared" si="33"/>
        <v>10.129082576892666</v>
      </c>
      <c r="W69" s="25">
        <f t="shared" si="33"/>
        <v>10.534245879968372</v>
      </c>
      <c r="X69" s="25">
        <f t="shared" si="33"/>
        <v>10.955615715167108</v>
      </c>
      <c r="Y69" s="25">
        <f t="shared" si="33"/>
        <v>11.393840343773793</v>
      </c>
      <c r="Z69" s="25">
        <f t="shared" si="33"/>
        <v>11.849593957524744</v>
      </c>
      <c r="AA69" s="25">
        <f t="shared" si="33"/>
        <v>12.323577715825735</v>
      </c>
      <c r="AB69" s="25">
        <f t="shared" si="33"/>
        <v>12.816520824458765</v>
      </c>
      <c r="AC69" s="25">
        <f t="shared" si="33"/>
        <v>13.329181657437116</v>
      </c>
      <c r="AD69" s="25">
        <f t="shared" si="33"/>
        <v>13.862348923734602</v>
      </c>
      <c r="AE69" s="25">
        <f t="shared" si="33"/>
        <v>14.416842880683987</v>
      </c>
      <c r="AF69" s="25">
        <f t="shared" si="33"/>
        <v>14.993516595911347</v>
      </c>
      <c r="AG69" s="25">
        <f t="shared" si="33"/>
        <v>15.593257259747801</v>
      </c>
      <c r="AH69" s="25">
        <f t="shared" si="33"/>
        <v>16.216987550137713</v>
      </c>
      <c r="AI69" s="25">
        <f t="shared" si="33"/>
        <v>16.865667052143223</v>
      </c>
      <c r="AJ69" s="25">
        <f t="shared" si="33"/>
        <v>17.540293734228953</v>
      </c>
      <c r="AK69" s="25">
        <f t="shared" si="33"/>
        <v>18.241905483598114</v>
      </c>
      <c r="AL69" s="25">
        <f t="shared" si="33"/>
        <v>18.971581702942039</v>
      </c>
      <c r="AM69" s="25">
        <f t="shared" si="33"/>
        <v>19.730444971059722</v>
      </c>
      <c r="AN69" s="25">
        <f t="shared" si="33"/>
        <v>20.519662769902112</v>
      </c>
      <c r="AO69" s="25">
        <f t="shared" si="33"/>
        <v>21.340449280698198</v>
      </c>
      <c r="AP69" s="25">
        <f t="shared" si="33"/>
        <v>22.194067251926128</v>
      </c>
      <c r="AQ69" s="25">
        <f t="shared" si="33"/>
        <v>23.081829942003175</v>
      </c>
      <c r="AR69" s="25">
        <f t="shared" si="33"/>
        <v>24.005103139683303</v>
      </c>
      <c r="AS69" s="25">
        <f t="shared" si="33"/>
        <v>24.965307265270635</v>
      </c>
      <c r="AT69" s="25">
        <f t="shared" si="33"/>
        <v>25.963919555881461</v>
      </c>
      <c r="AU69" s="25">
        <f t="shared" si="33"/>
        <v>27.002476338116718</v>
      </c>
      <c r="AV69" s="25">
        <f t="shared" si="33"/>
        <v>28.082575391641388</v>
      </c>
      <c r="AW69" s="25">
        <f t="shared" si="33"/>
        <v>29.205878407307043</v>
      </c>
      <c r="AX69" s="25">
        <f t="shared" si="33"/>
        <v>30.374113543599325</v>
      </c>
      <c r="AY69" s="25">
        <f t="shared" si="33"/>
        <v>31.589078085343299</v>
      </c>
      <c r="AZ69" s="25">
        <f t="shared" si="33"/>
        <v>32.852641208757035</v>
      </c>
      <c r="BA69" s="25">
        <f t="shared" si="33"/>
        <v>34.16674685710732</v>
      </c>
      <c r="BB69" s="25"/>
      <c r="BC69" s="25"/>
      <c r="BF69" s="4"/>
    </row>
    <row r="70" spans="1:58" x14ac:dyDescent="0.2">
      <c r="B70" s="9"/>
      <c r="C70" s="90" t="s">
        <v>189</v>
      </c>
      <c r="D70" s="6">
        <v>0.04</v>
      </c>
      <c r="H70" s="6"/>
      <c r="BF70" s="4"/>
    </row>
    <row r="71" spans="1:58" x14ac:dyDescent="0.2">
      <c r="B71" s="9"/>
      <c r="C71" s="90" t="s">
        <v>190</v>
      </c>
      <c r="D71" s="6">
        <v>0.1</v>
      </c>
      <c r="BF71" s="4"/>
    </row>
    <row r="72" spans="1:58" x14ac:dyDescent="0.2">
      <c r="B72" s="9"/>
      <c r="H72" s="6"/>
      <c r="BF72" s="4"/>
    </row>
    <row r="73" spans="1:58" x14ac:dyDescent="0.2">
      <c r="B73" s="9"/>
      <c r="D73" s="26">
        <v>0</v>
      </c>
      <c r="E73" s="26">
        <v>0</v>
      </c>
      <c r="F73" s="26">
        <v>0.25</v>
      </c>
      <c r="G73" s="26">
        <v>0.5</v>
      </c>
      <c r="H73" s="26">
        <v>0.75</v>
      </c>
      <c r="I73" s="26">
        <v>0.9</v>
      </c>
      <c r="J73" s="26">
        <v>0.9</v>
      </c>
      <c r="K73" s="26">
        <v>0.9</v>
      </c>
      <c r="L73" s="26">
        <v>0.9</v>
      </c>
      <c r="M73" s="26">
        <v>0.9</v>
      </c>
      <c r="N73" s="26">
        <v>0.9</v>
      </c>
      <c r="O73" s="26">
        <v>0.9</v>
      </c>
      <c r="P73" s="26">
        <v>0.9</v>
      </c>
      <c r="Q73" s="26">
        <v>0.9</v>
      </c>
      <c r="R73" s="26">
        <v>0.9</v>
      </c>
      <c r="S73" s="26">
        <v>0.9</v>
      </c>
      <c r="T73" s="26">
        <v>0.9</v>
      </c>
      <c r="U73" s="26">
        <v>0.9</v>
      </c>
      <c r="V73" s="26">
        <v>0.9</v>
      </c>
      <c r="W73" s="26">
        <v>0.9</v>
      </c>
      <c r="X73" s="26">
        <v>0.9</v>
      </c>
      <c r="Y73" s="26">
        <v>0.9</v>
      </c>
      <c r="Z73" s="26">
        <v>0.9</v>
      </c>
      <c r="AA73" s="26">
        <v>0.9</v>
      </c>
      <c r="AB73" s="26">
        <v>0.9</v>
      </c>
      <c r="AC73" s="26">
        <v>0.9</v>
      </c>
      <c r="AD73" s="26">
        <v>0.9</v>
      </c>
      <c r="AE73" s="26">
        <v>0.9</v>
      </c>
      <c r="AF73" s="26">
        <v>0.9</v>
      </c>
      <c r="AG73" s="26">
        <v>0.9</v>
      </c>
      <c r="AH73" s="26">
        <v>0.9</v>
      </c>
      <c r="AI73" s="26">
        <v>0.9</v>
      </c>
      <c r="AJ73" s="26">
        <v>0.9</v>
      </c>
      <c r="AK73" s="26">
        <v>0.9</v>
      </c>
      <c r="AL73" s="26">
        <v>0.9</v>
      </c>
      <c r="AM73" s="26">
        <v>0.9</v>
      </c>
      <c r="AN73" s="26">
        <v>0.9</v>
      </c>
      <c r="AO73" s="26">
        <v>0.9</v>
      </c>
      <c r="AP73" s="26">
        <v>0.9</v>
      </c>
      <c r="AQ73" s="26">
        <v>0.9</v>
      </c>
      <c r="AR73" s="26">
        <v>0.9</v>
      </c>
      <c r="AS73" s="26">
        <v>0.9</v>
      </c>
      <c r="AT73" s="26">
        <v>0.9</v>
      </c>
      <c r="AU73" s="26">
        <v>0.9</v>
      </c>
      <c r="AV73" s="26">
        <v>0.9</v>
      </c>
      <c r="AW73" s="26">
        <v>0.9</v>
      </c>
      <c r="AX73" s="26">
        <v>0.9</v>
      </c>
      <c r="AY73" s="26">
        <v>0.9</v>
      </c>
      <c r="AZ73" s="26">
        <v>0.9</v>
      </c>
      <c r="BA73" s="26">
        <v>0.9</v>
      </c>
      <c r="BB73" s="26"/>
      <c r="BC73" s="26"/>
      <c r="BF73" s="4"/>
    </row>
    <row r="74" spans="1:58" x14ac:dyDescent="0.2">
      <c r="B74" s="9"/>
      <c r="D74" s="2" t="s">
        <v>6</v>
      </c>
      <c r="E74" s="2" t="s">
        <v>7</v>
      </c>
      <c r="F74" s="2" t="s">
        <v>8</v>
      </c>
      <c r="G74" s="2" t="s">
        <v>9</v>
      </c>
      <c r="H74" s="2" t="s">
        <v>10</v>
      </c>
      <c r="I74" s="2" t="s">
        <v>11</v>
      </c>
      <c r="J74" s="2" t="s">
        <v>12</v>
      </c>
      <c r="K74" s="2" t="s">
        <v>13</v>
      </c>
      <c r="L74" s="2" t="s">
        <v>14</v>
      </c>
      <c r="M74" s="2" t="s">
        <v>15</v>
      </c>
      <c r="N74" s="2" t="s">
        <v>16</v>
      </c>
      <c r="O74" s="2" t="s">
        <v>17</v>
      </c>
      <c r="P74" s="2" t="s">
        <v>18</v>
      </c>
      <c r="Q74" s="2" t="s">
        <v>19</v>
      </c>
      <c r="R74" s="2" t="s">
        <v>20</v>
      </c>
      <c r="S74" s="2" t="s">
        <v>21</v>
      </c>
      <c r="T74" s="2" t="s">
        <v>22</v>
      </c>
      <c r="U74" s="2" t="s">
        <v>23</v>
      </c>
      <c r="V74" s="2" t="s">
        <v>24</v>
      </c>
      <c r="W74" s="2" t="s">
        <v>25</v>
      </c>
      <c r="X74" s="2" t="s">
        <v>26</v>
      </c>
      <c r="Y74" s="2" t="s">
        <v>27</v>
      </c>
      <c r="Z74" s="2" t="s">
        <v>28</v>
      </c>
      <c r="AA74" s="2" t="s">
        <v>29</v>
      </c>
      <c r="AB74" s="2" t="s">
        <v>30</v>
      </c>
      <c r="AC74" s="2" t="s">
        <v>31</v>
      </c>
      <c r="AD74" s="2" t="s">
        <v>32</v>
      </c>
      <c r="AE74" s="2" t="s">
        <v>33</v>
      </c>
      <c r="AF74" s="2" t="s">
        <v>34</v>
      </c>
      <c r="AG74" s="2" t="s">
        <v>35</v>
      </c>
      <c r="AH74" s="2" t="s">
        <v>40</v>
      </c>
      <c r="AI74" s="2" t="s">
        <v>41</v>
      </c>
      <c r="AJ74" s="2" t="s">
        <v>42</v>
      </c>
      <c r="AK74" s="2" t="s">
        <v>43</v>
      </c>
      <c r="AL74" s="2" t="s">
        <v>44</v>
      </c>
      <c r="AM74" s="2" t="s">
        <v>45</v>
      </c>
      <c r="AN74" s="2" t="s">
        <v>46</v>
      </c>
      <c r="AO74" s="2" t="s">
        <v>47</v>
      </c>
      <c r="AP74" s="2" t="s">
        <v>48</v>
      </c>
      <c r="AQ74" s="2" t="s">
        <v>49</v>
      </c>
      <c r="AR74" s="2" t="s">
        <v>50</v>
      </c>
      <c r="AS74" s="2" t="s">
        <v>51</v>
      </c>
      <c r="AT74" s="2" t="s">
        <v>52</v>
      </c>
      <c r="AU74" s="2" t="s">
        <v>53</v>
      </c>
      <c r="AV74" s="2" t="s">
        <v>54</v>
      </c>
      <c r="AW74" s="2" t="s">
        <v>55</v>
      </c>
      <c r="AX74" s="2" t="s">
        <v>56</v>
      </c>
      <c r="AY74" s="2" t="s">
        <v>57</v>
      </c>
      <c r="AZ74" s="2" t="s">
        <v>58</v>
      </c>
      <c r="BA74" s="2" t="s">
        <v>59</v>
      </c>
      <c r="BB74" s="2"/>
      <c r="BC74" s="2"/>
      <c r="BD74" s="86" t="s">
        <v>137</v>
      </c>
      <c r="BF74" s="4"/>
    </row>
    <row r="75" spans="1:58" x14ac:dyDescent="0.2">
      <c r="B75" s="157" t="s">
        <v>36</v>
      </c>
      <c r="C75" s="10" t="s">
        <v>2</v>
      </c>
      <c r="D75" s="11">
        <f t="shared" ref="D75:BA75" si="34">$D$6*D73</f>
        <v>0</v>
      </c>
      <c r="E75" s="11">
        <f t="shared" si="34"/>
        <v>0</v>
      </c>
      <c r="F75" s="11">
        <f t="shared" si="34"/>
        <v>7.2000000000000011</v>
      </c>
      <c r="G75" s="11">
        <f t="shared" si="34"/>
        <v>14.400000000000002</v>
      </c>
      <c r="H75" s="11">
        <f t="shared" si="34"/>
        <v>21.6</v>
      </c>
      <c r="I75" s="11">
        <f t="shared" si="34"/>
        <v>25.920000000000005</v>
      </c>
      <c r="J75" s="11">
        <f t="shared" si="34"/>
        <v>25.920000000000005</v>
      </c>
      <c r="K75" s="11">
        <f t="shared" si="34"/>
        <v>25.920000000000005</v>
      </c>
      <c r="L75" s="11">
        <f t="shared" si="34"/>
        <v>25.920000000000005</v>
      </c>
      <c r="M75" s="11">
        <f t="shared" si="34"/>
        <v>25.920000000000005</v>
      </c>
      <c r="N75" s="11">
        <f t="shared" si="34"/>
        <v>25.920000000000005</v>
      </c>
      <c r="O75" s="11">
        <f t="shared" si="34"/>
        <v>25.920000000000005</v>
      </c>
      <c r="P75" s="11">
        <f t="shared" si="34"/>
        <v>25.920000000000005</v>
      </c>
      <c r="Q75" s="11">
        <f t="shared" si="34"/>
        <v>25.920000000000005</v>
      </c>
      <c r="R75" s="11">
        <f t="shared" si="34"/>
        <v>25.920000000000005</v>
      </c>
      <c r="S75" s="11">
        <f t="shared" si="34"/>
        <v>25.920000000000005</v>
      </c>
      <c r="T75" s="11">
        <f t="shared" si="34"/>
        <v>25.920000000000005</v>
      </c>
      <c r="U75" s="11">
        <f t="shared" si="34"/>
        <v>25.920000000000005</v>
      </c>
      <c r="V75" s="11">
        <f t="shared" si="34"/>
        <v>25.920000000000005</v>
      </c>
      <c r="W75" s="11">
        <f t="shared" si="34"/>
        <v>25.920000000000005</v>
      </c>
      <c r="X75" s="11">
        <f t="shared" si="34"/>
        <v>25.920000000000005</v>
      </c>
      <c r="Y75" s="11">
        <f t="shared" si="34"/>
        <v>25.920000000000005</v>
      </c>
      <c r="Z75" s="11">
        <f t="shared" si="34"/>
        <v>25.920000000000005</v>
      </c>
      <c r="AA75" s="11">
        <f t="shared" si="34"/>
        <v>25.920000000000005</v>
      </c>
      <c r="AB75" s="11">
        <f t="shared" si="34"/>
        <v>25.920000000000005</v>
      </c>
      <c r="AC75" s="11">
        <f t="shared" si="34"/>
        <v>25.920000000000005</v>
      </c>
      <c r="AD75" s="11">
        <f t="shared" si="34"/>
        <v>25.920000000000005</v>
      </c>
      <c r="AE75" s="11">
        <f t="shared" si="34"/>
        <v>25.920000000000005</v>
      </c>
      <c r="AF75" s="11">
        <f t="shared" si="34"/>
        <v>25.920000000000005</v>
      </c>
      <c r="AG75" s="11">
        <f t="shared" si="34"/>
        <v>25.920000000000005</v>
      </c>
      <c r="AH75" s="11">
        <f t="shared" si="34"/>
        <v>25.920000000000005</v>
      </c>
      <c r="AI75" s="11">
        <f t="shared" si="34"/>
        <v>25.920000000000005</v>
      </c>
      <c r="AJ75" s="11">
        <f t="shared" si="34"/>
        <v>25.920000000000005</v>
      </c>
      <c r="AK75" s="11">
        <f t="shared" si="34"/>
        <v>25.920000000000005</v>
      </c>
      <c r="AL75" s="11">
        <f t="shared" si="34"/>
        <v>25.920000000000005</v>
      </c>
      <c r="AM75" s="11">
        <f t="shared" si="34"/>
        <v>25.920000000000005</v>
      </c>
      <c r="AN75" s="11">
        <f t="shared" si="34"/>
        <v>25.920000000000005</v>
      </c>
      <c r="AO75" s="11">
        <f t="shared" si="34"/>
        <v>25.920000000000005</v>
      </c>
      <c r="AP75" s="11">
        <f t="shared" si="34"/>
        <v>25.920000000000005</v>
      </c>
      <c r="AQ75" s="11">
        <f t="shared" si="34"/>
        <v>25.920000000000005</v>
      </c>
      <c r="AR75" s="11">
        <f t="shared" si="34"/>
        <v>25.920000000000005</v>
      </c>
      <c r="AS75" s="11">
        <f t="shared" si="34"/>
        <v>25.920000000000005</v>
      </c>
      <c r="AT75" s="11">
        <f t="shared" si="34"/>
        <v>25.920000000000005</v>
      </c>
      <c r="AU75" s="11">
        <f t="shared" si="34"/>
        <v>25.920000000000005</v>
      </c>
      <c r="AV75" s="11">
        <f t="shared" si="34"/>
        <v>25.920000000000005</v>
      </c>
      <c r="AW75" s="11">
        <f t="shared" si="34"/>
        <v>25.920000000000005</v>
      </c>
      <c r="AX75" s="11">
        <f t="shared" si="34"/>
        <v>25.920000000000005</v>
      </c>
      <c r="AY75" s="11">
        <f t="shared" si="34"/>
        <v>25.920000000000005</v>
      </c>
      <c r="AZ75" s="11">
        <f t="shared" si="34"/>
        <v>25.920000000000005</v>
      </c>
      <c r="BA75" s="11">
        <f t="shared" si="34"/>
        <v>25.920000000000005</v>
      </c>
      <c r="BB75" s="11"/>
      <c r="BC75" s="10" t="s">
        <v>2</v>
      </c>
      <c r="BD75" s="118">
        <f>SUM(D75:BB75)</f>
        <v>1209.5999999999999</v>
      </c>
      <c r="BE75" s="13"/>
      <c r="BF75" s="4"/>
    </row>
    <row r="76" spans="1:58" x14ac:dyDescent="0.2">
      <c r="B76" s="157"/>
      <c r="C76" s="10" t="s">
        <v>3</v>
      </c>
      <c r="D76" s="70">
        <f>D75*D69</f>
        <v>0</v>
      </c>
      <c r="E76" s="70">
        <f>E75*E69</f>
        <v>0</v>
      </c>
      <c r="F76" s="70">
        <f>F75*F69</f>
        <v>38.93760000000001</v>
      </c>
      <c r="G76" s="70">
        <f t="shared" ref="G76:BA76" si="35">G75*G69</f>
        <v>80.990208000000024</v>
      </c>
      <c r="H76" s="70">
        <f t="shared" si="35"/>
        <v>126.34472448000004</v>
      </c>
      <c r="I76" s="70">
        <f t="shared" si="35"/>
        <v>157.67821615104009</v>
      </c>
      <c r="J76" s="70">
        <f t="shared" si="35"/>
        <v>163.98534479708169</v>
      </c>
      <c r="K76" s="70">
        <f t="shared" si="35"/>
        <v>170.54475858896498</v>
      </c>
      <c r="L76" s="70">
        <f t="shared" si="35"/>
        <v>177.36654893252359</v>
      </c>
      <c r="M76" s="70">
        <f t="shared" si="35"/>
        <v>184.46121088982454</v>
      </c>
      <c r="N76" s="70">
        <f t="shared" si="35"/>
        <v>191.83965932541756</v>
      </c>
      <c r="O76" s="70">
        <f t="shared" si="35"/>
        <v>199.51324569843428</v>
      </c>
      <c r="P76" s="70">
        <f t="shared" si="35"/>
        <v>207.49377552637162</v>
      </c>
      <c r="Q76" s="70">
        <f t="shared" si="35"/>
        <v>215.7935265474265</v>
      </c>
      <c r="R76" s="70">
        <f t="shared" si="35"/>
        <v>224.42526760932356</v>
      </c>
      <c r="S76" s="70">
        <f t="shared" si="35"/>
        <v>233.40227831369651</v>
      </c>
      <c r="T76" s="70">
        <f t="shared" si="35"/>
        <v>242.73836944624441</v>
      </c>
      <c r="U76" s="70">
        <f t="shared" si="35"/>
        <v>252.44790422409417</v>
      </c>
      <c r="V76" s="70">
        <f t="shared" si="35"/>
        <v>262.54582039305797</v>
      </c>
      <c r="W76" s="70">
        <f t="shared" si="35"/>
        <v>273.04765320878028</v>
      </c>
      <c r="X76" s="70">
        <f t="shared" si="35"/>
        <v>283.9695593371315</v>
      </c>
      <c r="Y76" s="70">
        <f t="shared" si="35"/>
        <v>295.32834171061677</v>
      </c>
      <c r="Z76" s="70">
        <f t="shared" si="35"/>
        <v>307.14147537904142</v>
      </c>
      <c r="AA76" s="70">
        <f t="shared" si="35"/>
        <v>319.42713439420311</v>
      </c>
      <c r="AB76" s="70">
        <f t="shared" si="35"/>
        <v>332.20421976997125</v>
      </c>
      <c r="AC76" s="70">
        <f t="shared" si="35"/>
        <v>345.49238856077011</v>
      </c>
      <c r="AD76" s="70">
        <f t="shared" si="35"/>
        <v>359.31208410320096</v>
      </c>
      <c r="AE76" s="70">
        <f t="shared" si="35"/>
        <v>373.68456746732903</v>
      </c>
      <c r="AF76" s="70">
        <f t="shared" si="35"/>
        <v>388.63195016602219</v>
      </c>
      <c r="AG76" s="70">
        <f t="shared" si="35"/>
        <v>404.17722817266309</v>
      </c>
      <c r="AH76" s="70">
        <f t="shared" si="35"/>
        <v>420.34431729956958</v>
      </c>
      <c r="AI76" s="70">
        <f t="shared" si="35"/>
        <v>437.15808999155246</v>
      </c>
      <c r="AJ76" s="70">
        <f t="shared" si="35"/>
        <v>454.64441359121457</v>
      </c>
      <c r="AK76" s="70">
        <f t="shared" si="35"/>
        <v>472.83019013486319</v>
      </c>
      <c r="AL76" s="70">
        <f t="shared" si="35"/>
        <v>491.74339774025776</v>
      </c>
      <c r="AM76" s="70">
        <f t="shared" si="35"/>
        <v>511.41313364986809</v>
      </c>
      <c r="AN76" s="70">
        <f t="shared" si="35"/>
        <v>531.86965899586289</v>
      </c>
      <c r="AO76" s="70">
        <f t="shared" si="35"/>
        <v>553.14444535569737</v>
      </c>
      <c r="AP76" s="70">
        <f t="shared" si="35"/>
        <v>575.27022316992532</v>
      </c>
      <c r="AQ76" s="70">
        <f t="shared" si="35"/>
        <v>598.28103209672247</v>
      </c>
      <c r="AR76" s="70">
        <f t="shared" si="35"/>
        <v>622.21227338059134</v>
      </c>
      <c r="AS76" s="70">
        <f t="shared" si="35"/>
        <v>647.10076431581501</v>
      </c>
      <c r="AT76" s="70">
        <f t="shared" si="35"/>
        <v>672.9847948884476</v>
      </c>
      <c r="AU76" s="70">
        <f t="shared" si="35"/>
        <v>699.90418668398547</v>
      </c>
      <c r="AV76" s="70">
        <f t="shared" si="35"/>
        <v>727.90035415134491</v>
      </c>
      <c r="AW76" s="70">
        <f t="shared" si="35"/>
        <v>757.0163683173987</v>
      </c>
      <c r="AX76" s="70">
        <f t="shared" si="35"/>
        <v>787.29702305009471</v>
      </c>
      <c r="AY76" s="70">
        <f t="shared" si="35"/>
        <v>818.78890397209852</v>
      </c>
      <c r="AZ76" s="70">
        <f t="shared" si="35"/>
        <v>851.54046013098252</v>
      </c>
      <c r="BA76" s="70">
        <f t="shared" si="35"/>
        <v>885.60207853622194</v>
      </c>
      <c r="BB76" s="70"/>
      <c r="BC76" s="10" t="s">
        <v>3</v>
      </c>
      <c r="BD76" s="12">
        <f t="shared" ref="BD76" si="36">SUM(D76:BB76)</f>
        <v>19329.971170645746</v>
      </c>
      <c r="BE76" s="13"/>
      <c r="BF76" s="4"/>
    </row>
    <row r="77" spans="1:58" x14ac:dyDescent="0.2">
      <c r="B77" s="157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D77" s="49"/>
      <c r="BE77" s="13"/>
      <c r="BF77" s="4"/>
    </row>
    <row r="78" spans="1:58" x14ac:dyDescent="0.2">
      <c r="A78" s="105"/>
      <c r="B78" s="157"/>
      <c r="C78" s="10" t="s">
        <v>155</v>
      </c>
      <c r="D78" s="57">
        <f>SUM(D79:D82)</f>
        <v>-70.758993055000005</v>
      </c>
      <c r="E78" s="57">
        <f>SUM(E79:E82)</f>
        <v>-146.91416464240001</v>
      </c>
      <c r="F78" s="57">
        <f>SUM(F79:F82)</f>
        <v>-7.9930053739000027</v>
      </c>
      <c r="G78" s="57">
        <f>SUM(G79:G82)</f>
        <v>-15.332865055920006</v>
      </c>
      <c r="H78" s="57">
        <f t="shared" ref="H78:BA78" si="37">SUM(H79:H82)</f>
        <v>-23.304041662781263</v>
      </c>
      <c r="I78" s="57">
        <f t="shared" si="37"/>
        <v>-28.704419905797124</v>
      </c>
      <c r="J78" s="57">
        <f t="shared" si="37"/>
        <v>-29.853186046543016</v>
      </c>
      <c r="K78" s="57">
        <f t="shared" si="37"/>
        <v>-30.987558630230374</v>
      </c>
      <c r="L78" s="57">
        <f t="shared" si="37"/>
        <v>-32.236212299751536</v>
      </c>
      <c r="M78" s="57">
        <f t="shared" si="37"/>
        <v>-33.535248091144361</v>
      </c>
      <c r="N78" s="57">
        <f t="shared" si="37"/>
        <v>-34.886702171432226</v>
      </c>
      <c r="O78" s="57">
        <f t="shared" si="37"/>
        <v>-36.292693172492186</v>
      </c>
      <c r="P78" s="57">
        <f t="shared" si="37"/>
        <v>-37.755425531151367</v>
      </c>
      <c r="Q78" s="57">
        <f t="shared" si="37"/>
        <v>-39.277192953860329</v>
      </c>
      <c r="R78" s="57">
        <f t="shared" si="37"/>
        <v>-40.824100520323711</v>
      </c>
      <c r="S78" s="57">
        <f t="shared" si="37"/>
        <v>-42.432627342526956</v>
      </c>
      <c r="T78" s="57">
        <f t="shared" si="37"/>
        <v>-44.105245319296507</v>
      </c>
      <c r="U78" s="57">
        <f t="shared" si="37"/>
        <v>-45.844526025337522</v>
      </c>
      <c r="V78" s="57">
        <f t="shared" si="37"/>
        <v>-47.653144708649066</v>
      </c>
      <c r="W78" s="57">
        <f t="shared" si="37"/>
        <v>-49.533884492752684</v>
      </c>
      <c r="X78" s="57">
        <f t="shared" si="37"/>
        <v>-51.489640773934887</v>
      </c>
      <c r="Y78" s="57">
        <f t="shared" si="37"/>
        <v>-53.52342572823499</v>
      </c>
      <c r="Z78" s="57">
        <f t="shared" si="37"/>
        <v>-55.638373079061175</v>
      </c>
      <c r="AA78" s="57">
        <f t="shared" si="37"/>
        <v>-57.83774298963413</v>
      </c>
      <c r="AB78" s="57">
        <f t="shared" si="37"/>
        <v>-60.36336051777667</v>
      </c>
      <c r="AC78" s="57">
        <f t="shared" si="37"/>
        <v>-63.011213527900637</v>
      </c>
      <c r="AD78" s="57">
        <f t="shared" si="37"/>
        <v>-65.788312517370855</v>
      </c>
      <c r="AE78" s="57">
        <f t="shared" si="37"/>
        <v>-68.7021605112553</v>
      </c>
      <c r="AF78" s="57">
        <f t="shared" si="37"/>
        <v>-71.760793974214067</v>
      </c>
      <c r="AG78" s="57">
        <f t="shared" si="37"/>
        <v>-74.972827479942055</v>
      </c>
      <c r="AH78" s="57">
        <f t="shared" si="37"/>
        <v>-78.347502500575089</v>
      </c>
      <c r="AI78" s="57">
        <f t="shared" si="37"/>
        <v>-81.894740714177004</v>
      </c>
      <c r="AJ78" s="57">
        <f t="shared" si="37"/>
        <v>-85.625202267680876</v>
      </c>
      <c r="AK78" s="57">
        <f t="shared" si="37"/>
        <v>-89.550349475818578</v>
      </c>
      <c r="AL78" s="57">
        <f t="shared" si="37"/>
        <v>-93.682516484024831</v>
      </c>
      <c r="AM78" s="57">
        <f t="shared" si="37"/>
        <v>-98.034985475476688</v>
      </c>
      <c r="AN78" s="57">
        <f t="shared" si="37"/>
        <v>-102.62207005979572</v>
      </c>
      <c r="AO78" s="57">
        <f t="shared" si="37"/>
        <v>-107.45920654401749</v>
      </c>
      <c r="AP78" s="57">
        <f t="shared" si="37"/>
        <v>-112.56305385579113</v>
      </c>
      <c r="AQ78" s="57">
        <f t="shared" si="37"/>
        <v>-117.95160296503703</v>
      </c>
      <c r="AR78" s="57">
        <f t="shared" si="37"/>
        <v>-123.64429673415415</v>
      </c>
      <c r="AS78" s="57">
        <f t="shared" si="37"/>
        <v>-129.66216121908755</v>
      </c>
      <c r="AT78" s="57">
        <f t="shared" si="37"/>
        <v>-136.027949544975</v>
      </c>
      <c r="AU78" s="57">
        <f t="shared" si="37"/>
        <v>-142.76629959161033</v>
      </c>
      <c r="AV78" s="57">
        <f t="shared" si="37"/>
        <v>-149.90390684659474</v>
      </c>
      <c r="AW78" s="57">
        <f t="shared" si="37"/>
        <v>-157.46971391891049</v>
      </c>
      <c r="AX78" s="57">
        <f t="shared" si="37"/>
        <v>-165.49511835396407</v>
      </c>
      <c r="AY78" s="57">
        <f t="shared" si="37"/>
        <v>-174.01420055424953</v>
      </c>
      <c r="AZ78" s="57">
        <f t="shared" si="37"/>
        <v>-183.06397378915909</v>
      </c>
      <c r="BA78" s="57">
        <f t="shared" si="37"/>
        <v>-192.684658474739</v>
      </c>
      <c r="BB78" s="57"/>
      <c r="BC78" s="10" t="s">
        <v>155</v>
      </c>
      <c r="BD78" s="14">
        <f t="shared" ref="BD78:BD83" si="38">SUM(D78:BB78)</f>
        <v>-3983.7765974704535</v>
      </c>
      <c r="BE78" s="13"/>
      <c r="BF78" s="4"/>
    </row>
    <row r="79" spans="1:58" x14ac:dyDescent="0.2">
      <c r="A79" s="105">
        <v>0.1</v>
      </c>
      <c r="B79" s="157"/>
      <c r="C79" s="97" t="s">
        <v>230</v>
      </c>
      <c r="D79" s="98">
        <v>0</v>
      </c>
      <c r="E79" s="98">
        <v>0</v>
      </c>
      <c r="F79" s="98">
        <f>(-$A$17*F75*5.408)</f>
        <v>-3.8937600000000012</v>
      </c>
      <c r="G79" s="98">
        <f>F79*(1+$D$8)*(G73/F73)</f>
        <v>-8.0990208000000035</v>
      </c>
      <c r="H79" s="98">
        <f>G79*(1+$D$8)*(H73/G73)</f>
        <v>-12.634472448000007</v>
      </c>
      <c r="I79" s="98">
        <f t="shared" ref="I79:AC79" si="39">H79*(1+$D$8)*(I73/H73)</f>
        <v>-15.767821615104008</v>
      </c>
      <c r="J79" s="98">
        <f t="shared" si="39"/>
        <v>-16.398534479708168</v>
      </c>
      <c r="K79" s="98">
        <f t="shared" si="39"/>
        <v>-17.054475858896495</v>
      </c>
      <c r="L79" s="98">
        <f t="shared" si="39"/>
        <v>-17.736654893252357</v>
      </c>
      <c r="M79" s="98">
        <f t="shared" si="39"/>
        <v>-18.446121088982451</v>
      </c>
      <c r="N79" s="98">
        <f t="shared" si="39"/>
        <v>-19.183965932541749</v>
      </c>
      <c r="O79" s="98">
        <f t="shared" si="39"/>
        <v>-19.951324569843418</v>
      </c>
      <c r="P79" s="98">
        <f t="shared" si="39"/>
        <v>-20.749377552637156</v>
      </c>
      <c r="Q79" s="98">
        <f t="shared" si="39"/>
        <v>-21.579352654742642</v>
      </c>
      <c r="R79" s="98">
        <f t="shared" si="39"/>
        <v>-22.442526760932349</v>
      </c>
      <c r="S79" s="98">
        <f t="shared" si="39"/>
        <v>-23.340227831369646</v>
      </c>
      <c r="T79" s="98">
        <f t="shared" si="39"/>
        <v>-24.273836944624431</v>
      </c>
      <c r="U79" s="98">
        <f t="shared" si="39"/>
        <v>-25.244790422409409</v>
      </c>
      <c r="V79" s="98">
        <f t="shared" si="39"/>
        <v>-26.254582039305784</v>
      </c>
      <c r="W79" s="98">
        <f t="shared" si="39"/>
        <v>-27.304765320878015</v>
      </c>
      <c r="X79" s="98">
        <f t="shared" si="39"/>
        <v>-28.396955933713137</v>
      </c>
      <c r="Y79" s="98">
        <f t="shared" si="39"/>
        <v>-29.532834171061662</v>
      </c>
      <c r="Z79" s="98">
        <f t="shared" si="39"/>
        <v>-30.714147537904129</v>
      </c>
      <c r="AA79" s="98">
        <f t="shared" si="39"/>
        <v>-31.942713439420295</v>
      </c>
      <c r="AB79" s="98">
        <f t="shared" si="39"/>
        <v>-33.220421976997109</v>
      </c>
      <c r="AC79" s="98">
        <f t="shared" si="39"/>
        <v>-34.549238856076997</v>
      </c>
      <c r="AD79" s="98">
        <f t="shared" ref="AD79:BA79" si="40">AC79*(1+$D$8)*(AD73/AC73)</f>
        <v>-35.931208410320075</v>
      </c>
      <c r="AE79" s="98">
        <f t="shared" si="40"/>
        <v>-37.368456746732882</v>
      </c>
      <c r="AF79" s="98">
        <f t="shared" si="40"/>
        <v>-38.863195016602198</v>
      </c>
      <c r="AG79" s="98">
        <f t="shared" si="40"/>
        <v>-40.417722817266288</v>
      </c>
      <c r="AH79" s="98">
        <f t="shared" si="40"/>
        <v>-42.034431729956943</v>
      </c>
      <c r="AI79" s="98">
        <f t="shared" si="40"/>
        <v>-43.715808999155222</v>
      </c>
      <c r="AJ79" s="98">
        <f t="shared" si="40"/>
        <v>-45.46444135912143</v>
      </c>
      <c r="AK79" s="98">
        <f t="shared" si="40"/>
        <v>-47.283019013486289</v>
      </c>
      <c r="AL79" s="98">
        <f t="shared" si="40"/>
        <v>-49.174339774025739</v>
      </c>
      <c r="AM79" s="98">
        <f t="shared" si="40"/>
        <v>-51.141313364986772</v>
      </c>
      <c r="AN79" s="98">
        <f t="shared" si="40"/>
        <v>-53.186965899586241</v>
      </c>
      <c r="AO79" s="98">
        <f t="shared" si="40"/>
        <v>-55.314444535569692</v>
      </c>
      <c r="AP79" s="98">
        <f t="shared" si="40"/>
        <v>-57.527022316992479</v>
      </c>
      <c r="AQ79" s="98">
        <f t="shared" si="40"/>
        <v>-59.828103209672179</v>
      </c>
      <c r="AR79" s="98">
        <f t="shared" si="40"/>
        <v>-62.221227338059066</v>
      </c>
      <c r="AS79" s="98">
        <f t="shared" si="40"/>
        <v>-64.710076431581427</v>
      </c>
      <c r="AT79" s="98">
        <f t="shared" si="40"/>
        <v>-67.298479488844691</v>
      </c>
      <c r="AU79" s="98">
        <f t="shared" si="40"/>
        <v>-69.990418668398476</v>
      </c>
      <c r="AV79" s="98">
        <f t="shared" si="40"/>
        <v>-72.790035415134412</v>
      </c>
      <c r="AW79" s="98">
        <f t="shared" si="40"/>
        <v>-75.701636831739791</v>
      </c>
      <c r="AX79" s="98">
        <f t="shared" si="40"/>
        <v>-78.729702305009383</v>
      </c>
      <c r="AY79" s="98">
        <f t="shared" si="40"/>
        <v>-81.878890397209759</v>
      </c>
      <c r="AZ79" s="98">
        <f t="shared" si="40"/>
        <v>-85.154046013098153</v>
      </c>
      <c r="BA79" s="98">
        <f t="shared" si="40"/>
        <v>-88.560207853622089</v>
      </c>
      <c r="BB79" s="98"/>
      <c r="BC79" s="97" t="s">
        <v>173</v>
      </c>
      <c r="BD79" s="119">
        <f t="shared" si="38"/>
        <v>-1932.9971170645733</v>
      </c>
      <c r="BE79" s="13"/>
      <c r="BF79" s="4"/>
    </row>
    <row r="80" spans="1:58" x14ac:dyDescent="0.2">
      <c r="A80" s="105">
        <v>7.0000000000000007E-2</v>
      </c>
      <c r="B80" s="157"/>
      <c r="C80" s="97" t="s">
        <v>231</v>
      </c>
      <c r="D80" s="98">
        <f>(-D76*$A$18)+D105</f>
        <v>-21</v>
      </c>
      <c r="E80" s="98">
        <f t="shared" ref="E80:H80" si="41">(-E76*$A$18)+E105</f>
        <v>-43.8</v>
      </c>
      <c r="F80" s="98">
        <f t="shared" si="41"/>
        <v>-2.7256320000000009</v>
      </c>
      <c r="G80" s="98">
        <f t="shared" si="41"/>
        <v>-5.6693145600000019</v>
      </c>
      <c r="H80" s="98">
        <f t="shared" si="41"/>
        <v>-8.8441307136000038</v>
      </c>
      <c r="I80" s="98">
        <f t="shared" ref="I80:AC80" si="42">(-I76*$A$18)+I105</f>
        <v>-11.037475130572806</v>
      </c>
      <c r="J80" s="98">
        <f t="shared" si="42"/>
        <v>-11.47897413579572</v>
      </c>
      <c r="K80" s="98">
        <f t="shared" si="42"/>
        <v>-11.93813310122755</v>
      </c>
      <c r="L80" s="98">
        <f t="shared" si="42"/>
        <v>-12.415658425276652</v>
      </c>
      <c r="M80" s="98">
        <f t="shared" si="42"/>
        <v>-12.912284762287719</v>
      </c>
      <c r="N80" s="98">
        <f t="shared" si="42"/>
        <v>-13.42877615277923</v>
      </c>
      <c r="O80" s="98">
        <f t="shared" si="42"/>
        <v>-13.9659271988904</v>
      </c>
      <c r="P80" s="98">
        <f t="shared" si="42"/>
        <v>-14.524564286846015</v>
      </c>
      <c r="Q80" s="98">
        <f t="shared" si="42"/>
        <v>-15.105546858319856</v>
      </c>
      <c r="R80" s="98">
        <f t="shared" si="42"/>
        <v>-15.70976873265265</v>
      </c>
      <c r="S80" s="98">
        <f t="shared" si="42"/>
        <v>-16.338159481958758</v>
      </c>
      <c r="T80" s="98">
        <f t="shared" si="42"/>
        <v>-16.991685861237109</v>
      </c>
      <c r="U80" s="98">
        <f t="shared" si="42"/>
        <v>-17.671353295686593</v>
      </c>
      <c r="V80" s="98">
        <f t="shared" si="42"/>
        <v>-18.378207427514059</v>
      </c>
      <c r="W80" s="98">
        <f t="shared" si="42"/>
        <v>-19.113335724614622</v>
      </c>
      <c r="X80" s="98">
        <f t="shared" si="42"/>
        <v>-19.877869153599207</v>
      </c>
      <c r="Y80" s="98">
        <f t="shared" si="42"/>
        <v>-20.672983919743174</v>
      </c>
      <c r="Z80" s="98">
        <f t="shared" si="42"/>
        <v>-21.499903276532901</v>
      </c>
      <c r="AA80" s="98">
        <f t="shared" si="42"/>
        <v>-22.35989940759422</v>
      </c>
      <c r="AB80" s="98">
        <f t="shared" si="42"/>
        <v>-23.25429538389799</v>
      </c>
      <c r="AC80" s="98">
        <f t="shared" si="42"/>
        <v>-24.184467199253909</v>
      </c>
      <c r="AD80" s="98">
        <f t="shared" ref="AD80:BA80" si="43">(-AD76*$A$18)+AD105</f>
        <v>-25.15184588722407</v>
      </c>
      <c r="AE80" s="98">
        <f t="shared" si="43"/>
        <v>-26.157919722713036</v>
      </c>
      <c r="AF80" s="98">
        <f t="shared" si="43"/>
        <v>-27.204236511621556</v>
      </c>
      <c r="AG80" s="98">
        <f t="shared" si="43"/>
        <v>-28.292405972086421</v>
      </c>
      <c r="AH80" s="98">
        <f t="shared" si="43"/>
        <v>-29.424102210969874</v>
      </c>
      <c r="AI80" s="98">
        <f t="shared" si="43"/>
        <v>-30.601066299408675</v>
      </c>
      <c r="AJ80" s="98">
        <f t="shared" si="43"/>
        <v>-31.825108951385022</v>
      </c>
      <c r="AK80" s="98">
        <f t="shared" si="43"/>
        <v>-33.098113309440429</v>
      </c>
      <c r="AL80" s="98">
        <f t="shared" si="43"/>
        <v>-34.422037841818046</v>
      </c>
      <c r="AM80" s="98">
        <f t="shared" si="43"/>
        <v>-35.798919355490767</v>
      </c>
      <c r="AN80" s="98">
        <f t="shared" si="43"/>
        <v>-37.230876129710403</v>
      </c>
      <c r="AO80" s="98">
        <f t="shared" si="43"/>
        <v>-38.720111174898818</v>
      </c>
      <c r="AP80" s="98">
        <f t="shared" si="43"/>
        <v>-40.268915621894777</v>
      </c>
      <c r="AQ80" s="98">
        <f t="shared" si="43"/>
        <v>-41.879672246770575</v>
      </c>
      <c r="AR80" s="98">
        <f t="shared" si="43"/>
        <v>-43.554859136641397</v>
      </c>
      <c r="AS80" s="98">
        <f t="shared" si="43"/>
        <v>-45.297053502107055</v>
      </c>
      <c r="AT80" s="98">
        <f t="shared" si="43"/>
        <v>-47.108935642191334</v>
      </c>
      <c r="AU80" s="98">
        <f t="shared" si="43"/>
        <v>-48.993293067878987</v>
      </c>
      <c r="AV80" s="98">
        <f t="shared" si="43"/>
        <v>-50.953024790594149</v>
      </c>
      <c r="AW80" s="98">
        <f t="shared" si="43"/>
        <v>-52.991145782217913</v>
      </c>
      <c r="AX80" s="98">
        <f t="shared" si="43"/>
        <v>-55.110791613506635</v>
      </c>
      <c r="AY80" s="98">
        <f t="shared" si="43"/>
        <v>-57.315223278046901</v>
      </c>
      <c r="AZ80" s="98">
        <f t="shared" si="43"/>
        <v>-59.607832209168784</v>
      </c>
      <c r="BA80" s="98">
        <f t="shared" si="43"/>
        <v>-61.992145497535539</v>
      </c>
      <c r="BB80" s="98"/>
      <c r="BC80" s="97"/>
      <c r="BD80" s="119"/>
      <c r="BE80" s="13"/>
      <c r="BF80" s="4"/>
    </row>
    <row r="81" spans="1:58" x14ac:dyDescent="0.2">
      <c r="A81" s="105"/>
      <c r="B81" s="157"/>
      <c r="C81" s="97" t="s">
        <v>172</v>
      </c>
      <c r="D81" s="98">
        <f>D104</f>
        <v>-49</v>
      </c>
      <c r="E81" s="98">
        <f>E104</f>
        <v>-102.19999999999999</v>
      </c>
      <c r="F81" s="98">
        <f>F104</f>
        <v>0</v>
      </c>
      <c r="G81" s="98">
        <f>G104</f>
        <v>0</v>
      </c>
      <c r="H81" s="98">
        <f t="shared" ref="H81:BA81" si="44">H104</f>
        <v>0</v>
      </c>
      <c r="I81" s="98">
        <f t="shared" si="44"/>
        <v>0</v>
      </c>
      <c r="J81" s="98">
        <f t="shared" si="44"/>
        <v>0</v>
      </c>
      <c r="K81" s="98">
        <f t="shared" si="44"/>
        <v>0</v>
      </c>
      <c r="L81" s="98">
        <f t="shared" si="44"/>
        <v>0</v>
      </c>
      <c r="M81" s="98">
        <f t="shared" si="44"/>
        <v>0</v>
      </c>
      <c r="N81" s="98">
        <f t="shared" si="44"/>
        <v>0</v>
      </c>
      <c r="O81" s="98">
        <f t="shared" si="44"/>
        <v>0</v>
      </c>
      <c r="P81" s="98">
        <f t="shared" si="44"/>
        <v>0</v>
      </c>
      <c r="Q81" s="98">
        <f t="shared" si="44"/>
        <v>0</v>
      </c>
      <c r="R81" s="98">
        <f t="shared" si="44"/>
        <v>0</v>
      </c>
      <c r="S81" s="98">
        <f t="shared" si="44"/>
        <v>0</v>
      </c>
      <c r="T81" s="98">
        <f t="shared" si="44"/>
        <v>0</v>
      </c>
      <c r="U81" s="98">
        <f t="shared" si="44"/>
        <v>0</v>
      </c>
      <c r="V81" s="98">
        <f t="shared" si="44"/>
        <v>0</v>
      </c>
      <c r="W81" s="98">
        <f t="shared" si="44"/>
        <v>0</v>
      </c>
      <c r="X81" s="98">
        <f t="shared" si="44"/>
        <v>0</v>
      </c>
      <c r="Y81" s="98">
        <f t="shared" si="44"/>
        <v>0</v>
      </c>
      <c r="Z81" s="98">
        <f t="shared" si="44"/>
        <v>0</v>
      </c>
      <c r="AA81" s="98">
        <f t="shared" si="44"/>
        <v>0</v>
      </c>
      <c r="AB81" s="98">
        <f t="shared" si="44"/>
        <v>0</v>
      </c>
      <c r="AC81" s="98">
        <f t="shared" si="44"/>
        <v>0</v>
      </c>
      <c r="AD81" s="98">
        <f t="shared" si="44"/>
        <v>0</v>
      </c>
      <c r="AE81" s="98">
        <f t="shared" si="44"/>
        <v>0</v>
      </c>
      <c r="AF81" s="98">
        <f t="shared" si="44"/>
        <v>0</v>
      </c>
      <c r="AG81" s="98">
        <f t="shared" si="44"/>
        <v>0</v>
      </c>
      <c r="AH81" s="98">
        <f t="shared" si="44"/>
        <v>0</v>
      </c>
      <c r="AI81" s="98">
        <f t="shared" si="44"/>
        <v>0</v>
      </c>
      <c r="AJ81" s="98">
        <f t="shared" si="44"/>
        <v>0</v>
      </c>
      <c r="AK81" s="98">
        <f t="shared" si="44"/>
        <v>0</v>
      </c>
      <c r="AL81" s="98">
        <f t="shared" si="44"/>
        <v>0</v>
      </c>
      <c r="AM81" s="98">
        <f t="shared" si="44"/>
        <v>0</v>
      </c>
      <c r="AN81" s="98">
        <f t="shared" si="44"/>
        <v>0</v>
      </c>
      <c r="AO81" s="98">
        <f t="shared" si="44"/>
        <v>0</v>
      </c>
      <c r="AP81" s="98">
        <f t="shared" si="44"/>
        <v>0</v>
      </c>
      <c r="AQ81" s="98">
        <f t="shared" si="44"/>
        <v>0</v>
      </c>
      <c r="AR81" s="98">
        <f t="shared" si="44"/>
        <v>0</v>
      </c>
      <c r="AS81" s="98">
        <f t="shared" si="44"/>
        <v>0</v>
      </c>
      <c r="AT81" s="98">
        <f t="shared" si="44"/>
        <v>0</v>
      </c>
      <c r="AU81" s="98">
        <f t="shared" si="44"/>
        <v>0</v>
      </c>
      <c r="AV81" s="98">
        <f t="shared" si="44"/>
        <v>0</v>
      </c>
      <c r="AW81" s="98">
        <f t="shared" si="44"/>
        <v>0</v>
      </c>
      <c r="AX81" s="98">
        <f t="shared" si="44"/>
        <v>0</v>
      </c>
      <c r="AY81" s="98">
        <f t="shared" si="44"/>
        <v>0</v>
      </c>
      <c r="AZ81" s="98">
        <f t="shared" si="44"/>
        <v>0</v>
      </c>
      <c r="BA81" s="98">
        <f t="shared" si="44"/>
        <v>0</v>
      </c>
      <c r="BB81" s="98"/>
      <c r="BC81" s="97" t="s">
        <v>172</v>
      </c>
      <c r="BD81" s="119">
        <f t="shared" si="38"/>
        <v>-151.19999999999999</v>
      </c>
      <c r="BE81" s="13"/>
      <c r="BF81" s="4"/>
    </row>
    <row r="82" spans="1:58" x14ac:dyDescent="0.2">
      <c r="B82" s="157"/>
      <c r="C82" s="97" t="s">
        <v>144</v>
      </c>
      <c r="D82" s="98">
        <f t="shared" ref="D82:AA82" si="45">D20</f>
        <v>-0.75899305499999992</v>
      </c>
      <c r="E82" s="98">
        <f t="shared" si="45"/>
        <v>-0.91416464240000006</v>
      </c>
      <c r="F82" s="98">
        <f t="shared" si="45"/>
        <v>-1.3736133739</v>
      </c>
      <c r="G82" s="98">
        <f t="shared" si="45"/>
        <v>-1.5645296959200004</v>
      </c>
      <c r="H82" s="98">
        <f t="shared" si="45"/>
        <v>-1.82543850118125</v>
      </c>
      <c r="I82" s="98">
        <f t="shared" si="45"/>
        <v>-1.8991231601203129</v>
      </c>
      <c r="J82" s="98">
        <f t="shared" si="45"/>
        <v>-1.9756774310391283</v>
      </c>
      <c r="K82" s="98">
        <f t="shared" si="45"/>
        <v>-1.9949496701063294</v>
      </c>
      <c r="L82" s="98">
        <f t="shared" si="45"/>
        <v>-2.0838989812225281</v>
      </c>
      <c r="M82" s="98">
        <f t="shared" si="45"/>
        <v>-2.1768422398741936</v>
      </c>
      <c r="N82" s="98">
        <f t="shared" si="45"/>
        <v>-2.2739600861112446</v>
      </c>
      <c r="O82" s="98">
        <f t="shared" si="45"/>
        <v>-2.3754414037583689</v>
      </c>
      <c r="P82" s="98">
        <f t="shared" si="45"/>
        <v>-2.4814836916681946</v>
      </c>
      <c r="Q82" s="98">
        <f t="shared" si="45"/>
        <v>-2.5922934407978326</v>
      </c>
      <c r="R82" s="98">
        <f t="shared" si="45"/>
        <v>-2.6718050267387126</v>
      </c>
      <c r="S82" s="98">
        <f t="shared" si="45"/>
        <v>-2.7542400291985567</v>
      </c>
      <c r="T82" s="98">
        <f t="shared" si="45"/>
        <v>-2.8397225134349742</v>
      </c>
      <c r="U82" s="98">
        <f t="shared" si="45"/>
        <v>-2.9283823072415189</v>
      </c>
      <c r="V82" s="98">
        <f t="shared" si="45"/>
        <v>-3.0203552418292214</v>
      </c>
      <c r="W82" s="98">
        <f t="shared" si="45"/>
        <v>-3.1157834472600476</v>
      </c>
      <c r="X82" s="98">
        <f t="shared" si="45"/>
        <v>-3.2148156866225421</v>
      </c>
      <c r="Y82" s="98">
        <f t="shared" si="45"/>
        <v>-3.3176076374301511</v>
      </c>
      <c r="Z82" s="98">
        <f t="shared" si="45"/>
        <v>-3.4243222646241458</v>
      </c>
      <c r="AA82" s="98">
        <f t="shared" si="45"/>
        <v>-3.5351301426196122</v>
      </c>
      <c r="AB82" s="98">
        <f>AA82*(1+$D$71)</f>
        <v>-3.8886431568815736</v>
      </c>
      <c r="AC82" s="98">
        <f t="shared" ref="AC82:BA82" si="46">AB82*(1+$D$71)</f>
        <v>-4.2775074725697309</v>
      </c>
      <c r="AD82" s="98">
        <f t="shared" si="46"/>
        <v>-4.7052582198267041</v>
      </c>
      <c r="AE82" s="98">
        <f t="shared" si="46"/>
        <v>-5.1757840418093748</v>
      </c>
      <c r="AF82" s="98">
        <f t="shared" si="46"/>
        <v>-5.6933624459903127</v>
      </c>
      <c r="AG82" s="98">
        <f t="shared" si="46"/>
        <v>-6.2626986905893443</v>
      </c>
      <c r="AH82" s="98">
        <f t="shared" si="46"/>
        <v>-6.888968559648279</v>
      </c>
      <c r="AI82" s="98">
        <f t="shared" si="46"/>
        <v>-7.5778654156131076</v>
      </c>
      <c r="AJ82" s="98">
        <f t="shared" si="46"/>
        <v>-8.3356519571744183</v>
      </c>
      <c r="AK82" s="98">
        <f t="shared" si="46"/>
        <v>-9.1692171528918607</v>
      </c>
      <c r="AL82" s="98">
        <f t="shared" si="46"/>
        <v>-10.086138868181047</v>
      </c>
      <c r="AM82" s="98">
        <f t="shared" si="46"/>
        <v>-11.094752754999153</v>
      </c>
      <c r="AN82" s="98">
        <f t="shared" si="46"/>
        <v>-12.204228030499069</v>
      </c>
      <c r="AO82" s="98">
        <f t="shared" si="46"/>
        <v>-13.424650833548977</v>
      </c>
      <c r="AP82" s="98">
        <f t="shared" si="46"/>
        <v>-14.767115916903876</v>
      </c>
      <c r="AQ82" s="98">
        <f t="shared" si="46"/>
        <v>-16.243827508594265</v>
      </c>
      <c r="AR82" s="98">
        <f t="shared" si="46"/>
        <v>-17.868210259453694</v>
      </c>
      <c r="AS82" s="98">
        <f t="shared" si="46"/>
        <v>-19.655031285399065</v>
      </c>
      <c r="AT82" s="98">
        <f t="shared" si="46"/>
        <v>-21.620534413938973</v>
      </c>
      <c r="AU82" s="98">
        <f t="shared" si="46"/>
        <v>-23.782587855332871</v>
      </c>
      <c r="AV82" s="98">
        <f t="shared" si="46"/>
        <v>-26.160846640866161</v>
      </c>
      <c r="AW82" s="98">
        <f t="shared" si="46"/>
        <v>-28.776931304952779</v>
      </c>
      <c r="AX82" s="98">
        <f t="shared" si="46"/>
        <v>-31.65462443544806</v>
      </c>
      <c r="AY82" s="98">
        <f t="shared" si="46"/>
        <v>-34.820086878992868</v>
      </c>
      <c r="AZ82" s="98">
        <f t="shared" si="46"/>
        <v>-38.302095566892156</v>
      </c>
      <c r="BA82" s="98">
        <f t="shared" si="46"/>
        <v>-42.132305123581375</v>
      </c>
      <c r="BB82" s="98"/>
      <c r="BC82" s="97" t="s">
        <v>144</v>
      </c>
      <c r="BD82" s="119">
        <f t="shared" si="38"/>
        <v>-481.68149846067797</v>
      </c>
      <c r="BE82" s="13"/>
      <c r="BF82" s="4"/>
    </row>
    <row r="83" spans="1:58" x14ac:dyDescent="0.2">
      <c r="B83" s="157"/>
      <c r="C83" s="10" t="s">
        <v>0</v>
      </c>
      <c r="D83" s="57">
        <f>D76+D78</f>
        <v>-70.758993055000005</v>
      </c>
      <c r="E83" s="57">
        <f>E76+E78</f>
        <v>-146.91416464240001</v>
      </c>
      <c r="F83" s="57">
        <f t="shared" ref="F83:BA83" si="47">F76+F78</f>
        <v>30.944594626100006</v>
      </c>
      <c r="G83" s="57">
        <f t="shared" si="47"/>
        <v>65.657342944080014</v>
      </c>
      <c r="H83" s="57">
        <f t="shared" si="47"/>
        <v>103.04068281721878</v>
      </c>
      <c r="I83" s="57">
        <f t="shared" si="47"/>
        <v>128.97379624524297</v>
      </c>
      <c r="J83" s="57">
        <f t="shared" si="47"/>
        <v>134.13215875053868</v>
      </c>
      <c r="K83" s="57">
        <f t="shared" si="47"/>
        <v>139.5571999587346</v>
      </c>
      <c r="L83" s="57">
        <f t="shared" si="47"/>
        <v>145.13033663277204</v>
      </c>
      <c r="M83" s="57">
        <f t="shared" si="47"/>
        <v>150.92596279868019</v>
      </c>
      <c r="N83" s="57">
        <f t="shared" si="47"/>
        <v>156.95295715398532</v>
      </c>
      <c r="O83" s="57">
        <f t="shared" si="47"/>
        <v>163.22055252594208</v>
      </c>
      <c r="P83" s="57">
        <f t="shared" si="47"/>
        <v>169.73834999522026</v>
      </c>
      <c r="Q83" s="57">
        <f t="shared" si="47"/>
        <v>176.51633359356617</v>
      </c>
      <c r="R83" s="57">
        <f t="shared" si="47"/>
        <v>183.60116708899983</v>
      </c>
      <c r="S83" s="57">
        <f t="shared" si="47"/>
        <v>190.96965097116956</v>
      </c>
      <c r="T83" s="57">
        <f t="shared" si="47"/>
        <v>198.63312412694791</v>
      </c>
      <c r="U83" s="57">
        <f t="shared" si="47"/>
        <v>206.60337819875664</v>
      </c>
      <c r="V83" s="57">
        <f t="shared" si="47"/>
        <v>214.89267568440891</v>
      </c>
      <c r="W83" s="57">
        <f t="shared" si="47"/>
        <v>223.51376871602758</v>
      </c>
      <c r="X83" s="57">
        <f t="shared" si="47"/>
        <v>232.47991856319661</v>
      </c>
      <c r="Y83" s="57">
        <f t="shared" si="47"/>
        <v>241.80491598238177</v>
      </c>
      <c r="Z83" s="57">
        <f t="shared" si="47"/>
        <v>251.50310229998024</v>
      </c>
      <c r="AA83" s="57">
        <f t="shared" si="47"/>
        <v>261.58939140456897</v>
      </c>
      <c r="AB83" s="57">
        <f t="shared" si="47"/>
        <v>271.8408592521946</v>
      </c>
      <c r="AC83" s="57">
        <f t="shared" si="47"/>
        <v>282.48117503286949</v>
      </c>
      <c r="AD83" s="57">
        <f t="shared" si="47"/>
        <v>293.5237715858301</v>
      </c>
      <c r="AE83" s="57">
        <f t="shared" si="47"/>
        <v>304.98240695607376</v>
      </c>
      <c r="AF83" s="57">
        <f t="shared" si="47"/>
        <v>316.87115619180815</v>
      </c>
      <c r="AG83" s="57">
        <f t="shared" si="47"/>
        <v>329.20440069272104</v>
      </c>
      <c r="AH83" s="57">
        <f t="shared" si="47"/>
        <v>341.99681479899448</v>
      </c>
      <c r="AI83" s="57">
        <f t="shared" si="47"/>
        <v>355.26334927737548</v>
      </c>
      <c r="AJ83" s="57">
        <f t="shared" si="47"/>
        <v>369.01921132353368</v>
      </c>
      <c r="AK83" s="57">
        <f t="shared" si="47"/>
        <v>383.27984065904462</v>
      </c>
      <c r="AL83" s="57">
        <f t="shared" si="47"/>
        <v>398.06088125623296</v>
      </c>
      <c r="AM83" s="57">
        <f t="shared" si="47"/>
        <v>413.37814817439141</v>
      </c>
      <c r="AN83" s="57">
        <f t="shared" si="47"/>
        <v>429.24758893606719</v>
      </c>
      <c r="AO83" s="57">
        <f t="shared" si="47"/>
        <v>445.68523881167988</v>
      </c>
      <c r="AP83" s="57">
        <f t="shared" si="47"/>
        <v>462.70716931413421</v>
      </c>
      <c r="AQ83" s="57">
        <f t="shared" si="47"/>
        <v>480.32942913168546</v>
      </c>
      <c r="AR83" s="57">
        <f t="shared" si="47"/>
        <v>498.56797664643716</v>
      </c>
      <c r="AS83" s="57">
        <f t="shared" si="47"/>
        <v>517.43860309672743</v>
      </c>
      <c r="AT83" s="57">
        <f t="shared" si="47"/>
        <v>536.95684534347265</v>
      </c>
      <c r="AU83" s="57">
        <f t="shared" si="47"/>
        <v>557.13788709237519</v>
      </c>
      <c r="AV83" s="57">
        <f t="shared" si="47"/>
        <v>577.99644730475018</v>
      </c>
      <c r="AW83" s="57">
        <f t="shared" si="47"/>
        <v>599.54665439848827</v>
      </c>
      <c r="AX83" s="57">
        <f t="shared" si="47"/>
        <v>621.80190469613058</v>
      </c>
      <c r="AY83" s="57">
        <f t="shared" si="47"/>
        <v>644.77470341784897</v>
      </c>
      <c r="AZ83" s="57">
        <f t="shared" si="47"/>
        <v>668.47648634182337</v>
      </c>
      <c r="BA83" s="57">
        <f t="shared" si="47"/>
        <v>692.91742006148297</v>
      </c>
      <c r="BB83" s="57"/>
      <c r="BC83" s="10" t="s">
        <v>0</v>
      </c>
      <c r="BD83" s="14">
        <f t="shared" si="38"/>
        <v>15346.194573175289</v>
      </c>
      <c r="BE83" s="13"/>
      <c r="BF83" s="4"/>
    </row>
    <row r="84" spans="1:58" s="113" customFormat="1" x14ac:dyDescent="0.2">
      <c r="A84" s="109"/>
      <c r="B84" s="157"/>
      <c r="C84" s="97" t="s">
        <v>4</v>
      </c>
      <c r="D84" s="110">
        <v>0</v>
      </c>
      <c r="E84" s="110">
        <v>0</v>
      </c>
      <c r="F84" s="111">
        <f t="shared" ref="F84:AB84" si="48">F83/F76</f>
        <v>0.79472270057990213</v>
      </c>
      <c r="G84" s="111">
        <f t="shared" si="48"/>
        <v>0.81068248329575832</v>
      </c>
      <c r="H84" s="111">
        <f t="shared" si="48"/>
        <v>0.81555192146965971</v>
      </c>
      <c r="I84" s="111">
        <f t="shared" si="48"/>
        <v>0.81795570366992776</v>
      </c>
      <c r="J84" s="111">
        <f t="shared" si="48"/>
        <v>0.81795210978466482</v>
      </c>
      <c r="K84" s="111">
        <f t="shared" si="48"/>
        <v>0.81830248618244306</v>
      </c>
      <c r="L84" s="111">
        <f t="shared" si="48"/>
        <v>0.81825089063431389</v>
      </c>
      <c r="M84" s="111">
        <f t="shared" si="48"/>
        <v>0.81819891602482009</v>
      </c>
      <c r="N84" s="111">
        <f t="shared" si="48"/>
        <v>0.81814655898520994</v>
      </c>
      <c r="O84" s="111">
        <f t="shared" si="48"/>
        <v>0.81809381604994358</v>
      </c>
      <c r="P84" s="111">
        <f t="shared" si="48"/>
        <v>0.81804068370064043</v>
      </c>
      <c r="Q84" s="111">
        <f t="shared" si="48"/>
        <v>0.81798715845524639</v>
      </c>
      <c r="R84" s="111">
        <f t="shared" si="48"/>
        <v>0.81809490101003346</v>
      </c>
      <c r="S84" s="111">
        <f t="shared" si="48"/>
        <v>0.81819960092464561</v>
      </c>
      <c r="T84" s="111">
        <f t="shared" si="48"/>
        <v>0.81830130349844088</v>
      </c>
      <c r="U84" s="111">
        <f t="shared" si="48"/>
        <v>0.8184000530079979</v>
      </c>
      <c r="V84" s="111">
        <f t="shared" si="48"/>
        <v>0.81849589287954605</v>
      </c>
      <c r="W84" s="111">
        <f t="shared" si="48"/>
        <v>0.81858886567731226</v>
      </c>
      <c r="X84" s="111">
        <f t="shared" si="48"/>
        <v>0.81867901301066615</v>
      </c>
      <c r="Y84" s="111">
        <f t="shared" si="48"/>
        <v>0.81876637569488342</v>
      </c>
      <c r="Z84" s="111">
        <f t="shared" si="48"/>
        <v>0.81885099363282599</v>
      </c>
      <c r="AA84" s="111">
        <f t="shared" si="48"/>
        <v>0.8189329059369862</v>
      </c>
      <c r="AB84" s="111">
        <f t="shared" si="48"/>
        <v>0.81829441974104322</v>
      </c>
      <c r="AC84" s="111">
        <f t="shared" ref="AC84:AJ84" si="49">AC83/AC76</f>
        <v>0.81761909780302633</v>
      </c>
      <c r="AD84" s="111">
        <f t="shared" si="49"/>
        <v>0.81690481498397016</v>
      </c>
      <c r="AE84" s="111">
        <f t="shared" si="49"/>
        <v>0.81614932354073777</v>
      </c>
      <c r="AF84" s="111">
        <f t="shared" si="49"/>
        <v>0.81535024605270334</v>
      </c>
      <c r="AG84" s="111">
        <f t="shared" si="49"/>
        <v>0.81450506794035926</v>
      </c>
      <c r="AH84" s="111">
        <f t="shared" si="49"/>
        <v>0.81361112955230308</v>
      </c>
      <c r="AI84" s="111">
        <f t="shared" si="49"/>
        <v>0.81266561779570523</v>
      </c>
      <c r="AJ84" s="111">
        <f t="shared" si="49"/>
        <v>0.81166555728391887</v>
      </c>
      <c r="AK84" s="111">
        <f>AK83/AK76</f>
        <v>0.81060780097337581</v>
      </c>
      <c r="AL84" s="111">
        <f t="shared" ref="AL84:AO84" si="50">AL83/AL76</f>
        <v>0.80948902026030134</v>
      </c>
      <c r="AM84" s="111">
        <f t="shared" si="50"/>
        <v>0.80830569450608802</v>
      </c>
      <c r="AN84" s="111">
        <f t="shared" si="50"/>
        <v>0.8070540999583623</v>
      </c>
      <c r="AO84" s="111">
        <f t="shared" si="50"/>
        <v>0.8057302980328831</v>
      </c>
      <c r="AP84" s="111">
        <f>AP83/AP76</f>
        <v>0.80433012291939565</v>
      </c>
      <c r="AQ84" s="111">
        <f t="shared" ref="AQ84:AX84" si="51">AQ83/AQ76</f>
        <v>0.8028491684724377</v>
      </c>
      <c r="AR84" s="111">
        <f t="shared" si="51"/>
        <v>0.80128277434584749</v>
      </c>
      <c r="AS84" s="111">
        <f t="shared" si="51"/>
        <v>0.79962601132733868</v>
      </c>
      <c r="AT84" s="111">
        <f t="shared" si="51"/>
        <v>0.79787366582699293</v>
      </c>
      <c r="AU84" s="111">
        <f t="shared" si="51"/>
        <v>0.79602022347085799</v>
      </c>
      <c r="AV84" s="111">
        <f t="shared" si="51"/>
        <v>0.79405985174802274</v>
      </c>
      <c r="AW84" s="111">
        <f t="shared" si="51"/>
        <v>0.79198638165656254</v>
      </c>
      <c r="AX84" s="111">
        <f t="shared" si="51"/>
        <v>0.78979328829059492</v>
      </c>
      <c r="AY84" s="111">
        <f>AY83/AY76</f>
        <v>0.78747367030736004</v>
      </c>
      <c r="AZ84" s="111">
        <f t="shared" ref="AZ84:BA84" si="52">AZ83/AZ76</f>
        <v>0.78502022820970763</v>
      </c>
      <c r="BA84" s="111">
        <f t="shared" si="52"/>
        <v>0.7824252413756525</v>
      </c>
      <c r="BB84" s="111"/>
      <c r="BC84" s="97" t="s">
        <v>4</v>
      </c>
      <c r="BD84" s="110">
        <f>BD83/BD76</f>
        <v>0.79390674914610482</v>
      </c>
      <c r="BF84" s="114"/>
    </row>
    <row r="85" spans="1:58" x14ac:dyDescent="0.2">
      <c r="B85" s="157"/>
      <c r="BF85" s="4"/>
    </row>
    <row r="86" spans="1:58" x14ac:dyDescent="0.2">
      <c r="B86" s="157"/>
      <c r="C86" s="10" t="s">
        <v>181</v>
      </c>
      <c r="D86" s="57">
        <f>D24</f>
        <v>0</v>
      </c>
      <c r="E86" s="57">
        <f t="shared" ref="E86:BA86" si="53">E24</f>
        <v>0</v>
      </c>
      <c r="F86" s="57">
        <f t="shared" si="53"/>
        <v>-12.71076751</v>
      </c>
      <c r="G86" s="57">
        <f t="shared" si="53"/>
        <v>-12.145675300000001</v>
      </c>
      <c r="H86" s="57">
        <f t="shared" si="53"/>
        <v>-11.54572945</v>
      </c>
      <c r="I86" s="57">
        <f t="shared" si="53"/>
        <v>-10.90878025</v>
      </c>
      <c r="J86" s="57">
        <f t="shared" si="53"/>
        <v>-10.23254541</v>
      </c>
      <c r="K86" s="57">
        <f t="shared" si="53"/>
        <v>-9.5146019000000006</v>
      </c>
      <c r="L86" s="57">
        <f t="shared" si="53"/>
        <v>-8.7523771899999989</v>
      </c>
      <c r="M86" s="57">
        <f t="shared" si="53"/>
        <v>-7.9431401299999997</v>
      </c>
      <c r="N86" s="57">
        <f t="shared" si="53"/>
        <v>-7.0839911100000004</v>
      </c>
      <c r="O86" s="57">
        <f t="shared" si="53"/>
        <v>-6.1718516500000007</v>
      </c>
      <c r="P86" s="57">
        <f t="shared" si="53"/>
        <v>-5.2034534199999998</v>
      </c>
      <c r="Q86" s="57">
        <f t="shared" si="53"/>
        <v>-4.1753265099999997</v>
      </c>
      <c r="R86" s="57">
        <f t="shared" si="53"/>
        <v>-3.0837869900000001</v>
      </c>
      <c r="S86" s="57">
        <f t="shared" si="53"/>
        <v>-1.92492369</v>
      </c>
      <c r="T86" s="57">
        <f t="shared" si="53"/>
        <v>-0.69458423999999996</v>
      </c>
      <c r="U86" s="57">
        <f t="shared" si="53"/>
        <v>0</v>
      </c>
      <c r="V86" s="57">
        <f t="shared" si="53"/>
        <v>0</v>
      </c>
      <c r="W86" s="57">
        <f t="shared" si="53"/>
        <v>0</v>
      </c>
      <c r="X86" s="57">
        <f t="shared" si="53"/>
        <v>0</v>
      </c>
      <c r="Y86" s="57">
        <f t="shared" si="53"/>
        <v>0</v>
      </c>
      <c r="Z86" s="57">
        <f t="shared" si="53"/>
        <v>0</v>
      </c>
      <c r="AA86" s="57">
        <f t="shared" si="53"/>
        <v>0</v>
      </c>
      <c r="AB86" s="57">
        <f t="shared" si="53"/>
        <v>0</v>
      </c>
      <c r="AC86" s="57">
        <f t="shared" si="53"/>
        <v>0</v>
      </c>
      <c r="AD86" s="57">
        <f t="shared" si="53"/>
        <v>0</v>
      </c>
      <c r="AE86" s="57">
        <f t="shared" si="53"/>
        <v>0</v>
      </c>
      <c r="AF86" s="57">
        <f t="shared" si="53"/>
        <v>0</v>
      </c>
      <c r="AG86" s="57">
        <f t="shared" si="53"/>
        <v>0</v>
      </c>
      <c r="AH86" s="57">
        <f t="shared" si="53"/>
        <v>0</v>
      </c>
      <c r="AI86" s="57">
        <f t="shared" si="53"/>
        <v>0</v>
      </c>
      <c r="AJ86" s="57">
        <f t="shared" si="53"/>
        <v>0</v>
      </c>
      <c r="AK86" s="57">
        <f t="shared" si="53"/>
        <v>0</v>
      </c>
      <c r="AL86" s="57">
        <f t="shared" si="53"/>
        <v>0</v>
      </c>
      <c r="AM86" s="57">
        <f t="shared" si="53"/>
        <v>0</v>
      </c>
      <c r="AN86" s="57">
        <f t="shared" si="53"/>
        <v>0</v>
      </c>
      <c r="AO86" s="57">
        <f t="shared" si="53"/>
        <v>0</v>
      </c>
      <c r="AP86" s="57">
        <f t="shared" si="53"/>
        <v>0</v>
      </c>
      <c r="AQ86" s="57">
        <f t="shared" si="53"/>
        <v>0</v>
      </c>
      <c r="AR86" s="57">
        <f t="shared" si="53"/>
        <v>0</v>
      </c>
      <c r="AS86" s="57">
        <f t="shared" si="53"/>
        <v>0</v>
      </c>
      <c r="AT86" s="57">
        <f t="shared" si="53"/>
        <v>0</v>
      </c>
      <c r="AU86" s="57">
        <f t="shared" si="53"/>
        <v>0</v>
      </c>
      <c r="AV86" s="57">
        <f t="shared" si="53"/>
        <v>0</v>
      </c>
      <c r="AW86" s="57">
        <f t="shared" si="53"/>
        <v>0</v>
      </c>
      <c r="AX86" s="57">
        <f t="shared" si="53"/>
        <v>0</v>
      </c>
      <c r="AY86" s="57">
        <f t="shared" si="53"/>
        <v>0</v>
      </c>
      <c r="AZ86" s="57">
        <f t="shared" si="53"/>
        <v>0</v>
      </c>
      <c r="BA86" s="57">
        <f t="shared" si="53"/>
        <v>0</v>
      </c>
      <c r="BB86" s="57"/>
      <c r="BC86" s="10" t="s">
        <v>181</v>
      </c>
      <c r="BD86" s="14">
        <f t="shared" ref="BD86:BD88" si="54">SUM(D86:BB86)</f>
        <v>-112.09153474999999</v>
      </c>
      <c r="BE86" s="13"/>
      <c r="BF86" s="4"/>
    </row>
    <row r="87" spans="1:58" x14ac:dyDescent="0.2">
      <c r="A87" s="106">
        <v>15</v>
      </c>
      <c r="B87" s="157"/>
      <c r="C87" s="10" t="s">
        <v>179</v>
      </c>
      <c r="D87" s="57">
        <f>($D$42)/($A$25)</f>
        <v>-3.2666666666666666</v>
      </c>
      <c r="E87" s="57">
        <f t="shared" ref="E87:R87" si="55">($D$42)/($A$25)+($E$42/$A$25)</f>
        <v>-10.079999999999998</v>
      </c>
      <c r="F87" s="57">
        <f t="shared" si="55"/>
        <v>-10.079999999999998</v>
      </c>
      <c r="G87" s="57">
        <f t="shared" si="55"/>
        <v>-10.079999999999998</v>
      </c>
      <c r="H87" s="57">
        <f t="shared" si="55"/>
        <v>-10.079999999999998</v>
      </c>
      <c r="I87" s="57">
        <f t="shared" si="55"/>
        <v>-10.079999999999998</v>
      </c>
      <c r="J87" s="57">
        <f t="shared" si="55"/>
        <v>-10.079999999999998</v>
      </c>
      <c r="K87" s="57">
        <f t="shared" si="55"/>
        <v>-10.079999999999998</v>
      </c>
      <c r="L87" s="57">
        <f t="shared" si="55"/>
        <v>-10.079999999999998</v>
      </c>
      <c r="M87" s="57">
        <f t="shared" si="55"/>
        <v>-10.079999999999998</v>
      </c>
      <c r="N87" s="57">
        <f t="shared" si="55"/>
        <v>-10.079999999999998</v>
      </c>
      <c r="O87" s="57">
        <f t="shared" si="55"/>
        <v>-10.079999999999998</v>
      </c>
      <c r="P87" s="57">
        <f t="shared" si="55"/>
        <v>-10.079999999999998</v>
      </c>
      <c r="Q87" s="57">
        <f t="shared" si="55"/>
        <v>-10.079999999999998</v>
      </c>
      <c r="R87" s="57">
        <f t="shared" si="55"/>
        <v>-10.079999999999998</v>
      </c>
      <c r="S87" s="57">
        <f>($E$42)/($A$25)</f>
        <v>-6.8133333333333326</v>
      </c>
      <c r="T87" s="57">
        <v>0</v>
      </c>
      <c r="U87" s="57">
        <v>0</v>
      </c>
      <c r="V87" s="57">
        <v>0</v>
      </c>
      <c r="W87" s="57">
        <v>0</v>
      </c>
      <c r="X87" s="57">
        <v>0</v>
      </c>
      <c r="Y87" s="57">
        <v>0</v>
      </c>
      <c r="Z87" s="57">
        <v>0</v>
      </c>
      <c r="AA87" s="57">
        <v>0</v>
      </c>
      <c r="AB87" s="57">
        <v>0</v>
      </c>
      <c r="AC87" s="57">
        <v>0</v>
      </c>
      <c r="AD87" s="57">
        <v>0</v>
      </c>
      <c r="AE87" s="57">
        <v>0</v>
      </c>
      <c r="AF87" s="57">
        <v>0</v>
      </c>
      <c r="AG87" s="57">
        <v>0</v>
      </c>
      <c r="AH87" s="57">
        <v>0</v>
      </c>
      <c r="AI87" s="57">
        <v>0</v>
      </c>
      <c r="AJ87" s="57">
        <v>0</v>
      </c>
      <c r="AK87" s="57">
        <v>0</v>
      </c>
      <c r="AL87" s="57">
        <v>0</v>
      </c>
      <c r="AM87" s="57">
        <v>0</v>
      </c>
      <c r="AN87" s="57">
        <v>0</v>
      </c>
      <c r="AO87" s="57">
        <v>0</v>
      </c>
      <c r="AP87" s="57">
        <v>0</v>
      </c>
      <c r="AQ87" s="57">
        <v>0</v>
      </c>
      <c r="AR87" s="57">
        <v>0</v>
      </c>
      <c r="AS87" s="57">
        <v>0</v>
      </c>
      <c r="AT87" s="57">
        <v>0</v>
      </c>
      <c r="AU87" s="57">
        <v>0</v>
      </c>
      <c r="AV87" s="57">
        <v>0</v>
      </c>
      <c r="AW87" s="57">
        <v>0</v>
      </c>
      <c r="AX87" s="57">
        <v>0</v>
      </c>
      <c r="AY87" s="57">
        <v>0</v>
      </c>
      <c r="AZ87" s="57">
        <v>0</v>
      </c>
      <c r="BA87" s="57">
        <v>0</v>
      </c>
      <c r="BB87" s="57"/>
      <c r="BC87" s="10" t="s">
        <v>179</v>
      </c>
      <c r="BD87" s="14">
        <f t="shared" si="54"/>
        <v>-151.19999999999999</v>
      </c>
      <c r="BE87" s="13"/>
      <c r="BF87" s="4"/>
    </row>
    <row r="88" spans="1:58" x14ac:dyDescent="0.2">
      <c r="B88" s="157"/>
      <c r="C88" s="10" t="s">
        <v>141</v>
      </c>
      <c r="D88" s="57">
        <f>D83+D86+D87</f>
        <v>-74.025659721666671</v>
      </c>
      <c r="E88" s="57">
        <f t="shared" ref="E88:BA88" si="56">E83+E86+E87</f>
        <v>-156.99416464239999</v>
      </c>
      <c r="F88" s="57">
        <f t="shared" si="56"/>
        <v>8.1538271161000075</v>
      </c>
      <c r="G88" s="57">
        <f t="shared" si="56"/>
        <v>43.431667644080015</v>
      </c>
      <c r="H88" s="57">
        <f t="shared" si="56"/>
        <v>81.414953367218786</v>
      </c>
      <c r="I88" s="57">
        <f t="shared" si="56"/>
        <v>107.98501599524296</v>
      </c>
      <c r="J88" s="57">
        <f t="shared" si="56"/>
        <v>113.81961334053868</v>
      </c>
      <c r="K88" s="57">
        <f t="shared" si="56"/>
        <v>119.9625980587346</v>
      </c>
      <c r="L88" s="57">
        <f t="shared" si="56"/>
        <v>126.29795944277204</v>
      </c>
      <c r="M88" s="57">
        <f t="shared" si="56"/>
        <v>132.90282266868019</v>
      </c>
      <c r="N88" s="57">
        <f t="shared" si="56"/>
        <v>139.78896604398534</v>
      </c>
      <c r="O88" s="57">
        <f t="shared" si="56"/>
        <v>146.96870087594209</v>
      </c>
      <c r="P88" s="57">
        <f t="shared" si="56"/>
        <v>154.45489657522029</v>
      </c>
      <c r="Q88" s="57">
        <f t="shared" si="56"/>
        <v>162.2610070835662</v>
      </c>
      <c r="R88" s="57">
        <f t="shared" si="56"/>
        <v>170.43738009899982</v>
      </c>
      <c r="S88" s="57">
        <f t="shared" si="56"/>
        <v>182.23139394783624</v>
      </c>
      <c r="T88" s="57">
        <f t="shared" si="56"/>
        <v>197.93853988694789</v>
      </c>
      <c r="U88" s="57">
        <f t="shared" si="56"/>
        <v>206.60337819875664</v>
      </c>
      <c r="V88" s="57">
        <f t="shared" si="56"/>
        <v>214.89267568440891</v>
      </c>
      <c r="W88" s="57">
        <f t="shared" si="56"/>
        <v>223.51376871602758</v>
      </c>
      <c r="X88" s="57">
        <f t="shared" si="56"/>
        <v>232.47991856319661</v>
      </c>
      <c r="Y88" s="57">
        <f t="shared" si="56"/>
        <v>241.80491598238177</v>
      </c>
      <c r="Z88" s="57">
        <f t="shared" si="56"/>
        <v>251.50310229998024</v>
      </c>
      <c r="AA88" s="57">
        <f t="shared" si="56"/>
        <v>261.58939140456897</v>
      </c>
      <c r="AB88" s="57">
        <f t="shared" si="56"/>
        <v>271.8408592521946</v>
      </c>
      <c r="AC88" s="57">
        <f t="shared" si="56"/>
        <v>282.48117503286949</v>
      </c>
      <c r="AD88" s="57">
        <f t="shared" si="56"/>
        <v>293.5237715858301</v>
      </c>
      <c r="AE88" s="57">
        <f t="shared" si="56"/>
        <v>304.98240695607376</v>
      </c>
      <c r="AF88" s="57">
        <f t="shared" si="56"/>
        <v>316.87115619180815</v>
      </c>
      <c r="AG88" s="57">
        <f t="shared" si="56"/>
        <v>329.20440069272104</v>
      </c>
      <c r="AH88" s="57">
        <f t="shared" si="56"/>
        <v>341.99681479899448</v>
      </c>
      <c r="AI88" s="57">
        <f t="shared" si="56"/>
        <v>355.26334927737548</v>
      </c>
      <c r="AJ88" s="57">
        <f t="shared" si="56"/>
        <v>369.01921132353368</v>
      </c>
      <c r="AK88" s="57">
        <f t="shared" si="56"/>
        <v>383.27984065904462</v>
      </c>
      <c r="AL88" s="57">
        <f t="shared" si="56"/>
        <v>398.06088125623296</v>
      </c>
      <c r="AM88" s="57">
        <f t="shared" si="56"/>
        <v>413.37814817439141</v>
      </c>
      <c r="AN88" s="57">
        <f t="shared" si="56"/>
        <v>429.24758893606719</v>
      </c>
      <c r="AO88" s="57">
        <f t="shared" si="56"/>
        <v>445.68523881167988</v>
      </c>
      <c r="AP88" s="57">
        <f t="shared" si="56"/>
        <v>462.70716931413421</v>
      </c>
      <c r="AQ88" s="57">
        <f t="shared" si="56"/>
        <v>480.32942913168546</v>
      </c>
      <c r="AR88" s="57">
        <f t="shared" si="56"/>
        <v>498.56797664643716</v>
      </c>
      <c r="AS88" s="57">
        <f t="shared" si="56"/>
        <v>517.43860309672743</v>
      </c>
      <c r="AT88" s="57">
        <f t="shared" si="56"/>
        <v>536.95684534347265</v>
      </c>
      <c r="AU88" s="57">
        <f t="shared" si="56"/>
        <v>557.13788709237519</v>
      </c>
      <c r="AV88" s="57">
        <f t="shared" si="56"/>
        <v>577.99644730475018</v>
      </c>
      <c r="AW88" s="57">
        <f t="shared" si="56"/>
        <v>599.54665439848827</v>
      </c>
      <c r="AX88" s="57">
        <f t="shared" si="56"/>
        <v>621.80190469613058</v>
      </c>
      <c r="AY88" s="57">
        <f t="shared" si="56"/>
        <v>644.77470341784897</v>
      </c>
      <c r="AZ88" s="57">
        <f t="shared" si="56"/>
        <v>668.47648634182337</v>
      </c>
      <c r="BA88" s="57">
        <f t="shared" si="56"/>
        <v>692.91742006148297</v>
      </c>
      <c r="BB88" s="57"/>
      <c r="BC88" s="10" t="s">
        <v>141</v>
      </c>
      <c r="BD88" s="14">
        <f t="shared" si="54"/>
        <v>15082.903038425291</v>
      </c>
      <c r="BE88" s="13"/>
      <c r="BF88" s="4"/>
    </row>
    <row r="89" spans="1:58" s="113" customFormat="1" x14ac:dyDescent="0.2">
      <c r="A89" s="109"/>
      <c r="B89" s="157"/>
      <c r="C89" s="97" t="s">
        <v>142</v>
      </c>
      <c r="D89" s="110">
        <v>0</v>
      </c>
      <c r="E89" s="110">
        <v>0</v>
      </c>
      <c r="F89" s="115">
        <f t="shared" ref="F89:AB89" si="57">F88/F76</f>
        <v>0.20940754222396873</v>
      </c>
      <c r="G89" s="115">
        <f t="shared" si="57"/>
        <v>0.53625825536934046</v>
      </c>
      <c r="H89" s="115">
        <f t="shared" si="57"/>
        <v>0.64438743843322488</v>
      </c>
      <c r="I89" s="115">
        <f t="shared" si="57"/>
        <v>0.68484422662293454</v>
      </c>
      <c r="J89" s="115">
        <f t="shared" si="57"/>
        <v>0.69408405660506456</v>
      </c>
      <c r="K89" s="115">
        <f t="shared" si="57"/>
        <v>0.70340829616382428</v>
      </c>
      <c r="L89" s="115">
        <f t="shared" si="57"/>
        <v>0.71207316262786502</v>
      </c>
      <c r="M89" s="115">
        <f t="shared" si="57"/>
        <v>0.72049197783950747</v>
      </c>
      <c r="N89" s="115">
        <f t="shared" si="57"/>
        <v>0.72867605444847749</v>
      </c>
      <c r="O89" s="115">
        <f t="shared" si="57"/>
        <v>0.73663630883979681</v>
      </c>
      <c r="P89" s="115">
        <f t="shared" si="57"/>
        <v>0.74438327696046813</v>
      </c>
      <c r="Q89" s="115">
        <f t="shared" si="57"/>
        <v>0.75192712997303435</v>
      </c>
      <c r="R89" s="115">
        <f t="shared" si="57"/>
        <v>0.75943935330711021</v>
      </c>
      <c r="S89" s="115">
        <f t="shared" si="57"/>
        <v>0.78076099027154411</v>
      </c>
      <c r="T89" s="115">
        <f t="shared" si="57"/>
        <v>0.815439851303699</v>
      </c>
      <c r="U89" s="115">
        <f t="shared" si="57"/>
        <v>0.8184000530079979</v>
      </c>
      <c r="V89" s="115">
        <f t="shared" si="57"/>
        <v>0.81849589287954605</v>
      </c>
      <c r="W89" s="115">
        <f t="shared" si="57"/>
        <v>0.81858886567731226</v>
      </c>
      <c r="X89" s="115">
        <f t="shared" si="57"/>
        <v>0.81867901301066615</v>
      </c>
      <c r="Y89" s="115">
        <f t="shared" si="57"/>
        <v>0.81876637569488342</v>
      </c>
      <c r="Z89" s="115">
        <f t="shared" si="57"/>
        <v>0.81885099363282599</v>
      </c>
      <c r="AA89" s="115">
        <f t="shared" si="57"/>
        <v>0.8189329059369862</v>
      </c>
      <c r="AB89" s="115">
        <f t="shared" si="57"/>
        <v>0.81829441974104322</v>
      </c>
      <c r="AC89" s="115">
        <f t="shared" ref="AC89:AJ89" si="58">AC88/AC76</f>
        <v>0.81761909780302633</v>
      </c>
      <c r="AD89" s="115">
        <f t="shared" si="58"/>
        <v>0.81690481498397016</v>
      </c>
      <c r="AE89" s="115">
        <f t="shared" si="58"/>
        <v>0.81614932354073777</v>
      </c>
      <c r="AF89" s="115">
        <f t="shared" si="58"/>
        <v>0.81535024605270334</v>
      </c>
      <c r="AG89" s="115">
        <f t="shared" si="58"/>
        <v>0.81450506794035926</v>
      </c>
      <c r="AH89" s="115">
        <f t="shared" si="58"/>
        <v>0.81361112955230308</v>
      </c>
      <c r="AI89" s="115">
        <f t="shared" si="58"/>
        <v>0.81266561779570523</v>
      </c>
      <c r="AJ89" s="115">
        <f t="shared" si="58"/>
        <v>0.81166555728391887</v>
      </c>
      <c r="AK89" s="115">
        <f>AK88/AK76</f>
        <v>0.81060780097337581</v>
      </c>
      <c r="AL89" s="115">
        <f t="shared" ref="AL89:AO89" si="59">AL88/AL76</f>
        <v>0.80948902026030134</v>
      </c>
      <c r="AM89" s="115">
        <f t="shared" si="59"/>
        <v>0.80830569450608802</v>
      </c>
      <c r="AN89" s="115">
        <f t="shared" si="59"/>
        <v>0.8070540999583623</v>
      </c>
      <c r="AO89" s="115">
        <f t="shared" si="59"/>
        <v>0.8057302980328831</v>
      </c>
      <c r="AP89" s="115">
        <f>AP88/AP76</f>
        <v>0.80433012291939565</v>
      </c>
      <c r="AQ89" s="115">
        <f t="shared" ref="AQ89:AX89" si="60">AQ88/AQ76</f>
        <v>0.8028491684724377</v>
      </c>
      <c r="AR89" s="115">
        <f t="shared" si="60"/>
        <v>0.80128277434584749</v>
      </c>
      <c r="AS89" s="115">
        <f t="shared" si="60"/>
        <v>0.79962601132733868</v>
      </c>
      <c r="AT89" s="115">
        <f t="shared" si="60"/>
        <v>0.79787366582699293</v>
      </c>
      <c r="AU89" s="115">
        <f t="shared" si="60"/>
        <v>0.79602022347085799</v>
      </c>
      <c r="AV89" s="115">
        <f t="shared" si="60"/>
        <v>0.79405985174802274</v>
      </c>
      <c r="AW89" s="115">
        <f t="shared" si="60"/>
        <v>0.79198638165656254</v>
      </c>
      <c r="AX89" s="115">
        <f t="shared" si="60"/>
        <v>0.78979328829059492</v>
      </c>
      <c r="AY89" s="115">
        <f>AY88/AY76</f>
        <v>0.78747367030736004</v>
      </c>
      <c r="AZ89" s="115">
        <f t="shared" ref="AZ89:BA89" si="61">AZ88/AZ76</f>
        <v>0.78502022820970763</v>
      </c>
      <c r="BA89" s="115">
        <f t="shared" si="61"/>
        <v>0.7824252413756525</v>
      </c>
      <c r="BB89" s="115"/>
      <c r="BC89" s="97" t="s">
        <v>142</v>
      </c>
      <c r="BD89" s="110">
        <f>BD88/BD76</f>
        <v>0.78028585274508844</v>
      </c>
      <c r="BE89" s="13"/>
      <c r="BF89" s="114"/>
    </row>
    <row r="90" spans="1:58" x14ac:dyDescent="0.2">
      <c r="B90" s="157"/>
      <c r="D90" s="50"/>
      <c r="E90" s="50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D90" s="50"/>
      <c r="BE90" s="13"/>
      <c r="BF90" s="4"/>
    </row>
    <row r="91" spans="1:58" x14ac:dyDescent="0.2">
      <c r="A91" s="107">
        <v>3.5000000000000003E-2</v>
      </c>
      <c r="B91" s="157"/>
      <c r="C91" s="10" t="s">
        <v>180</v>
      </c>
      <c r="D91" s="70">
        <v>0</v>
      </c>
      <c r="E91" s="70">
        <v>0</v>
      </c>
      <c r="F91" s="70">
        <f>-F76*$A$91</f>
        <v>-1.3628160000000005</v>
      </c>
      <c r="G91" s="70">
        <f t="shared" ref="G91:BA91" si="62">-G76*$A$91</f>
        <v>-2.8346572800000009</v>
      </c>
      <c r="H91" s="70">
        <f t="shared" si="62"/>
        <v>-4.4220653568000019</v>
      </c>
      <c r="I91" s="70">
        <f t="shared" si="62"/>
        <v>-5.5187375652864032</v>
      </c>
      <c r="J91" s="70">
        <f t="shared" si="62"/>
        <v>-5.7394870678978602</v>
      </c>
      <c r="K91" s="70">
        <f t="shared" si="62"/>
        <v>-5.9690665506137748</v>
      </c>
      <c r="L91" s="70">
        <f t="shared" si="62"/>
        <v>-6.2078292126383259</v>
      </c>
      <c r="M91" s="70">
        <f t="shared" si="62"/>
        <v>-6.4561423811438594</v>
      </c>
      <c r="N91" s="70">
        <f t="shared" si="62"/>
        <v>-6.7143880763896151</v>
      </c>
      <c r="O91" s="70">
        <f t="shared" si="62"/>
        <v>-6.9829635994452</v>
      </c>
      <c r="P91" s="70">
        <f t="shared" si="62"/>
        <v>-7.2622821434230076</v>
      </c>
      <c r="Q91" s="70">
        <f t="shared" si="62"/>
        <v>-7.5527734291599282</v>
      </c>
      <c r="R91" s="70">
        <f t="shared" si="62"/>
        <v>-7.854884366326325</v>
      </c>
      <c r="S91" s="70">
        <f t="shared" si="62"/>
        <v>-8.1690797409793792</v>
      </c>
      <c r="T91" s="70">
        <f t="shared" si="62"/>
        <v>-8.4958429306185543</v>
      </c>
      <c r="U91" s="70">
        <f t="shared" si="62"/>
        <v>-8.8356766478432966</v>
      </c>
      <c r="V91" s="70">
        <f t="shared" si="62"/>
        <v>-9.1891037137570297</v>
      </c>
      <c r="W91" s="70">
        <f t="shared" si="62"/>
        <v>-9.5566678623073109</v>
      </c>
      <c r="X91" s="70">
        <f t="shared" si="62"/>
        <v>-9.9389345767996033</v>
      </c>
      <c r="Y91" s="70">
        <f t="shared" si="62"/>
        <v>-10.336491959871587</v>
      </c>
      <c r="Z91" s="70">
        <f t="shared" si="62"/>
        <v>-10.749951638266451</v>
      </c>
      <c r="AA91" s="70">
        <f t="shared" si="62"/>
        <v>-11.17994970379711</v>
      </c>
      <c r="AB91" s="70">
        <f t="shared" si="62"/>
        <v>-11.627147691948995</v>
      </c>
      <c r="AC91" s="70">
        <f t="shared" si="62"/>
        <v>-12.092233599626955</v>
      </c>
      <c r="AD91" s="70">
        <f t="shared" si="62"/>
        <v>-12.575922943612035</v>
      </c>
      <c r="AE91" s="70">
        <f t="shared" si="62"/>
        <v>-13.078959861356518</v>
      </c>
      <c r="AF91" s="70">
        <f t="shared" si="62"/>
        <v>-13.602118255810778</v>
      </c>
      <c r="AG91" s="70">
        <f t="shared" si="62"/>
        <v>-14.14620298604321</v>
      </c>
      <c r="AH91" s="70">
        <f t="shared" si="62"/>
        <v>-14.712051105484937</v>
      </c>
      <c r="AI91" s="70">
        <f t="shared" si="62"/>
        <v>-15.300533149704338</v>
      </c>
      <c r="AJ91" s="70">
        <f t="shared" si="62"/>
        <v>-15.912554475692511</v>
      </c>
      <c r="AK91" s="70">
        <f t="shared" si="62"/>
        <v>-16.549056654720214</v>
      </c>
      <c r="AL91" s="70">
        <f t="shared" si="62"/>
        <v>-17.211018920909023</v>
      </c>
      <c r="AM91" s="70">
        <f t="shared" si="62"/>
        <v>-17.899459677745384</v>
      </c>
      <c r="AN91" s="70">
        <f t="shared" si="62"/>
        <v>-18.615438064855201</v>
      </c>
      <c r="AO91" s="70">
        <f t="shared" si="62"/>
        <v>-19.360055587449409</v>
      </c>
      <c r="AP91" s="70">
        <f t="shared" si="62"/>
        <v>-20.134457810947389</v>
      </c>
      <c r="AQ91" s="70">
        <f t="shared" si="62"/>
        <v>-20.939836123385287</v>
      </c>
      <c r="AR91" s="70">
        <f t="shared" si="62"/>
        <v>-21.777429568320699</v>
      </c>
      <c r="AS91" s="70">
        <f t="shared" si="62"/>
        <v>-22.648526751053527</v>
      </c>
      <c r="AT91" s="70">
        <f t="shared" si="62"/>
        <v>-23.554467821095667</v>
      </c>
      <c r="AU91" s="70">
        <f t="shared" si="62"/>
        <v>-24.496646533939494</v>
      </c>
      <c r="AV91" s="70">
        <f t="shared" si="62"/>
        <v>-25.476512395297075</v>
      </c>
      <c r="AW91" s="70">
        <f t="shared" si="62"/>
        <v>-26.495572891108957</v>
      </c>
      <c r="AX91" s="70">
        <f t="shared" si="62"/>
        <v>-27.555395806753317</v>
      </c>
      <c r="AY91" s="70">
        <f t="shared" si="62"/>
        <v>-28.65761163902345</v>
      </c>
      <c r="AZ91" s="70">
        <f t="shared" si="62"/>
        <v>-29.803916104584392</v>
      </c>
      <c r="BA91" s="70">
        <f t="shared" si="62"/>
        <v>-30.996072748767769</v>
      </c>
      <c r="BB91" s="70"/>
      <c r="BC91" s="10" t="s">
        <v>180</v>
      </c>
      <c r="BD91" s="12">
        <f t="shared" ref="BD91:BD93" si="63">SUM(D91:BB91)</f>
        <v>-676.54899097260113</v>
      </c>
      <c r="BE91" s="13"/>
      <c r="BF91" s="4"/>
    </row>
    <row r="92" spans="1:58" x14ac:dyDescent="0.2">
      <c r="B92" s="157"/>
      <c r="C92" s="10" t="s">
        <v>182</v>
      </c>
      <c r="D92" s="70">
        <f t="shared" ref="D92:E92" si="64">D30</f>
        <v>0</v>
      </c>
      <c r="E92" s="70">
        <f t="shared" si="64"/>
        <v>0</v>
      </c>
      <c r="F92" s="70">
        <f>F30</f>
        <v>-9.1620014800000007</v>
      </c>
      <c r="G92" s="70">
        <f t="shared" ref="G92:BA92" si="65">G30</f>
        <v>-9.7270936799999994</v>
      </c>
      <c r="H92" s="70">
        <f t="shared" si="65"/>
        <v>-10.327039529999999</v>
      </c>
      <c r="I92" s="70">
        <f t="shared" si="65"/>
        <v>-10.963988730000001</v>
      </c>
      <c r="J92" s="70">
        <f t="shared" si="65"/>
        <v>-11.64022357</v>
      </c>
      <c r="K92" s="70">
        <f t="shared" si="65"/>
        <v>-12.35816709</v>
      </c>
      <c r="L92" s="70">
        <f t="shared" si="65"/>
        <v>-13.120391789999999</v>
      </c>
      <c r="M92" s="70">
        <f t="shared" si="65"/>
        <v>-13.92962885</v>
      </c>
      <c r="N92" s="70">
        <f t="shared" si="65"/>
        <v>-14.788777880000001</v>
      </c>
      <c r="O92" s="70">
        <f t="shared" si="65"/>
        <v>-15.70091734</v>
      </c>
      <c r="P92" s="70">
        <f t="shared" si="65"/>
        <v>-16.669315560000001</v>
      </c>
      <c r="Q92" s="70">
        <f t="shared" si="65"/>
        <v>-17.697442469999999</v>
      </c>
      <c r="R92" s="70">
        <f t="shared" si="65"/>
        <v>-18.788982000000001</v>
      </c>
      <c r="S92" s="70">
        <f t="shared" si="65"/>
        <v>-19.94784529</v>
      </c>
      <c r="T92" s="70">
        <f t="shared" si="65"/>
        <v>-21.178184739999999</v>
      </c>
      <c r="U92" s="70">
        <f t="shared" si="65"/>
        <v>0</v>
      </c>
      <c r="V92" s="70">
        <f t="shared" si="65"/>
        <v>0</v>
      </c>
      <c r="W92" s="70">
        <f t="shared" si="65"/>
        <v>0</v>
      </c>
      <c r="X92" s="70">
        <f t="shared" si="65"/>
        <v>0</v>
      </c>
      <c r="Y92" s="70">
        <f t="shared" si="65"/>
        <v>0</v>
      </c>
      <c r="Z92" s="70">
        <f t="shared" si="65"/>
        <v>0</v>
      </c>
      <c r="AA92" s="70">
        <f t="shared" si="65"/>
        <v>0</v>
      </c>
      <c r="AB92" s="70">
        <f t="shared" si="65"/>
        <v>0</v>
      </c>
      <c r="AC92" s="70">
        <f t="shared" si="65"/>
        <v>0</v>
      </c>
      <c r="AD92" s="70">
        <f t="shared" si="65"/>
        <v>0</v>
      </c>
      <c r="AE92" s="70">
        <f t="shared" si="65"/>
        <v>0</v>
      </c>
      <c r="AF92" s="70">
        <f t="shared" si="65"/>
        <v>0</v>
      </c>
      <c r="AG92" s="70">
        <f t="shared" si="65"/>
        <v>0</v>
      </c>
      <c r="AH92" s="70">
        <f t="shared" si="65"/>
        <v>0</v>
      </c>
      <c r="AI92" s="70">
        <f t="shared" si="65"/>
        <v>0</v>
      </c>
      <c r="AJ92" s="70">
        <f t="shared" si="65"/>
        <v>0</v>
      </c>
      <c r="AK92" s="70">
        <f t="shared" si="65"/>
        <v>0</v>
      </c>
      <c r="AL92" s="70">
        <f t="shared" si="65"/>
        <v>0</v>
      </c>
      <c r="AM92" s="70">
        <f t="shared" si="65"/>
        <v>0</v>
      </c>
      <c r="AN92" s="70">
        <f t="shared" si="65"/>
        <v>0</v>
      </c>
      <c r="AO92" s="70">
        <f t="shared" si="65"/>
        <v>0</v>
      </c>
      <c r="AP92" s="70">
        <f t="shared" si="65"/>
        <v>0</v>
      </c>
      <c r="AQ92" s="70">
        <f t="shared" si="65"/>
        <v>0</v>
      </c>
      <c r="AR92" s="70">
        <f t="shared" si="65"/>
        <v>0</v>
      </c>
      <c r="AS92" s="70">
        <f t="shared" si="65"/>
        <v>0</v>
      </c>
      <c r="AT92" s="70">
        <f t="shared" si="65"/>
        <v>0</v>
      </c>
      <c r="AU92" s="70">
        <f t="shared" si="65"/>
        <v>0</v>
      </c>
      <c r="AV92" s="70">
        <f t="shared" si="65"/>
        <v>0</v>
      </c>
      <c r="AW92" s="70">
        <f t="shared" si="65"/>
        <v>0</v>
      </c>
      <c r="AX92" s="70">
        <f t="shared" si="65"/>
        <v>0</v>
      </c>
      <c r="AY92" s="70">
        <f t="shared" si="65"/>
        <v>0</v>
      </c>
      <c r="AZ92" s="70">
        <f t="shared" si="65"/>
        <v>0</v>
      </c>
      <c r="BA92" s="70">
        <f t="shared" si="65"/>
        <v>0</v>
      </c>
      <c r="BB92" s="70"/>
      <c r="BC92" s="10" t="s">
        <v>182</v>
      </c>
      <c r="BD92" s="12">
        <f t="shared" si="63"/>
        <v>-216</v>
      </c>
      <c r="BE92" s="13"/>
      <c r="BF92" s="4"/>
    </row>
    <row r="93" spans="1:58" x14ac:dyDescent="0.2">
      <c r="B93" s="157"/>
      <c r="C93" s="10" t="s">
        <v>183</v>
      </c>
      <c r="D93" s="95">
        <f t="shared" ref="D93:E93" si="66">D88+D91+D92</f>
        <v>-74.025659721666671</v>
      </c>
      <c r="E93" s="95">
        <f t="shared" si="66"/>
        <v>-156.99416464239999</v>
      </c>
      <c r="F93" s="95">
        <f>F88+F91+F92</f>
        <v>-2.3709903638999936</v>
      </c>
      <c r="G93" s="95">
        <f>G88+G91+G92</f>
        <v>30.869916684080014</v>
      </c>
      <c r="H93" s="95">
        <f t="shared" ref="H93:BA93" si="67">H88+H91+H92</f>
        <v>66.665848480418788</v>
      </c>
      <c r="I93" s="95">
        <f t="shared" si="67"/>
        <v>91.502289699956563</v>
      </c>
      <c r="J93" s="95">
        <f t="shared" si="67"/>
        <v>96.439902702640822</v>
      </c>
      <c r="K93" s="95">
        <f t="shared" si="67"/>
        <v>101.63536441812083</v>
      </c>
      <c r="L93" s="95">
        <f t="shared" si="67"/>
        <v>106.96973844013371</v>
      </c>
      <c r="M93" s="95">
        <f t="shared" si="67"/>
        <v>112.51705143753632</v>
      </c>
      <c r="N93" s="95">
        <f t="shared" si="67"/>
        <v>118.28580008759573</v>
      </c>
      <c r="O93" s="95">
        <f t="shared" si="67"/>
        <v>124.28481993649687</v>
      </c>
      <c r="P93" s="95">
        <f t="shared" si="67"/>
        <v>130.52329887179727</v>
      </c>
      <c r="Q93" s="95">
        <f t="shared" si="67"/>
        <v>137.01079118440626</v>
      </c>
      <c r="R93" s="95">
        <f t="shared" si="67"/>
        <v>143.79351373267349</v>
      </c>
      <c r="S93" s="95">
        <f t="shared" si="67"/>
        <v>154.11446891685685</v>
      </c>
      <c r="T93" s="95">
        <f t="shared" si="67"/>
        <v>168.26451221632934</v>
      </c>
      <c r="U93" s="95">
        <f t="shared" si="67"/>
        <v>197.76770155091336</v>
      </c>
      <c r="V93" s="95">
        <f t="shared" si="67"/>
        <v>205.70357197065189</v>
      </c>
      <c r="W93" s="95">
        <f t="shared" si="67"/>
        <v>213.95710085372028</v>
      </c>
      <c r="X93" s="95">
        <f t="shared" si="67"/>
        <v>222.54098398639701</v>
      </c>
      <c r="Y93" s="95">
        <f t="shared" si="67"/>
        <v>231.46842402251019</v>
      </c>
      <c r="Z93" s="95">
        <f t="shared" si="67"/>
        <v>240.75315066171379</v>
      </c>
      <c r="AA93" s="95">
        <f t="shared" si="67"/>
        <v>250.40944170077185</v>
      </c>
      <c r="AB93" s="95">
        <f t="shared" si="67"/>
        <v>260.2137115602456</v>
      </c>
      <c r="AC93" s="95">
        <f t="shared" si="67"/>
        <v>270.38894143324251</v>
      </c>
      <c r="AD93" s="95">
        <f t="shared" si="67"/>
        <v>280.94784864221805</v>
      </c>
      <c r="AE93" s="95">
        <f t="shared" si="67"/>
        <v>291.90344709471725</v>
      </c>
      <c r="AF93" s="95">
        <f t="shared" si="67"/>
        <v>303.2690379359974</v>
      </c>
      <c r="AG93" s="95">
        <f t="shared" si="67"/>
        <v>315.05819770667784</v>
      </c>
      <c r="AH93" s="95">
        <f t="shared" si="67"/>
        <v>327.28476369350955</v>
      </c>
      <c r="AI93" s="95">
        <f t="shared" si="67"/>
        <v>339.96281612767115</v>
      </c>
      <c r="AJ93" s="95">
        <f t="shared" si="67"/>
        <v>353.10665684784118</v>
      </c>
      <c r="AK93" s="95">
        <f t="shared" si="67"/>
        <v>366.73078400432439</v>
      </c>
      <c r="AL93" s="95">
        <f t="shared" si="67"/>
        <v>380.84986233532396</v>
      </c>
      <c r="AM93" s="95">
        <f t="shared" si="67"/>
        <v>395.47868849664604</v>
      </c>
      <c r="AN93" s="95">
        <f t="shared" si="67"/>
        <v>410.63215087121199</v>
      </c>
      <c r="AO93" s="95">
        <f t="shared" si="67"/>
        <v>426.3251832242305</v>
      </c>
      <c r="AP93" s="95">
        <f t="shared" si="67"/>
        <v>442.57271150318684</v>
      </c>
      <c r="AQ93" s="95">
        <f t="shared" si="67"/>
        <v>459.38959300830015</v>
      </c>
      <c r="AR93" s="95">
        <f t="shared" si="67"/>
        <v>476.79054707811645</v>
      </c>
      <c r="AS93" s="95">
        <f t="shared" si="67"/>
        <v>494.79007634567392</v>
      </c>
      <c r="AT93" s="95">
        <f t="shared" si="67"/>
        <v>513.40237752237704</v>
      </c>
      <c r="AU93" s="95">
        <f t="shared" si="67"/>
        <v>532.6412405584357</v>
      </c>
      <c r="AV93" s="95">
        <f t="shared" si="67"/>
        <v>552.51993490945313</v>
      </c>
      <c r="AW93" s="95">
        <f t="shared" si="67"/>
        <v>573.05108150737931</v>
      </c>
      <c r="AX93" s="95">
        <f t="shared" si="67"/>
        <v>594.24650888937731</v>
      </c>
      <c r="AY93" s="95">
        <f t="shared" si="67"/>
        <v>616.11709177882551</v>
      </c>
      <c r="AZ93" s="95">
        <f t="shared" si="67"/>
        <v>638.67257023723903</v>
      </c>
      <c r="BA93" s="95">
        <f t="shared" si="67"/>
        <v>661.92134731271517</v>
      </c>
      <c r="BB93" s="95"/>
      <c r="BC93" s="10" t="s">
        <v>183</v>
      </c>
      <c r="BD93" s="120">
        <f t="shared" si="63"/>
        <v>14190.354047452693</v>
      </c>
      <c r="BE93" s="13"/>
      <c r="BF93" s="4"/>
    </row>
    <row r="94" spans="1:58" s="113" customFormat="1" x14ac:dyDescent="0.2">
      <c r="A94" s="109"/>
      <c r="B94" s="157"/>
      <c r="C94" s="97" t="s">
        <v>186</v>
      </c>
      <c r="D94" s="110">
        <v>0</v>
      </c>
      <c r="E94" s="110">
        <v>0</v>
      </c>
      <c r="F94" s="115">
        <f t="shared" ref="F94:Q94" si="68">F93/F76</f>
        <v>-6.0892051998582164E-2</v>
      </c>
      <c r="G94" s="115">
        <f t="shared" si="68"/>
        <v>0.38115616006418956</v>
      </c>
      <c r="H94" s="115">
        <f t="shared" si="68"/>
        <v>0.52765043221865415</v>
      </c>
      <c r="I94" s="115">
        <f t="shared" si="68"/>
        <v>0.58031027959059633</v>
      </c>
      <c r="J94" s="115">
        <f t="shared" si="68"/>
        <v>0.5881007404776154</v>
      </c>
      <c r="K94" s="115">
        <f t="shared" si="68"/>
        <v>0.59594540025164455</v>
      </c>
      <c r="L94" s="115">
        <f t="shared" si="68"/>
        <v>0.60309984652646498</v>
      </c>
      <c r="M94" s="115">
        <f t="shared" si="68"/>
        <v>0.60997675822881159</v>
      </c>
      <c r="N94" s="115">
        <f t="shared" si="68"/>
        <v>0.61658679182153653</v>
      </c>
      <c r="O94" s="115">
        <f t="shared" si="68"/>
        <v>0.62294019377718046</v>
      </c>
      <c r="P94" s="115">
        <f t="shared" si="68"/>
        <v>0.62904681617887026</v>
      </c>
      <c r="Q94" s="115">
        <f t="shared" si="68"/>
        <v>0.63491613199200581</v>
      </c>
      <c r="R94" s="115">
        <f t="shared" ref="R94:BA94" si="69">R93/R76</f>
        <v>0.64071891398158998</v>
      </c>
      <c r="S94" s="115">
        <f t="shared" si="69"/>
        <v>0.66029547796326338</v>
      </c>
      <c r="T94" s="115">
        <f t="shared" si="69"/>
        <v>0.69319289159018727</v>
      </c>
      <c r="U94" s="115">
        <f t="shared" si="69"/>
        <v>0.78340005300799798</v>
      </c>
      <c r="V94" s="115">
        <f t="shared" si="69"/>
        <v>0.78349589287954613</v>
      </c>
      <c r="W94" s="115">
        <f t="shared" si="69"/>
        <v>0.78358886567731234</v>
      </c>
      <c r="X94" s="115">
        <f t="shared" si="69"/>
        <v>0.78367901301066611</v>
      </c>
      <c r="Y94" s="115">
        <f t="shared" si="69"/>
        <v>0.7837663756948835</v>
      </c>
      <c r="Z94" s="115">
        <f t="shared" si="69"/>
        <v>0.78385099363282607</v>
      </c>
      <c r="AA94" s="115">
        <f t="shared" si="69"/>
        <v>0.78393290593698617</v>
      </c>
      <c r="AB94" s="115">
        <f t="shared" si="69"/>
        <v>0.78329441974104319</v>
      </c>
      <c r="AC94" s="115">
        <f t="shared" si="69"/>
        <v>0.7826190978030263</v>
      </c>
      <c r="AD94" s="115">
        <f t="shared" si="69"/>
        <v>0.78190481498397013</v>
      </c>
      <c r="AE94" s="115">
        <f t="shared" si="69"/>
        <v>0.78114932354073774</v>
      </c>
      <c r="AF94" s="115">
        <f t="shared" si="69"/>
        <v>0.78035024605270342</v>
      </c>
      <c r="AG94" s="115">
        <f t="shared" si="69"/>
        <v>0.77950506794035934</v>
      </c>
      <c r="AH94" s="115">
        <f t="shared" si="69"/>
        <v>0.77861112955230305</v>
      </c>
      <c r="AI94" s="115">
        <f t="shared" si="69"/>
        <v>0.7776656177957052</v>
      </c>
      <c r="AJ94" s="115">
        <f t="shared" si="69"/>
        <v>0.77666555728391895</v>
      </c>
      <c r="AK94" s="115">
        <f t="shared" si="69"/>
        <v>0.77560780097337578</v>
      </c>
      <c r="AL94" s="115">
        <f t="shared" si="69"/>
        <v>0.77448902026030142</v>
      </c>
      <c r="AM94" s="115">
        <f t="shared" si="69"/>
        <v>0.77330569450608799</v>
      </c>
      <c r="AN94" s="115">
        <f t="shared" si="69"/>
        <v>0.77205409995836227</v>
      </c>
      <c r="AO94" s="115">
        <f t="shared" si="69"/>
        <v>0.77073029803288318</v>
      </c>
      <c r="AP94" s="115">
        <f t="shared" si="69"/>
        <v>0.76933012291939573</v>
      </c>
      <c r="AQ94" s="115">
        <f t="shared" si="69"/>
        <v>0.76784916847243767</v>
      </c>
      <c r="AR94" s="115">
        <f t="shared" si="69"/>
        <v>0.76628277434584746</v>
      </c>
      <c r="AS94" s="115">
        <f t="shared" si="69"/>
        <v>0.76462601132733876</v>
      </c>
      <c r="AT94" s="115">
        <f t="shared" si="69"/>
        <v>0.76287366582699301</v>
      </c>
      <c r="AU94" s="115">
        <f t="shared" si="69"/>
        <v>0.76102022347085796</v>
      </c>
      <c r="AV94" s="115">
        <f t="shared" si="69"/>
        <v>0.75905985174802271</v>
      </c>
      <c r="AW94" s="115">
        <f t="shared" si="69"/>
        <v>0.75698638165656251</v>
      </c>
      <c r="AX94" s="115">
        <f t="shared" si="69"/>
        <v>0.754793288290595</v>
      </c>
      <c r="AY94" s="115">
        <f t="shared" si="69"/>
        <v>0.75247367030736001</v>
      </c>
      <c r="AZ94" s="115">
        <f t="shared" si="69"/>
        <v>0.75002022820970771</v>
      </c>
      <c r="BA94" s="115">
        <f t="shared" si="69"/>
        <v>0.74742524137565247</v>
      </c>
      <c r="BB94" s="115"/>
      <c r="BC94" s="97" t="s">
        <v>186</v>
      </c>
      <c r="BD94" s="110">
        <f>BD93/BD76</f>
        <v>0.73411149567579226</v>
      </c>
      <c r="BE94" s="13"/>
      <c r="BF94" s="114"/>
    </row>
    <row r="95" spans="1:58" x14ac:dyDescent="0.2">
      <c r="B95" s="157"/>
      <c r="BF95" s="4"/>
    </row>
    <row r="96" spans="1:58" x14ac:dyDescent="0.2">
      <c r="B96" s="157"/>
      <c r="C96" s="10" t="s">
        <v>184</v>
      </c>
      <c r="D96" s="57">
        <f t="shared" ref="D96:E96" si="70">D93-D87</f>
        <v>-70.758993055000005</v>
      </c>
      <c r="E96" s="57">
        <f t="shared" si="70"/>
        <v>-146.91416464240001</v>
      </c>
      <c r="F96" s="57">
        <f>F93-F87</f>
        <v>7.7090096361000047</v>
      </c>
      <c r="G96" s="57">
        <f t="shared" ref="G96:BA96" si="71">G93-G87</f>
        <v>40.949916684080009</v>
      </c>
      <c r="H96" s="57">
        <f t="shared" si="71"/>
        <v>76.745848480418786</v>
      </c>
      <c r="I96" s="57">
        <f t="shared" si="71"/>
        <v>101.58228969995656</v>
      </c>
      <c r="J96" s="57">
        <f t="shared" si="71"/>
        <v>106.51990270264082</v>
      </c>
      <c r="K96" s="57">
        <f t="shared" si="71"/>
        <v>111.71536441812083</v>
      </c>
      <c r="L96" s="57">
        <f t="shared" si="71"/>
        <v>117.04973844013371</v>
      </c>
      <c r="M96" s="57">
        <f t="shared" si="71"/>
        <v>122.59705143753632</v>
      </c>
      <c r="N96" s="57">
        <f t="shared" si="71"/>
        <v>128.36580008759574</v>
      </c>
      <c r="O96" s="57">
        <f t="shared" si="71"/>
        <v>134.36481993649687</v>
      </c>
      <c r="P96" s="57">
        <f t="shared" si="71"/>
        <v>140.60329887179728</v>
      </c>
      <c r="Q96" s="57">
        <f t="shared" si="71"/>
        <v>147.09079118440627</v>
      </c>
      <c r="R96" s="57">
        <f t="shared" si="71"/>
        <v>153.87351373267347</v>
      </c>
      <c r="S96" s="57">
        <f t="shared" si="71"/>
        <v>160.92780225019018</v>
      </c>
      <c r="T96" s="57">
        <f t="shared" si="71"/>
        <v>168.26451221632934</v>
      </c>
      <c r="U96" s="57">
        <f t="shared" si="71"/>
        <v>197.76770155091336</v>
      </c>
      <c r="V96" s="57">
        <f t="shared" si="71"/>
        <v>205.70357197065189</v>
      </c>
      <c r="W96" s="57">
        <f t="shared" si="71"/>
        <v>213.95710085372028</v>
      </c>
      <c r="X96" s="57">
        <f t="shared" si="71"/>
        <v>222.54098398639701</v>
      </c>
      <c r="Y96" s="57">
        <f t="shared" si="71"/>
        <v>231.46842402251019</v>
      </c>
      <c r="Z96" s="57">
        <f t="shared" si="71"/>
        <v>240.75315066171379</v>
      </c>
      <c r="AA96" s="57">
        <f t="shared" si="71"/>
        <v>250.40944170077185</v>
      </c>
      <c r="AB96" s="57">
        <f t="shared" si="71"/>
        <v>260.2137115602456</v>
      </c>
      <c r="AC96" s="57">
        <f t="shared" si="71"/>
        <v>270.38894143324251</v>
      </c>
      <c r="AD96" s="57">
        <f t="shared" si="71"/>
        <v>280.94784864221805</v>
      </c>
      <c r="AE96" s="57">
        <f t="shared" si="71"/>
        <v>291.90344709471725</v>
      </c>
      <c r="AF96" s="57">
        <f t="shared" si="71"/>
        <v>303.2690379359974</v>
      </c>
      <c r="AG96" s="57">
        <f t="shared" si="71"/>
        <v>315.05819770667784</v>
      </c>
      <c r="AH96" s="57">
        <f t="shared" si="71"/>
        <v>327.28476369350955</v>
      </c>
      <c r="AI96" s="57">
        <f t="shared" si="71"/>
        <v>339.96281612767115</v>
      </c>
      <c r="AJ96" s="57">
        <f t="shared" si="71"/>
        <v>353.10665684784118</v>
      </c>
      <c r="AK96" s="57">
        <f t="shared" si="71"/>
        <v>366.73078400432439</v>
      </c>
      <c r="AL96" s="57">
        <f t="shared" si="71"/>
        <v>380.84986233532396</v>
      </c>
      <c r="AM96" s="57">
        <f t="shared" si="71"/>
        <v>395.47868849664604</v>
      </c>
      <c r="AN96" s="57">
        <f t="shared" si="71"/>
        <v>410.63215087121199</v>
      </c>
      <c r="AO96" s="57">
        <f t="shared" si="71"/>
        <v>426.3251832242305</v>
      </c>
      <c r="AP96" s="57">
        <f t="shared" si="71"/>
        <v>442.57271150318684</v>
      </c>
      <c r="AQ96" s="57">
        <f t="shared" si="71"/>
        <v>459.38959300830015</v>
      </c>
      <c r="AR96" s="57">
        <f t="shared" si="71"/>
        <v>476.79054707811645</v>
      </c>
      <c r="AS96" s="57">
        <f t="shared" si="71"/>
        <v>494.79007634567392</v>
      </c>
      <c r="AT96" s="57">
        <f t="shared" si="71"/>
        <v>513.40237752237704</v>
      </c>
      <c r="AU96" s="57">
        <f t="shared" si="71"/>
        <v>532.6412405584357</v>
      </c>
      <c r="AV96" s="57">
        <f t="shared" si="71"/>
        <v>552.51993490945313</v>
      </c>
      <c r="AW96" s="57">
        <f t="shared" si="71"/>
        <v>573.05108150737931</v>
      </c>
      <c r="AX96" s="57">
        <f t="shared" si="71"/>
        <v>594.24650888937731</v>
      </c>
      <c r="AY96" s="57">
        <f t="shared" si="71"/>
        <v>616.11709177882551</v>
      </c>
      <c r="AZ96" s="57">
        <f t="shared" si="71"/>
        <v>638.67257023723903</v>
      </c>
      <c r="BA96" s="57">
        <f t="shared" si="71"/>
        <v>661.92134731271517</v>
      </c>
      <c r="BB96" s="57"/>
      <c r="BC96" s="10" t="s">
        <v>184</v>
      </c>
      <c r="BD96" s="14">
        <f t="shared" ref="BD96" si="72">SUM(D96:BB96)</f>
        <v>14341.554047452692</v>
      </c>
      <c r="BF96" s="4"/>
    </row>
    <row r="97" spans="1:58" s="113" customFormat="1" x14ac:dyDescent="0.2">
      <c r="A97" s="109"/>
      <c r="B97" s="157"/>
      <c r="C97" s="97" t="s">
        <v>187</v>
      </c>
      <c r="D97" s="110">
        <v>0</v>
      </c>
      <c r="E97" s="110">
        <v>0</v>
      </c>
      <c r="F97" s="110">
        <f>F96/F76</f>
        <v>0.19798368764638813</v>
      </c>
      <c r="G97" s="110">
        <f t="shared" ref="G97:BA97" si="73">G96/G76</f>
        <v>0.5056156502781175</v>
      </c>
      <c r="H97" s="110">
        <f t="shared" si="73"/>
        <v>0.60743215671476181</v>
      </c>
      <c r="I97" s="110">
        <f t="shared" si="73"/>
        <v>0.64423794344965701</v>
      </c>
      <c r="J97" s="110">
        <f t="shared" si="73"/>
        <v>0.64956964803440453</v>
      </c>
      <c r="K97" s="110">
        <f t="shared" si="73"/>
        <v>0.65505011905624944</v>
      </c>
      <c r="L97" s="110">
        <f t="shared" si="73"/>
        <v>0.65993130691550805</v>
      </c>
      <c r="M97" s="110">
        <f t="shared" si="73"/>
        <v>0.6646223932182761</v>
      </c>
      <c r="N97" s="110">
        <f t="shared" si="73"/>
        <v>0.66913067161909867</v>
      </c>
      <c r="O97" s="110">
        <f t="shared" si="73"/>
        <v>0.6734631551209902</v>
      </c>
      <c r="P97" s="110">
        <f t="shared" si="73"/>
        <v>0.67762658670176434</v>
      </c>
      <c r="Q97" s="110">
        <f t="shared" si="73"/>
        <v>0.6816274498024808</v>
      </c>
      <c r="R97" s="110">
        <f t="shared" si="73"/>
        <v>0.68563364264550808</v>
      </c>
      <c r="S97" s="110">
        <f t="shared" si="73"/>
        <v>0.68948685254006203</v>
      </c>
      <c r="T97" s="110">
        <f t="shared" si="73"/>
        <v>0.69319289159018727</v>
      </c>
      <c r="U97" s="110">
        <f t="shared" si="73"/>
        <v>0.78340005300799798</v>
      </c>
      <c r="V97" s="110">
        <f t="shared" si="73"/>
        <v>0.78349589287954613</v>
      </c>
      <c r="W97" s="110">
        <f t="shared" si="73"/>
        <v>0.78358886567731234</v>
      </c>
      <c r="X97" s="110">
        <f t="shared" si="73"/>
        <v>0.78367901301066611</v>
      </c>
      <c r="Y97" s="110">
        <f t="shared" si="73"/>
        <v>0.7837663756948835</v>
      </c>
      <c r="Z97" s="110">
        <f t="shared" si="73"/>
        <v>0.78385099363282607</v>
      </c>
      <c r="AA97" s="110">
        <f t="shared" si="73"/>
        <v>0.78393290593698617</v>
      </c>
      <c r="AB97" s="110">
        <f t="shared" si="73"/>
        <v>0.78329441974104319</v>
      </c>
      <c r="AC97" s="110">
        <f t="shared" si="73"/>
        <v>0.7826190978030263</v>
      </c>
      <c r="AD97" s="110">
        <f t="shared" si="73"/>
        <v>0.78190481498397013</v>
      </c>
      <c r="AE97" s="110">
        <f t="shared" si="73"/>
        <v>0.78114932354073774</v>
      </c>
      <c r="AF97" s="110">
        <f t="shared" si="73"/>
        <v>0.78035024605270342</v>
      </c>
      <c r="AG97" s="110">
        <f t="shared" si="73"/>
        <v>0.77950506794035934</v>
      </c>
      <c r="AH97" s="110">
        <f t="shared" si="73"/>
        <v>0.77861112955230305</v>
      </c>
      <c r="AI97" s="110">
        <f t="shared" si="73"/>
        <v>0.7776656177957052</v>
      </c>
      <c r="AJ97" s="110">
        <f t="shared" si="73"/>
        <v>0.77666555728391895</v>
      </c>
      <c r="AK97" s="110">
        <f t="shared" si="73"/>
        <v>0.77560780097337578</v>
      </c>
      <c r="AL97" s="110">
        <f t="shared" si="73"/>
        <v>0.77448902026030142</v>
      </c>
      <c r="AM97" s="110">
        <f t="shared" si="73"/>
        <v>0.77330569450608799</v>
      </c>
      <c r="AN97" s="110">
        <f t="shared" si="73"/>
        <v>0.77205409995836227</v>
      </c>
      <c r="AO97" s="110">
        <f t="shared" si="73"/>
        <v>0.77073029803288318</v>
      </c>
      <c r="AP97" s="110">
        <f t="shared" si="73"/>
        <v>0.76933012291939573</v>
      </c>
      <c r="AQ97" s="110">
        <f t="shared" si="73"/>
        <v>0.76784916847243767</v>
      </c>
      <c r="AR97" s="110">
        <f t="shared" si="73"/>
        <v>0.76628277434584746</v>
      </c>
      <c r="AS97" s="110">
        <f t="shared" si="73"/>
        <v>0.76462601132733876</v>
      </c>
      <c r="AT97" s="110">
        <f t="shared" si="73"/>
        <v>0.76287366582699301</v>
      </c>
      <c r="AU97" s="110">
        <f t="shared" si="73"/>
        <v>0.76102022347085796</v>
      </c>
      <c r="AV97" s="110">
        <f t="shared" si="73"/>
        <v>0.75905985174802271</v>
      </c>
      <c r="AW97" s="110">
        <f t="shared" si="73"/>
        <v>0.75698638165656251</v>
      </c>
      <c r="AX97" s="110">
        <f t="shared" si="73"/>
        <v>0.754793288290595</v>
      </c>
      <c r="AY97" s="110">
        <f t="shared" si="73"/>
        <v>0.75247367030736001</v>
      </c>
      <c r="AZ97" s="110">
        <f t="shared" si="73"/>
        <v>0.75002022820970771</v>
      </c>
      <c r="BA97" s="110">
        <f t="shared" si="73"/>
        <v>0.74742524137565247</v>
      </c>
      <c r="BB97" s="110"/>
      <c r="BC97" s="97" t="s">
        <v>187</v>
      </c>
      <c r="BD97" s="110">
        <f>BD96/BD76</f>
        <v>0.74193354562429958</v>
      </c>
      <c r="BF97" s="114"/>
    </row>
    <row r="98" spans="1:58" x14ac:dyDescent="0.2">
      <c r="B98" s="157"/>
      <c r="BF98" s="4"/>
    </row>
    <row r="99" spans="1:58" x14ac:dyDescent="0.2">
      <c r="B99" s="157"/>
      <c r="C99" s="10" t="s">
        <v>61</v>
      </c>
      <c r="D99" s="87">
        <f>35154883.5456/1000000</f>
        <v>35.154883545599994</v>
      </c>
      <c r="E99" s="87">
        <f>D99*1.04</f>
        <v>36.561078887423996</v>
      </c>
      <c r="F99" s="87">
        <f t="shared" ref="F99:BA99" si="74">E99*1.04</f>
        <v>38.023522042920959</v>
      </c>
      <c r="G99" s="87">
        <f t="shared" si="74"/>
        <v>39.544462924637799</v>
      </c>
      <c r="H99" s="87">
        <f t="shared" si="74"/>
        <v>41.126241441623314</v>
      </c>
      <c r="I99" s="87">
        <f t="shared" si="74"/>
        <v>42.771291099288248</v>
      </c>
      <c r="J99" s="87">
        <f t="shared" si="74"/>
        <v>44.482142743259779</v>
      </c>
      <c r="K99" s="87">
        <f t="shared" si="74"/>
        <v>46.261428452990174</v>
      </c>
      <c r="L99" s="87">
        <f t="shared" si="74"/>
        <v>48.111885591109782</v>
      </c>
      <c r="M99" s="87">
        <f t="shared" si="74"/>
        <v>50.036361014754178</v>
      </c>
      <c r="N99" s="87">
        <f t="shared" si="74"/>
        <v>52.037815455344344</v>
      </c>
      <c r="O99" s="87">
        <f t="shared" si="74"/>
        <v>54.119328073558123</v>
      </c>
      <c r="P99" s="87">
        <f t="shared" si="74"/>
        <v>56.284101196500451</v>
      </c>
      <c r="Q99" s="87">
        <f t="shared" si="74"/>
        <v>58.535465244360473</v>
      </c>
      <c r="R99" s="87">
        <f t="shared" si="74"/>
        <v>60.876883854134896</v>
      </c>
      <c r="S99" s="87">
        <f t="shared" si="74"/>
        <v>63.311959208300294</v>
      </c>
      <c r="T99" s="87">
        <f t="shared" si="74"/>
        <v>65.844437576632302</v>
      </c>
      <c r="U99" s="87">
        <f t="shared" si="74"/>
        <v>68.478215079697591</v>
      </c>
      <c r="V99" s="87">
        <f t="shared" si="74"/>
        <v>71.217343682885499</v>
      </c>
      <c r="W99" s="87">
        <f t="shared" si="74"/>
        <v>74.066037430200922</v>
      </c>
      <c r="X99" s="87">
        <f t="shared" si="74"/>
        <v>77.028678927408961</v>
      </c>
      <c r="Y99" s="87">
        <f t="shared" si="74"/>
        <v>80.109826084505329</v>
      </c>
      <c r="Z99" s="87">
        <f t="shared" si="74"/>
        <v>83.314219127885551</v>
      </c>
      <c r="AA99" s="87">
        <f t="shared" si="74"/>
        <v>86.646787893000976</v>
      </c>
      <c r="AB99" s="87">
        <f t="shared" si="74"/>
        <v>90.112659408721015</v>
      </c>
      <c r="AC99" s="87">
        <f t="shared" si="74"/>
        <v>93.717165785069852</v>
      </c>
      <c r="AD99" s="87">
        <f t="shared" si="74"/>
        <v>97.465852416472643</v>
      </c>
      <c r="AE99" s="87">
        <f t="shared" si="74"/>
        <v>101.36448651313155</v>
      </c>
      <c r="AF99" s="87">
        <f t="shared" si="74"/>
        <v>105.41906597365681</v>
      </c>
      <c r="AG99" s="87">
        <f t="shared" si="74"/>
        <v>109.63582861260309</v>
      </c>
      <c r="AH99" s="87">
        <f t="shared" si="74"/>
        <v>114.02126175710723</v>
      </c>
      <c r="AI99" s="87">
        <f t="shared" si="74"/>
        <v>118.58211222739152</v>
      </c>
      <c r="AJ99" s="87">
        <f t="shared" si="74"/>
        <v>123.32539671648719</v>
      </c>
      <c r="AK99" s="87">
        <f t="shared" si="74"/>
        <v>128.25841258514669</v>
      </c>
      <c r="AL99" s="87">
        <f t="shared" si="74"/>
        <v>133.38874908855257</v>
      </c>
      <c r="AM99" s="87">
        <f t="shared" si="74"/>
        <v>138.72429905209469</v>
      </c>
      <c r="AN99" s="87">
        <f t="shared" si="74"/>
        <v>144.27327101417848</v>
      </c>
      <c r="AO99" s="87">
        <f t="shared" si="74"/>
        <v>150.04420185474561</v>
      </c>
      <c r="AP99" s="87">
        <f t="shared" si="74"/>
        <v>156.04596992893545</v>
      </c>
      <c r="AQ99" s="87">
        <f t="shared" si="74"/>
        <v>162.28780872609286</v>
      </c>
      <c r="AR99" s="87">
        <f t="shared" si="74"/>
        <v>168.77932107513658</v>
      </c>
      <c r="AS99" s="87">
        <f t="shared" si="74"/>
        <v>175.53049391814204</v>
      </c>
      <c r="AT99" s="87">
        <f t="shared" si="74"/>
        <v>182.55171367486773</v>
      </c>
      <c r="AU99" s="87">
        <f t="shared" si="74"/>
        <v>189.85378222186245</v>
      </c>
      <c r="AV99" s="87">
        <f t="shared" si="74"/>
        <v>197.44793351073696</v>
      </c>
      <c r="AW99" s="87">
        <f t="shared" si="74"/>
        <v>205.34585085116643</v>
      </c>
      <c r="AX99" s="87">
        <f t="shared" si="74"/>
        <v>213.5596848852131</v>
      </c>
      <c r="AY99" s="87">
        <f t="shared" si="74"/>
        <v>222.10207228062163</v>
      </c>
      <c r="AZ99" s="87">
        <f t="shared" si="74"/>
        <v>230.98615517184649</v>
      </c>
      <c r="BA99" s="87">
        <f t="shared" si="74"/>
        <v>240.22560137872037</v>
      </c>
      <c r="BB99" s="87"/>
      <c r="BC99" s="10" t="s">
        <v>61</v>
      </c>
      <c r="BD99" s="121">
        <f t="shared" ref="BD99" si="75">SUM(D99:BB99)</f>
        <v>5366.9935472067245</v>
      </c>
      <c r="BF99" s="4"/>
    </row>
    <row r="100" spans="1:58" s="113" customFormat="1" x14ac:dyDescent="0.2">
      <c r="A100" s="109"/>
      <c r="B100" s="157"/>
      <c r="C100" s="97" t="s">
        <v>205</v>
      </c>
      <c r="D100" s="110">
        <v>0</v>
      </c>
      <c r="E100" s="110">
        <v>0</v>
      </c>
      <c r="F100" s="110">
        <f>F75/F99</f>
        <v>0.18935647234026978</v>
      </c>
      <c r="G100" s="110">
        <f t="shared" ref="G100:Q100" si="76">G75/G99</f>
        <v>0.3641470621928265</v>
      </c>
      <c r="H100" s="110">
        <f t="shared" si="76"/>
        <v>0.52521210893196124</v>
      </c>
      <c r="I100" s="110">
        <f t="shared" si="76"/>
        <v>0.60601397184457073</v>
      </c>
      <c r="J100" s="110">
        <f t="shared" si="76"/>
        <v>0.582705742158241</v>
      </c>
      <c r="K100" s="110">
        <f t="shared" si="76"/>
        <v>0.56029398284446252</v>
      </c>
      <c r="L100" s="110">
        <f t="shared" si="76"/>
        <v>0.53874421427352159</v>
      </c>
      <c r="M100" s="110">
        <f t="shared" si="76"/>
        <v>0.51802328295530919</v>
      </c>
      <c r="N100" s="110">
        <f t="shared" si="76"/>
        <v>0.49809931053395118</v>
      </c>
      <c r="O100" s="110">
        <f t="shared" si="76"/>
        <v>0.47894164474418377</v>
      </c>
      <c r="P100" s="110">
        <f t="shared" si="76"/>
        <v>0.4605208122540228</v>
      </c>
      <c r="Q100" s="110">
        <f t="shared" si="76"/>
        <v>0.44280847332117573</v>
      </c>
      <c r="R100" s="110">
        <f>R75/R99</f>
        <v>0.42577737819343819</v>
      </c>
      <c r="S100" s="110">
        <f t="shared" ref="S100:BA100" si="77">S75/S99</f>
        <v>0.40940132518599825</v>
      </c>
      <c r="T100" s="110">
        <f t="shared" si="77"/>
        <v>0.39365512037115219</v>
      </c>
      <c r="U100" s="110">
        <f t="shared" si="77"/>
        <v>0.37851453881841557</v>
      </c>
      <c r="V100" s="110">
        <f t="shared" si="77"/>
        <v>0.36395628732539959</v>
      </c>
      <c r="W100" s="110">
        <f t="shared" si="77"/>
        <v>0.34995796858211498</v>
      </c>
      <c r="X100" s="110">
        <f t="shared" si="77"/>
        <v>0.33649804671357209</v>
      </c>
      <c r="Y100" s="110">
        <f t="shared" si="77"/>
        <v>0.32355581414766543</v>
      </c>
      <c r="Z100" s="110">
        <f t="shared" si="77"/>
        <v>0.31111135975737059</v>
      </c>
      <c r="AA100" s="110">
        <f t="shared" si="77"/>
        <v>0.29914553822824091</v>
      </c>
      <c r="AB100" s="110">
        <f t="shared" si="77"/>
        <v>0.28763994060407783</v>
      </c>
      <c r="AC100" s="110">
        <f t="shared" si="77"/>
        <v>0.27657686596545944</v>
      </c>
      <c r="AD100" s="110">
        <f t="shared" si="77"/>
        <v>0.26593929419755713</v>
      </c>
      <c r="AE100" s="110">
        <f t="shared" si="77"/>
        <v>0.25571085980534342</v>
      </c>
      <c r="AF100" s="110">
        <f t="shared" si="77"/>
        <v>0.24587582673590713</v>
      </c>
      <c r="AG100" s="110">
        <f t="shared" si="77"/>
        <v>0.23641906416914146</v>
      </c>
      <c r="AH100" s="110">
        <f t="shared" si="77"/>
        <v>0.22732602323955908</v>
      </c>
      <c r="AI100" s="110">
        <f t="shared" si="77"/>
        <v>0.21858271465342219</v>
      </c>
      <c r="AJ100" s="110">
        <f t="shared" si="77"/>
        <v>0.21017568716675208</v>
      </c>
      <c r="AK100" s="110">
        <f t="shared" si="77"/>
        <v>0.20209200689110776</v>
      </c>
      <c r="AL100" s="110">
        <f t="shared" si="77"/>
        <v>0.19431923739529589</v>
      </c>
      <c r="AM100" s="110">
        <f t="shared" si="77"/>
        <v>0.18684542057239986</v>
      </c>
      <c r="AN100" s="110">
        <f t="shared" si="77"/>
        <v>0.17965905824269218</v>
      </c>
      <c r="AO100" s="110">
        <f t="shared" si="77"/>
        <v>0.17274909446412712</v>
      </c>
      <c r="AP100" s="110">
        <f t="shared" si="77"/>
        <v>0.16610489852319912</v>
      </c>
      <c r="AQ100" s="110">
        <f t="shared" si="77"/>
        <v>0.15971624857999916</v>
      </c>
      <c r="AR100" s="110">
        <f t="shared" si="77"/>
        <v>0.15357331594230689</v>
      </c>
      <c r="AS100" s="110">
        <f t="shared" si="77"/>
        <v>0.14766664994452586</v>
      </c>
      <c r="AT100" s="110">
        <f t="shared" si="77"/>
        <v>0.14198716340819792</v>
      </c>
      <c r="AU100" s="110">
        <f t="shared" si="77"/>
        <v>0.13652611866172878</v>
      </c>
      <c r="AV100" s="110">
        <f t="shared" si="77"/>
        <v>0.13127511409781611</v>
      </c>
      <c r="AW100" s="110">
        <f t="shared" si="77"/>
        <v>0.12622607124790011</v>
      </c>
      <c r="AX100" s="110">
        <f t="shared" si="77"/>
        <v>0.12137122235375011</v>
      </c>
      <c r="AY100" s="110">
        <f t="shared" si="77"/>
        <v>0.11670309841706741</v>
      </c>
      <c r="AZ100" s="110">
        <f t="shared" si="77"/>
        <v>0.11221451770871867</v>
      </c>
      <c r="BA100" s="110">
        <f t="shared" si="77"/>
        <v>0.10789857471992179</v>
      </c>
      <c r="BB100" s="117"/>
      <c r="BC100" s="97" t="s">
        <v>205</v>
      </c>
      <c r="BD100" s="110">
        <f>BD75/BD99</f>
        <v>0.22537757673093189</v>
      </c>
      <c r="BF100" s="114"/>
    </row>
    <row r="101" spans="1:58" x14ac:dyDescent="0.2">
      <c r="B101" s="9"/>
      <c r="D101" s="77">
        <f>MAX(D100:BA100)</f>
        <v>0.60601397184457073</v>
      </c>
      <c r="BD101" s="11"/>
      <c r="BF101" s="4"/>
    </row>
    <row r="102" spans="1:58" x14ac:dyDescent="0.2">
      <c r="B102" s="9"/>
      <c r="D102" s="77"/>
      <c r="BF102" s="4"/>
    </row>
    <row r="103" spans="1:58" x14ac:dyDescent="0.2">
      <c r="B103" s="9"/>
      <c r="C103" s="29" t="s">
        <v>174</v>
      </c>
      <c r="D103" s="30">
        <f>D41</f>
        <v>-70</v>
      </c>
      <c r="E103" s="30">
        <f>E41</f>
        <v>-146</v>
      </c>
      <c r="F103" s="30">
        <v>0</v>
      </c>
      <c r="G103" s="30">
        <v>0</v>
      </c>
      <c r="H103" s="30">
        <v>0</v>
      </c>
      <c r="I103" s="30"/>
      <c r="J103" s="30"/>
      <c r="K103" s="30"/>
      <c r="L103" s="30"/>
      <c r="M103" s="30"/>
      <c r="BF103" s="4"/>
    </row>
    <row r="104" spans="1:58" x14ac:dyDescent="0.2">
      <c r="B104" s="92">
        <v>0.7</v>
      </c>
      <c r="C104" s="93" t="s">
        <v>172</v>
      </c>
      <c r="D104" s="94">
        <f>$B104*D$41</f>
        <v>-49</v>
      </c>
      <c r="E104" s="94">
        <f>$B104*E$41</f>
        <v>-102.19999999999999</v>
      </c>
      <c r="F104" s="94">
        <f t="shared" ref="F104:H105" si="78">$B104*F$41</f>
        <v>0</v>
      </c>
      <c r="G104" s="94">
        <f t="shared" si="78"/>
        <v>0</v>
      </c>
      <c r="H104" s="94">
        <f t="shared" si="78"/>
        <v>0</v>
      </c>
      <c r="I104" s="30"/>
      <c r="J104" s="30"/>
      <c r="K104" s="30"/>
      <c r="L104" s="30"/>
      <c r="M104" s="30"/>
      <c r="BF104" s="4"/>
    </row>
    <row r="105" spans="1:58" x14ac:dyDescent="0.2">
      <c r="B105" s="92">
        <v>0.3</v>
      </c>
      <c r="C105" s="93" t="s">
        <v>173</v>
      </c>
      <c r="D105" s="94">
        <f>$B105*D$41</f>
        <v>-21</v>
      </c>
      <c r="E105" s="94">
        <f>$B105*E$41</f>
        <v>-43.8</v>
      </c>
      <c r="F105" s="94">
        <f t="shared" si="78"/>
        <v>0</v>
      </c>
      <c r="G105" s="94">
        <f t="shared" si="78"/>
        <v>0</v>
      </c>
      <c r="H105" s="94">
        <f t="shared" si="78"/>
        <v>0</v>
      </c>
      <c r="I105" s="30"/>
      <c r="J105" s="30"/>
      <c r="K105" s="30"/>
      <c r="L105" s="30"/>
      <c r="M105" s="30"/>
      <c r="BF105" s="4"/>
    </row>
    <row r="106" spans="1:58" x14ac:dyDescent="0.2">
      <c r="B106" s="36" t="s">
        <v>39</v>
      </c>
      <c r="C106" s="37">
        <f>SUM(D103:H103)</f>
        <v>-216</v>
      </c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BF106" s="4"/>
    </row>
    <row r="107" spans="1:58" x14ac:dyDescent="0.2">
      <c r="B107" s="9"/>
      <c r="BF107" s="4"/>
    </row>
    <row r="108" spans="1:58" x14ac:dyDescent="0.2">
      <c r="B108" s="9"/>
      <c r="C108" s="29" t="s">
        <v>154</v>
      </c>
      <c r="D108" s="30">
        <f>D109*$C109</f>
        <v>0</v>
      </c>
      <c r="E108" s="30">
        <f t="shared" ref="E108:M108" si="79">E109*$C109</f>
        <v>0</v>
      </c>
      <c r="F108" s="30">
        <f t="shared" si="79"/>
        <v>0</v>
      </c>
      <c r="G108" s="30">
        <f t="shared" si="79"/>
        <v>0</v>
      </c>
      <c r="H108" s="30">
        <f t="shared" si="79"/>
        <v>0</v>
      </c>
      <c r="I108" s="30">
        <f t="shared" si="79"/>
        <v>0</v>
      </c>
      <c r="J108" s="30">
        <f t="shared" si="79"/>
        <v>0</v>
      </c>
      <c r="K108" s="30">
        <f t="shared" si="79"/>
        <v>0</v>
      </c>
      <c r="L108" s="30">
        <f t="shared" si="79"/>
        <v>0</v>
      </c>
      <c r="M108" s="30">
        <f t="shared" si="79"/>
        <v>0</v>
      </c>
      <c r="BF108" s="4"/>
    </row>
    <row r="109" spans="1:58" x14ac:dyDescent="0.2">
      <c r="B109" s="36" t="s">
        <v>191</v>
      </c>
      <c r="C109" s="81">
        <f>C47</f>
        <v>0</v>
      </c>
      <c r="D109" s="82">
        <v>0.2</v>
      </c>
      <c r="E109" s="82">
        <v>0.2</v>
      </c>
      <c r="F109" s="82">
        <v>0.2</v>
      </c>
      <c r="G109" s="82">
        <v>0.2</v>
      </c>
      <c r="H109" s="85">
        <v>0.2</v>
      </c>
      <c r="I109" s="80">
        <v>0.25</v>
      </c>
      <c r="J109" s="83">
        <v>0.25</v>
      </c>
      <c r="K109" s="83">
        <v>0.25</v>
      </c>
      <c r="L109" s="83">
        <v>0.25</v>
      </c>
      <c r="M109" s="84">
        <v>0.25</v>
      </c>
      <c r="N109" s="103" t="s">
        <v>192</v>
      </c>
      <c r="O109" s="79"/>
      <c r="BF109" s="4"/>
    </row>
    <row r="110" spans="1:58" x14ac:dyDescent="0.2">
      <c r="B110" s="9"/>
      <c r="D110" s="77">
        <f>IF(D108&lt;0,1,0)</f>
        <v>0</v>
      </c>
      <c r="E110" s="77">
        <f t="shared" ref="E110:BA110" si="80">IF(E108&lt;0,1,0)</f>
        <v>0</v>
      </c>
      <c r="F110" s="77">
        <f t="shared" si="80"/>
        <v>0</v>
      </c>
      <c r="G110" s="77">
        <f t="shared" si="80"/>
        <v>0</v>
      </c>
      <c r="H110" s="77">
        <f t="shared" si="80"/>
        <v>0</v>
      </c>
      <c r="I110" s="77">
        <f t="shared" si="80"/>
        <v>0</v>
      </c>
      <c r="J110" s="77">
        <f t="shared" si="80"/>
        <v>0</v>
      </c>
      <c r="K110" s="77">
        <f t="shared" si="80"/>
        <v>0</v>
      </c>
      <c r="L110" s="77">
        <f t="shared" si="80"/>
        <v>0</v>
      </c>
      <c r="M110" s="77">
        <f t="shared" si="80"/>
        <v>0</v>
      </c>
      <c r="N110" s="77">
        <f t="shared" si="80"/>
        <v>0</v>
      </c>
      <c r="O110" s="77">
        <f t="shared" si="80"/>
        <v>0</v>
      </c>
      <c r="P110" s="77">
        <f t="shared" si="80"/>
        <v>0</v>
      </c>
      <c r="Q110" s="77">
        <f t="shared" si="80"/>
        <v>0</v>
      </c>
      <c r="R110" s="77">
        <f t="shared" si="80"/>
        <v>0</v>
      </c>
      <c r="S110" s="77">
        <f t="shared" si="80"/>
        <v>0</v>
      </c>
      <c r="T110" s="77">
        <f t="shared" si="80"/>
        <v>0</v>
      </c>
      <c r="U110" s="77">
        <f t="shared" si="80"/>
        <v>0</v>
      </c>
      <c r="V110" s="77">
        <f t="shared" si="80"/>
        <v>0</v>
      </c>
      <c r="W110" s="77">
        <f t="shared" si="80"/>
        <v>0</v>
      </c>
      <c r="X110" s="77">
        <f t="shared" si="80"/>
        <v>0</v>
      </c>
      <c r="Y110" s="77">
        <f t="shared" si="80"/>
        <v>0</v>
      </c>
      <c r="Z110" s="77">
        <f t="shared" si="80"/>
        <v>0</v>
      </c>
      <c r="AA110" s="77">
        <f t="shared" si="80"/>
        <v>0</v>
      </c>
      <c r="AB110" s="77">
        <f t="shared" si="80"/>
        <v>0</v>
      </c>
      <c r="AC110" s="77">
        <f t="shared" si="80"/>
        <v>0</v>
      </c>
      <c r="AD110" s="77">
        <f t="shared" si="80"/>
        <v>0</v>
      </c>
      <c r="AE110" s="77">
        <f t="shared" si="80"/>
        <v>0</v>
      </c>
      <c r="AF110" s="77">
        <f t="shared" si="80"/>
        <v>0</v>
      </c>
      <c r="AG110" s="77">
        <f t="shared" si="80"/>
        <v>0</v>
      </c>
      <c r="AH110" s="77">
        <f t="shared" si="80"/>
        <v>0</v>
      </c>
      <c r="AI110" s="77">
        <f t="shared" si="80"/>
        <v>0</v>
      </c>
      <c r="AJ110" s="77">
        <f t="shared" si="80"/>
        <v>0</v>
      </c>
      <c r="AK110" s="77">
        <f t="shared" si="80"/>
        <v>0</v>
      </c>
      <c r="AL110" s="77">
        <f t="shared" si="80"/>
        <v>0</v>
      </c>
      <c r="AM110" s="77">
        <f t="shared" si="80"/>
        <v>0</v>
      </c>
      <c r="AN110" s="77">
        <f t="shared" si="80"/>
        <v>0</v>
      </c>
      <c r="AO110" s="77">
        <f t="shared" si="80"/>
        <v>0</v>
      </c>
      <c r="AP110" s="77">
        <f t="shared" si="80"/>
        <v>0</v>
      </c>
      <c r="AQ110" s="77">
        <f t="shared" si="80"/>
        <v>0</v>
      </c>
      <c r="AR110" s="77">
        <f t="shared" si="80"/>
        <v>0</v>
      </c>
      <c r="AS110" s="77">
        <f t="shared" si="80"/>
        <v>0</v>
      </c>
      <c r="AT110" s="77">
        <f t="shared" si="80"/>
        <v>0</v>
      </c>
      <c r="AU110" s="77">
        <f t="shared" si="80"/>
        <v>0</v>
      </c>
      <c r="AV110" s="77">
        <f t="shared" si="80"/>
        <v>0</v>
      </c>
      <c r="AW110" s="77">
        <f t="shared" si="80"/>
        <v>0</v>
      </c>
      <c r="AX110" s="77">
        <f t="shared" si="80"/>
        <v>0</v>
      </c>
      <c r="AY110" s="77">
        <f t="shared" si="80"/>
        <v>0</v>
      </c>
      <c r="AZ110" s="77">
        <f t="shared" si="80"/>
        <v>0</v>
      </c>
      <c r="BA110" s="77">
        <f t="shared" si="80"/>
        <v>0</v>
      </c>
      <c r="BF110" s="4"/>
    </row>
    <row r="111" spans="1:58" x14ac:dyDescent="0.2">
      <c r="B111" s="9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F111" s="4"/>
    </row>
    <row r="112" spans="1:58" x14ac:dyDescent="0.2">
      <c r="B112" s="9"/>
      <c r="C112" s="3" t="s">
        <v>188</v>
      </c>
      <c r="D112" s="30">
        <f t="shared" ref="D112:M112" si="81">D96+D108</f>
        <v>-70.758993055000005</v>
      </c>
      <c r="E112" s="30">
        <f t="shared" si="81"/>
        <v>-146.91416464240001</v>
      </c>
      <c r="F112" s="30">
        <f t="shared" si="81"/>
        <v>7.7090096361000047</v>
      </c>
      <c r="G112" s="30">
        <f t="shared" si="81"/>
        <v>40.949916684080009</v>
      </c>
      <c r="H112" s="30">
        <f t="shared" si="81"/>
        <v>76.745848480418786</v>
      </c>
      <c r="I112" s="30">
        <f t="shared" si="81"/>
        <v>101.58228969995656</v>
      </c>
      <c r="J112" s="30">
        <f t="shared" si="81"/>
        <v>106.51990270264082</v>
      </c>
      <c r="K112" s="30">
        <f t="shared" si="81"/>
        <v>111.71536441812083</v>
      </c>
      <c r="L112" s="30">
        <f t="shared" si="81"/>
        <v>117.04973844013371</v>
      </c>
      <c r="M112" s="30">
        <f t="shared" si="81"/>
        <v>122.59705143753632</v>
      </c>
      <c r="N112" s="30">
        <f t="shared" ref="N112:BA112" si="82">N96+N108</f>
        <v>128.36580008759574</v>
      </c>
      <c r="O112" s="30">
        <f t="shared" si="82"/>
        <v>134.36481993649687</v>
      </c>
      <c r="P112" s="30">
        <f t="shared" si="82"/>
        <v>140.60329887179728</v>
      </c>
      <c r="Q112" s="30">
        <f t="shared" si="82"/>
        <v>147.09079118440627</v>
      </c>
      <c r="R112" s="30">
        <f t="shared" si="82"/>
        <v>153.87351373267347</v>
      </c>
      <c r="S112" s="30">
        <f t="shared" si="82"/>
        <v>160.92780225019018</v>
      </c>
      <c r="T112" s="30">
        <f t="shared" si="82"/>
        <v>168.26451221632934</v>
      </c>
      <c r="U112" s="30">
        <f t="shared" si="82"/>
        <v>197.76770155091336</v>
      </c>
      <c r="V112" s="30">
        <f t="shared" si="82"/>
        <v>205.70357197065189</v>
      </c>
      <c r="W112" s="30">
        <f t="shared" si="82"/>
        <v>213.95710085372028</v>
      </c>
      <c r="X112" s="30">
        <f t="shared" si="82"/>
        <v>222.54098398639701</v>
      </c>
      <c r="Y112" s="30">
        <f t="shared" si="82"/>
        <v>231.46842402251019</v>
      </c>
      <c r="Z112" s="30">
        <f t="shared" si="82"/>
        <v>240.75315066171379</v>
      </c>
      <c r="AA112" s="30">
        <f t="shared" si="82"/>
        <v>250.40944170077185</v>
      </c>
      <c r="AB112" s="30">
        <f t="shared" si="82"/>
        <v>260.2137115602456</v>
      </c>
      <c r="AC112" s="30">
        <f t="shared" si="82"/>
        <v>270.38894143324251</v>
      </c>
      <c r="AD112" s="30">
        <f t="shared" si="82"/>
        <v>280.94784864221805</v>
      </c>
      <c r="AE112" s="30">
        <f t="shared" si="82"/>
        <v>291.90344709471725</v>
      </c>
      <c r="AF112" s="30">
        <f t="shared" si="82"/>
        <v>303.2690379359974</v>
      </c>
      <c r="AG112" s="30">
        <f t="shared" si="82"/>
        <v>315.05819770667784</v>
      </c>
      <c r="AH112" s="30">
        <f t="shared" si="82"/>
        <v>327.28476369350955</v>
      </c>
      <c r="AI112" s="30">
        <f t="shared" si="82"/>
        <v>339.96281612767115</v>
      </c>
      <c r="AJ112" s="30">
        <f t="shared" si="82"/>
        <v>353.10665684784118</v>
      </c>
      <c r="AK112" s="30">
        <f t="shared" si="82"/>
        <v>366.73078400432439</v>
      </c>
      <c r="AL112" s="30">
        <f t="shared" si="82"/>
        <v>380.84986233532396</v>
      </c>
      <c r="AM112" s="30">
        <f t="shared" si="82"/>
        <v>395.47868849664604</v>
      </c>
      <c r="AN112" s="30">
        <f t="shared" si="82"/>
        <v>410.63215087121199</v>
      </c>
      <c r="AO112" s="30">
        <f t="shared" si="82"/>
        <v>426.3251832242305</v>
      </c>
      <c r="AP112" s="30">
        <f t="shared" si="82"/>
        <v>442.57271150318684</v>
      </c>
      <c r="AQ112" s="30">
        <f t="shared" si="82"/>
        <v>459.38959300830015</v>
      </c>
      <c r="AR112" s="30">
        <f t="shared" si="82"/>
        <v>476.79054707811645</v>
      </c>
      <c r="AS112" s="30">
        <f t="shared" si="82"/>
        <v>494.79007634567392</v>
      </c>
      <c r="AT112" s="30">
        <f t="shared" si="82"/>
        <v>513.40237752237704</v>
      </c>
      <c r="AU112" s="30">
        <f t="shared" si="82"/>
        <v>532.6412405584357</v>
      </c>
      <c r="AV112" s="30">
        <f t="shared" si="82"/>
        <v>552.51993490945313</v>
      </c>
      <c r="AW112" s="30">
        <f t="shared" si="82"/>
        <v>573.05108150737931</v>
      </c>
      <c r="AX112" s="30">
        <f t="shared" si="82"/>
        <v>594.24650888937731</v>
      </c>
      <c r="AY112" s="30">
        <f t="shared" si="82"/>
        <v>616.11709177882551</v>
      </c>
      <c r="AZ112" s="30">
        <f t="shared" si="82"/>
        <v>638.67257023723903</v>
      </c>
      <c r="BA112" s="30">
        <f t="shared" si="82"/>
        <v>661.92134731271517</v>
      </c>
      <c r="BB112" s="30"/>
      <c r="BC112" s="30"/>
      <c r="BD112" s="7"/>
      <c r="BE112" s="31"/>
      <c r="BF112" s="4"/>
    </row>
    <row r="113" spans="2:58" x14ac:dyDescent="0.2">
      <c r="B113" s="9"/>
      <c r="C113" s="1" t="s">
        <v>37</v>
      </c>
      <c r="D113" s="7">
        <f>D112</f>
        <v>-70.758993055000005</v>
      </c>
      <c r="E113" s="7">
        <f>E112+D113</f>
        <v>-217.67315769740003</v>
      </c>
      <c r="F113" s="7">
        <f t="shared" ref="F113:R113" si="83">F112+E113</f>
        <v>-209.96414806130002</v>
      </c>
      <c r="G113" s="7">
        <f t="shared" si="83"/>
        <v>-169.01423137722003</v>
      </c>
      <c r="H113" s="7">
        <f t="shared" si="83"/>
        <v>-92.268382896801242</v>
      </c>
      <c r="I113" s="7">
        <f t="shared" si="83"/>
        <v>9.3139068031553194</v>
      </c>
      <c r="J113" s="7">
        <f t="shared" si="83"/>
        <v>115.83380950579614</v>
      </c>
      <c r="K113" s="7">
        <f t="shared" si="83"/>
        <v>227.54917392391695</v>
      </c>
      <c r="L113" s="7">
        <f t="shared" si="83"/>
        <v>344.59891236405065</v>
      </c>
      <c r="M113" s="7">
        <f t="shared" si="83"/>
        <v>467.19596380158697</v>
      </c>
      <c r="N113" s="7">
        <f t="shared" si="83"/>
        <v>595.56176388918266</v>
      </c>
      <c r="O113" s="7">
        <f t="shared" si="83"/>
        <v>729.92658382567947</v>
      </c>
      <c r="P113" s="7">
        <f t="shared" si="83"/>
        <v>870.52988269747675</v>
      </c>
      <c r="Q113" s="7">
        <f t="shared" si="83"/>
        <v>1017.620673881883</v>
      </c>
      <c r="R113" s="7">
        <f t="shared" si="83"/>
        <v>1171.4941876145565</v>
      </c>
      <c r="S113" s="7">
        <f>S112+R113</f>
        <v>1332.4219898647466</v>
      </c>
      <c r="T113" s="7">
        <f t="shared" ref="T113:BA113" si="84">T112+S113</f>
        <v>1500.686502081076</v>
      </c>
      <c r="U113" s="7">
        <f t="shared" si="84"/>
        <v>1698.4542036319895</v>
      </c>
      <c r="V113" s="7">
        <f t="shared" si="84"/>
        <v>1904.1577756026413</v>
      </c>
      <c r="W113" s="7">
        <f t="shared" si="84"/>
        <v>2118.1148764563618</v>
      </c>
      <c r="X113" s="7">
        <f t="shared" si="84"/>
        <v>2340.6558604427587</v>
      </c>
      <c r="Y113" s="7">
        <f t="shared" si="84"/>
        <v>2572.1242844652688</v>
      </c>
      <c r="Z113" s="7">
        <f t="shared" si="84"/>
        <v>2812.8774351269826</v>
      </c>
      <c r="AA113" s="7">
        <f t="shared" si="84"/>
        <v>3063.2868768277544</v>
      </c>
      <c r="AB113" s="7">
        <f t="shared" si="84"/>
        <v>3323.5005883879999</v>
      </c>
      <c r="AC113" s="7">
        <f t="shared" si="84"/>
        <v>3593.8895298212424</v>
      </c>
      <c r="AD113" s="7">
        <f t="shared" si="84"/>
        <v>3874.8373784634605</v>
      </c>
      <c r="AE113" s="7">
        <f t="shared" si="84"/>
        <v>4166.7408255581777</v>
      </c>
      <c r="AF113" s="7">
        <f t="shared" si="84"/>
        <v>4470.0098634941751</v>
      </c>
      <c r="AG113" s="7">
        <f t="shared" si="84"/>
        <v>4785.0680612008528</v>
      </c>
      <c r="AH113" s="7">
        <f t="shared" si="84"/>
        <v>5112.3528248943621</v>
      </c>
      <c r="AI113" s="7">
        <f t="shared" si="84"/>
        <v>5452.3156410220336</v>
      </c>
      <c r="AJ113" s="7">
        <f t="shared" si="84"/>
        <v>5805.4222978698745</v>
      </c>
      <c r="AK113" s="7">
        <f t="shared" si="84"/>
        <v>6172.1530818741985</v>
      </c>
      <c r="AL113" s="7">
        <f t="shared" si="84"/>
        <v>6553.0029442095229</v>
      </c>
      <c r="AM113" s="7">
        <f t="shared" si="84"/>
        <v>6948.481632706169</v>
      </c>
      <c r="AN113" s="7">
        <f t="shared" si="84"/>
        <v>7359.1137835773807</v>
      </c>
      <c r="AO113" s="7">
        <f t="shared" si="84"/>
        <v>7785.4389668016111</v>
      </c>
      <c r="AP113" s="7">
        <f t="shared" si="84"/>
        <v>8228.0116783047979</v>
      </c>
      <c r="AQ113" s="7">
        <f t="shared" si="84"/>
        <v>8687.4012713130978</v>
      </c>
      <c r="AR113" s="7">
        <f t="shared" si="84"/>
        <v>9164.1918183912148</v>
      </c>
      <c r="AS113" s="7">
        <f t="shared" si="84"/>
        <v>9658.9818947368894</v>
      </c>
      <c r="AT113" s="7">
        <f t="shared" si="84"/>
        <v>10172.384272259267</v>
      </c>
      <c r="AU113" s="7">
        <f t="shared" si="84"/>
        <v>10705.025512817703</v>
      </c>
      <c r="AV113" s="7">
        <f t="shared" si="84"/>
        <v>11257.545447727156</v>
      </c>
      <c r="AW113" s="7">
        <f t="shared" si="84"/>
        <v>11830.596529234535</v>
      </c>
      <c r="AX113" s="7">
        <f t="shared" si="84"/>
        <v>12424.843038123912</v>
      </c>
      <c r="AY113" s="7">
        <f t="shared" si="84"/>
        <v>13040.960129902738</v>
      </c>
      <c r="AZ113" s="7">
        <f t="shared" si="84"/>
        <v>13679.632700139977</v>
      </c>
      <c r="BA113" s="7">
        <f t="shared" si="84"/>
        <v>14341.554047452692</v>
      </c>
      <c r="BB113" s="7"/>
      <c r="BC113" s="7"/>
      <c r="BD113" s="7"/>
      <c r="BF113" s="4"/>
    </row>
    <row r="114" spans="2:58" x14ac:dyDescent="0.2">
      <c r="B114" s="9"/>
      <c r="D114" s="76">
        <f>IF(D113&lt;0,1,0)</f>
        <v>1</v>
      </c>
      <c r="E114" s="76">
        <f t="shared" ref="E114:I114" si="85">IF(E113&lt;0,1,0)</f>
        <v>1</v>
      </c>
      <c r="F114" s="76">
        <f t="shared" si="85"/>
        <v>1</v>
      </c>
      <c r="G114" s="76">
        <f t="shared" si="85"/>
        <v>1</v>
      </c>
      <c r="H114" s="76">
        <f t="shared" si="85"/>
        <v>1</v>
      </c>
      <c r="I114" s="76">
        <f t="shared" si="85"/>
        <v>0</v>
      </c>
      <c r="J114" s="76">
        <f>IF(J113&lt;0,1,0)</f>
        <v>0</v>
      </c>
      <c r="K114" s="76">
        <f t="shared" ref="K114:BA114" si="86">IF(K113&lt;0,1,0)</f>
        <v>0</v>
      </c>
      <c r="L114" s="76">
        <f t="shared" si="86"/>
        <v>0</v>
      </c>
      <c r="M114" s="76">
        <f t="shared" si="86"/>
        <v>0</v>
      </c>
      <c r="N114" s="76">
        <f t="shared" si="86"/>
        <v>0</v>
      </c>
      <c r="O114" s="76">
        <f t="shared" si="86"/>
        <v>0</v>
      </c>
      <c r="P114" s="76">
        <f t="shared" si="86"/>
        <v>0</v>
      </c>
      <c r="Q114" s="76">
        <f t="shared" si="86"/>
        <v>0</v>
      </c>
      <c r="R114" s="76">
        <f t="shared" si="86"/>
        <v>0</v>
      </c>
      <c r="S114" s="76">
        <f t="shared" si="86"/>
        <v>0</v>
      </c>
      <c r="T114" s="76">
        <f t="shared" si="86"/>
        <v>0</v>
      </c>
      <c r="U114" s="76">
        <f t="shared" si="86"/>
        <v>0</v>
      </c>
      <c r="V114" s="76">
        <f t="shared" si="86"/>
        <v>0</v>
      </c>
      <c r="W114" s="76">
        <f t="shared" si="86"/>
        <v>0</v>
      </c>
      <c r="X114" s="76">
        <f t="shared" si="86"/>
        <v>0</v>
      </c>
      <c r="Y114" s="76">
        <f t="shared" si="86"/>
        <v>0</v>
      </c>
      <c r="Z114" s="76">
        <f t="shared" si="86"/>
        <v>0</v>
      </c>
      <c r="AA114" s="76">
        <f t="shared" si="86"/>
        <v>0</v>
      </c>
      <c r="AB114" s="76">
        <f t="shared" si="86"/>
        <v>0</v>
      </c>
      <c r="AC114" s="76">
        <f t="shared" si="86"/>
        <v>0</v>
      </c>
      <c r="AD114" s="76">
        <f t="shared" si="86"/>
        <v>0</v>
      </c>
      <c r="AE114" s="76">
        <f t="shared" si="86"/>
        <v>0</v>
      </c>
      <c r="AF114" s="76">
        <f t="shared" si="86"/>
        <v>0</v>
      </c>
      <c r="AG114" s="76">
        <f t="shared" si="86"/>
        <v>0</v>
      </c>
      <c r="AH114" s="76">
        <f t="shared" si="86"/>
        <v>0</v>
      </c>
      <c r="AI114" s="76">
        <f t="shared" si="86"/>
        <v>0</v>
      </c>
      <c r="AJ114" s="76">
        <f t="shared" si="86"/>
        <v>0</v>
      </c>
      <c r="AK114" s="76">
        <f t="shared" si="86"/>
        <v>0</v>
      </c>
      <c r="AL114" s="76">
        <f t="shared" si="86"/>
        <v>0</v>
      </c>
      <c r="AM114" s="76">
        <f t="shared" si="86"/>
        <v>0</v>
      </c>
      <c r="AN114" s="76">
        <f t="shared" si="86"/>
        <v>0</v>
      </c>
      <c r="AO114" s="76">
        <f t="shared" si="86"/>
        <v>0</v>
      </c>
      <c r="AP114" s="76">
        <f t="shared" si="86"/>
        <v>0</v>
      </c>
      <c r="AQ114" s="76">
        <f t="shared" si="86"/>
        <v>0</v>
      </c>
      <c r="AR114" s="76">
        <f t="shared" si="86"/>
        <v>0</v>
      </c>
      <c r="AS114" s="76">
        <f t="shared" si="86"/>
        <v>0</v>
      </c>
      <c r="AT114" s="76">
        <f t="shared" si="86"/>
        <v>0</v>
      </c>
      <c r="AU114" s="76">
        <f t="shared" si="86"/>
        <v>0</v>
      </c>
      <c r="AV114" s="76">
        <f t="shared" si="86"/>
        <v>0</v>
      </c>
      <c r="AW114" s="76">
        <f t="shared" si="86"/>
        <v>0</v>
      </c>
      <c r="AX114" s="76">
        <f t="shared" si="86"/>
        <v>0</v>
      </c>
      <c r="AY114" s="76">
        <f t="shared" si="86"/>
        <v>0</v>
      </c>
      <c r="AZ114" s="76">
        <f t="shared" si="86"/>
        <v>0</v>
      </c>
      <c r="BA114" s="76">
        <f t="shared" si="86"/>
        <v>0</v>
      </c>
      <c r="BF114" s="4"/>
    </row>
    <row r="115" spans="2:58" x14ac:dyDescent="0.2">
      <c r="B115" s="9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F115" s="4"/>
    </row>
    <row r="116" spans="2:58" x14ac:dyDescent="0.2">
      <c r="B116" s="9"/>
      <c r="C116" s="32" t="s">
        <v>193</v>
      </c>
      <c r="D116" s="34">
        <f>NPV(D118,D112:BD112)</f>
        <v>974.53295430054959</v>
      </c>
      <c r="F116" s="64" t="s">
        <v>138</v>
      </c>
      <c r="G116" s="65">
        <f>G54</f>
        <v>216</v>
      </c>
      <c r="H116" s="1" t="s">
        <v>143</v>
      </c>
      <c r="I116" s="68"/>
      <c r="J116" s="68" t="s">
        <v>145</v>
      </c>
      <c r="K116" s="69">
        <f>K54</f>
        <v>112.09153474999999</v>
      </c>
      <c r="L116" s="1" t="s">
        <v>143</v>
      </c>
      <c r="BF116" s="4"/>
    </row>
    <row r="117" spans="2:58" x14ac:dyDescent="0.2">
      <c r="B117" s="9"/>
      <c r="C117" s="32" t="s">
        <v>194</v>
      </c>
      <c r="D117" s="33">
        <f>IRR(D112:BD112)</f>
        <v>0.30805116932461929</v>
      </c>
      <c r="F117" s="64" t="s">
        <v>119</v>
      </c>
      <c r="G117" s="66">
        <f t="shared" ref="G117:G119" si="87">G55</f>
        <v>0.06</v>
      </c>
      <c r="BF117" s="4"/>
    </row>
    <row r="118" spans="2:58" x14ac:dyDescent="0.2">
      <c r="B118" s="9"/>
      <c r="C118" s="32" t="s">
        <v>1</v>
      </c>
      <c r="D118" s="35">
        <v>0.1</v>
      </c>
      <c r="F118" s="64" t="s">
        <v>139</v>
      </c>
      <c r="G118" s="67">
        <f t="shared" si="87"/>
        <v>15</v>
      </c>
      <c r="BF118" s="4"/>
    </row>
    <row r="119" spans="2:58" x14ac:dyDescent="0.2">
      <c r="B119" s="9"/>
      <c r="C119" s="32" t="s">
        <v>195</v>
      </c>
      <c r="D119" s="34" cm="1">
        <f t="array" ref="D119">NPV(D118,-D108:M108)</f>
        <v>0</v>
      </c>
      <c r="F119" s="64" t="s">
        <v>140</v>
      </c>
      <c r="G119" s="67">
        <f t="shared" si="87"/>
        <v>2</v>
      </c>
      <c r="BF119" s="4"/>
    </row>
    <row r="120" spans="2:58" x14ac:dyDescent="0.2">
      <c r="B120" s="9"/>
      <c r="C120" s="32" t="s">
        <v>196</v>
      </c>
      <c r="D120" s="34">
        <f>-(SUM(D108:M108))</f>
        <v>0</v>
      </c>
      <c r="F120" s="64"/>
      <c r="G120" s="67"/>
      <c r="BF120" s="4"/>
    </row>
    <row r="121" spans="2:58" x14ac:dyDescent="0.2">
      <c r="B121" s="9"/>
      <c r="C121" s="32" t="s">
        <v>197</v>
      </c>
      <c r="D121" s="104">
        <f>D120/BD96</f>
        <v>0</v>
      </c>
      <c r="F121" s="64"/>
      <c r="G121" s="67"/>
      <c r="BF121" s="4"/>
    </row>
    <row r="122" spans="2:58" ht="17" thickBot="1" x14ac:dyDescent="0.25">
      <c r="B122" s="15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5"/>
    </row>
  </sheetData>
  <mergeCells count="4">
    <mergeCell ref="B2:BF2"/>
    <mergeCell ref="B13:B38"/>
    <mergeCell ref="B64:BF64"/>
    <mergeCell ref="B75:B100"/>
  </mergeCells>
  <conditionalFormatting sqref="D51:BD51">
    <cfRule type="cellIs" dxfId="1" priority="2" operator="lessThan">
      <formula>0</formula>
    </cfRule>
  </conditionalFormatting>
  <conditionalFormatting sqref="D113:BD113">
    <cfRule type="cellIs" dxfId="0" priority="1" operator="lessThan">
      <formula>0</formula>
    </cfRule>
  </conditionalFormatting>
  <pageMargins left="0.25" right="0.25" top="0.75" bottom="0.75" header="0.3" footer="0.3"/>
  <pageSetup scale="23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88909-3E3B-EF40-8C0A-027FBF0B0373}">
  <dimension ref="B1:AJ187"/>
  <sheetViews>
    <sheetView zoomScale="166" workbookViewId="0">
      <selection activeCell="H5" sqref="H5:H30"/>
    </sheetView>
  </sheetViews>
  <sheetFormatPr baseColWidth="10" defaultRowHeight="16" x14ac:dyDescent="0.2"/>
  <cols>
    <col min="1" max="1" width="10.83203125" style="1"/>
    <col min="2" max="2" width="6.83203125" style="1" customWidth="1"/>
    <col min="3" max="3" width="21.33203125" style="1" customWidth="1"/>
    <col min="4" max="4" width="13.6640625" style="1" customWidth="1"/>
    <col min="5" max="5" width="14.6640625" style="1" customWidth="1"/>
    <col min="6" max="6" width="16.6640625" style="1" customWidth="1"/>
    <col min="7" max="7" width="15.5" style="1" bestFit="1" customWidth="1"/>
    <col min="8" max="8" width="13.33203125" style="1" customWidth="1"/>
    <col min="9" max="9" width="6.83203125" style="1" customWidth="1"/>
    <col min="10" max="10" width="13" style="1" bestFit="1" customWidth="1"/>
    <col min="11" max="13" width="12.5" style="1" bestFit="1" customWidth="1"/>
    <col min="14" max="36" width="14" style="1" bestFit="1" customWidth="1"/>
    <col min="37" max="16384" width="10.83203125" style="1"/>
  </cols>
  <sheetData>
    <row r="1" spans="2:36" ht="17" thickBot="1" x14ac:dyDescent="0.25"/>
    <row r="2" spans="2:36" x14ac:dyDescent="0.2">
      <c r="B2" s="39"/>
      <c r="C2" s="40"/>
      <c r="D2" s="40"/>
      <c r="E2" s="40"/>
      <c r="F2" s="41"/>
      <c r="G2" s="40"/>
      <c r="H2" s="40"/>
      <c r="I2" s="42"/>
    </row>
    <row r="3" spans="2:36" x14ac:dyDescent="0.2">
      <c r="B3" s="43"/>
      <c r="D3" s="44"/>
      <c r="F3" s="44"/>
      <c r="H3" s="45">
        <v>175000</v>
      </c>
      <c r="I3" s="46"/>
    </row>
    <row r="4" spans="2:36" ht="52" customHeight="1" x14ac:dyDescent="0.2">
      <c r="B4" s="43"/>
      <c r="D4" s="47" t="s">
        <v>62</v>
      </c>
      <c r="E4" s="47" t="s">
        <v>63</v>
      </c>
      <c r="F4" s="47" t="s">
        <v>64</v>
      </c>
      <c r="G4" s="47" t="s">
        <v>65</v>
      </c>
      <c r="H4" s="47" t="s">
        <v>66</v>
      </c>
      <c r="I4" s="48"/>
    </row>
    <row r="5" spans="2:36" x14ac:dyDescent="0.2">
      <c r="B5" s="43"/>
      <c r="C5" s="1" t="s">
        <v>67</v>
      </c>
      <c r="D5" s="49">
        <v>55921.049999999996</v>
      </c>
      <c r="E5" s="50">
        <v>223684.19999999998</v>
      </c>
      <c r="F5" s="50">
        <v>83444.255000000005</v>
      </c>
      <c r="G5" s="50">
        <v>307128.45500000002</v>
      </c>
      <c r="H5" s="50">
        <f>(G5/12)/$H$3</f>
        <v>0.14625164523809525</v>
      </c>
      <c r="I5" s="51"/>
      <c r="K5" s="56" t="s">
        <v>93</v>
      </c>
      <c r="L5" s="56" t="s">
        <v>94</v>
      </c>
      <c r="M5" s="56" t="s">
        <v>95</v>
      </c>
      <c r="N5" s="56" t="s">
        <v>96</v>
      </c>
      <c r="O5" s="56" t="s">
        <v>97</v>
      </c>
      <c r="P5" s="56" t="s">
        <v>98</v>
      </c>
      <c r="Q5" s="56" t="s">
        <v>99</v>
      </c>
      <c r="R5" s="56" t="s">
        <v>100</v>
      </c>
      <c r="S5" s="56" t="s">
        <v>101</v>
      </c>
      <c r="T5" s="56" t="s">
        <v>102</v>
      </c>
      <c r="U5" s="56" t="s">
        <v>103</v>
      </c>
      <c r="V5" s="56" t="s">
        <v>104</v>
      </c>
      <c r="W5" s="56" t="s">
        <v>105</v>
      </c>
      <c r="X5" s="56" t="s">
        <v>106</v>
      </c>
      <c r="Y5" s="56" t="s">
        <v>107</v>
      </c>
      <c r="Z5" s="56" t="s">
        <v>108</v>
      </c>
      <c r="AA5" s="56" t="s">
        <v>109</v>
      </c>
      <c r="AB5" s="56" t="s">
        <v>110</v>
      </c>
      <c r="AC5" s="56" t="s">
        <v>111</v>
      </c>
      <c r="AD5" s="56" t="s">
        <v>112</v>
      </c>
      <c r="AE5" s="56" t="s">
        <v>113</v>
      </c>
      <c r="AF5" s="56" t="s">
        <v>114</v>
      </c>
      <c r="AG5" s="56" t="s">
        <v>115</v>
      </c>
      <c r="AH5" s="56" t="s">
        <v>116</v>
      </c>
      <c r="AI5" s="56" t="s">
        <v>117</v>
      </c>
      <c r="AJ5" s="56" t="s">
        <v>118</v>
      </c>
    </row>
    <row r="6" spans="2:36" x14ac:dyDescent="0.2">
      <c r="B6" s="43"/>
      <c r="C6" s="1" t="s">
        <v>68</v>
      </c>
      <c r="D6" s="49">
        <v>52355.040000000001</v>
      </c>
      <c r="E6" s="50">
        <v>628260.4800000001</v>
      </c>
      <c r="F6" s="50">
        <v>130732.57500000001</v>
      </c>
      <c r="G6" s="50">
        <v>758993.05499999993</v>
      </c>
      <c r="H6" s="50">
        <f t="shared" ref="H6:H29" si="0">(G6/12)/$H$3</f>
        <v>0.36142526428571425</v>
      </c>
      <c r="I6" s="51"/>
      <c r="K6" s="63">
        <v>307128.45500000002</v>
      </c>
      <c r="L6" s="63">
        <v>758993.05499999993</v>
      </c>
      <c r="M6" s="63">
        <v>914164.64240000001</v>
      </c>
      <c r="N6" s="63">
        <v>1373613.3739</v>
      </c>
      <c r="O6" s="63">
        <v>1564529.6959200003</v>
      </c>
      <c r="P6" s="63">
        <v>1825438.50118125</v>
      </c>
      <c r="Q6" s="63">
        <v>1899123.1601203128</v>
      </c>
      <c r="R6" s="63">
        <v>1975677.4310391282</v>
      </c>
      <c r="S6" s="63">
        <v>1994949.6701063295</v>
      </c>
      <c r="T6" s="63">
        <v>2083898.981222528</v>
      </c>
      <c r="U6" s="63">
        <v>2176842.2398741934</v>
      </c>
      <c r="V6" s="63">
        <v>2273960.0861112447</v>
      </c>
      <c r="W6" s="63">
        <v>2375441.4037583689</v>
      </c>
      <c r="X6" s="63">
        <v>2481483.6916681947</v>
      </c>
      <c r="Y6" s="63">
        <v>2592293.4407978328</v>
      </c>
      <c r="Z6" s="63">
        <v>2671805.0267387126</v>
      </c>
      <c r="AA6" s="63">
        <v>2754240.0291985567</v>
      </c>
      <c r="AB6" s="63">
        <v>2839722.513434974</v>
      </c>
      <c r="AC6" s="63">
        <v>2928382.307241519</v>
      </c>
      <c r="AD6" s="63">
        <v>3020355.2418292216</v>
      </c>
      <c r="AE6" s="63">
        <v>3115783.4472600478</v>
      </c>
      <c r="AF6" s="63">
        <v>3214815.6866225423</v>
      </c>
      <c r="AG6" s="63">
        <v>3317607.637430151</v>
      </c>
      <c r="AH6" s="63">
        <v>3424322.2646241458</v>
      </c>
      <c r="AI6" s="63">
        <v>3535130.1426196122</v>
      </c>
      <c r="AJ6" s="63">
        <v>2433473.1608576672</v>
      </c>
    </row>
    <row r="7" spans="2:36" x14ac:dyDescent="0.2">
      <c r="B7" s="43"/>
      <c r="C7" s="1" t="s">
        <v>69</v>
      </c>
      <c r="D7" s="49">
        <v>41580.383249999999</v>
      </c>
      <c r="E7" s="50">
        <v>498964.59899999999</v>
      </c>
      <c r="F7" s="50">
        <v>415200.04340000002</v>
      </c>
      <c r="G7" s="50">
        <v>914164.64240000001</v>
      </c>
      <c r="H7" s="50">
        <f t="shared" si="0"/>
        <v>0.43531649638095238</v>
      </c>
      <c r="I7" s="51"/>
    </row>
    <row r="8" spans="2:36" x14ac:dyDescent="0.2">
      <c r="B8" s="43"/>
      <c r="C8" s="1" t="s">
        <v>70</v>
      </c>
      <c r="D8" s="49">
        <v>55935.716037500002</v>
      </c>
      <c r="E8" s="50">
        <v>671228.59245000011</v>
      </c>
      <c r="F8" s="50">
        <v>702384.78145000013</v>
      </c>
      <c r="G8" s="50">
        <v>1373613.3739</v>
      </c>
      <c r="H8" s="50">
        <f t="shared" si="0"/>
        <v>0.6541016066190477</v>
      </c>
      <c r="I8" s="51"/>
    </row>
    <row r="9" spans="2:36" x14ac:dyDescent="0.2">
      <c r="B9" s="43"/>
      <c r="C9" s="1" t="s">
        <v>71</v>
      </c>
      <c r="D9" s="49">
        <v>53750.962390000015</v>
      </c>
      <c r="E9" s="50">
        <v>645011.54868000012</v>
      </c>
      <c r="F9" s="50">
        <v>919518.14724000008</v>
      </c>
      <c r="G9" s="50">
        <v>1564529.6959200003</v>
      </c>
      <c r="H9" s="50">
        <f t="shared" si="0"/>
        <v>0.74501414091428586</v>
      </c>
      <c r="I9" s="51"/>
    </row>
    <row r="10" spans="2:36" x14ac:dyDescent="0.2">
      <c r="B10" s="43"/>
      <c r="C10" s="1" t="s">
        <v>72</v>
      </c>
      <c r="D10" s="49">
        <v>52911.103602656265</v>
      </c>
      <c r="E10" s="50">
        <v>634933.24323187512</v>
      </c>
      <c r="F10" s="50">
        <v>1190505.2579493751</v>
      </c>
      <c r="G10" s="50">
        <v>1825438.50118125</v>
      </c>
      <c r="H10" s="50">
        <f t="shared" si="0"/>
        <v>0.86925642913392864</v>
      </c>
      <c r="I10" s="51"/>
    </row>
    <row r="11" spans="2:36" x14ac:dyDescent="0.2">
      <c r="B11" s="43"/>
      <c r="C11" s="1" t="s">
        <v>73</v>
      </c>
      <c r="D11" s="49">
        <v>55556.658782789076</v>
      </c>
      <c r="E11" s="50">
        <v>666679.90539346891</v>
      </c>
      <c r="F11" s="50">
        <v>1232443.2547268439</v>
      </c>
      <c r="G11" s="50">
        <v>1899123.1601203128</v>
      </c>
      <c r="H11" s="50">
        <f t="shared" si="0"/>
        <v>0.9043443619620537</v>
      </c>
      <c r="I11" s="51"/>
    </row>
    <row r="12" spans="2:36" x14ac:dyDescent="0.2">
      <c r="B12" s="43"/>
      <c r="C12" s="1" t="s">
        <v>74</v>
      </c>
      <c r="D12" s="49">
        <v>58334.491721928534</v>
      </c>
      <c r="E12" s="50">
        <v>700013.90066314233</v>
      </c>
      <c r="F12" s="50">
        <v>1275663.5303759861</v>
      </c>
      <c r="G12" s="50">
        <v>1975677.4310391282</v>
      </c>
      <c r="H12" s="50">
        <f t="shared" si="0"/>
        <v>0.9407987766852991</v>
      </c>
      <c r="I12" s="51"/>
    </row>
    <row r="13" spans="2:36" x14ac:dyDescent="0.2">
      <c r="B13" s="43"/>
      <c r="C13" s="1" t="s">
        <v>75</v>
      </c>
      <c r="D13" s="49">
        <v>59209.509097757465</v>
      </c>
      <c r="E13" s="50">
        <v>710514.10917308962</v>
      </c>
      <c r="F13" s="50">
        <v>1284435.56093324</v>
      </c>
      <c r="G13" s="50">
        <v>1994949.6701063295</v>
      </c>
      <c r="H13" s="50">
        <f t="shared" si="0"/>
        <v>0.94997603338396641</v>
      </c>
      <c r="I13" s="51"/>
    </row>
    <row r="14" spans="2:36" x14ac:dyDescent="0.2">
      <c r="B14" s="43"/>
      <c r="C14" s="1" t="s">
        <v>76</v>
      </c>
      <c r="D14" s="49">
        <v>62169.984552645343</v>
      </c>
      <c r="E14" s="50">
        <v>746039.81463174406</v>
      </c>
      <c r="F14" s="50">
        <v>1337859.1665907837</v>
      </c>
      <c r="G14" s="50">
        <v>2083898.981222528</v>
      </c>
      <c r="H14" s="50">
        <f t="shared" si="0"/>
        <v>0.99233284820120382</v>
      </c>
      <c r="I14" s="51"/>
    </row>
    <row r="15" spans="2:36" x14ac:dyDescent="0.2">
      <c r="B15" s="43"/>
      <c r="C15" s="1" t="s">
        <v>77</v>
      </c>
      <c r="D15" s="49">
        <v>65278.483780277609</v>
      </c>
      <c r="E15" s="50">
        <v>783341.80536333134</v>
      </c>
      <c r="F15" s="50">
        <v>1393500.434510862</v>
      </c>
      <c r="G15" s="50">
        <v>2176842.2398741934</v>
      </c>
      <c r="H15" s="50">
        <f t="shared" si="0"/>
        <v>1.036591542797235</v>
      </c>
      <c r="I15" s="51"/>
    </row>
    <row r="16" spans="2:36" x14ac:dyDescent="0.2">
      <c r="B16" s="43"/>
      <c r="C16" s="1" t="s">
        <v>78</v>
      </c>
      <c r="D16" s="49">
        <v>68542.407969291511</v>
      </c>
      <c r="E16" s="50">
        <v>822508.89563149808</v>
      </c>
      <c r="F16" s="50">
        <v>1451451.1904797468</v>
      </c>
      <c r="G16" s="50">
        <v>2273960.0861112447</v>
      </c>
      <c r="H16" s="50">
        <f t="shared" si="0"/>
        <v>1.0828381362434498</v>
      </c>
      <c r="I16" s="51"/>
    </row>
    <row r="17" spans="2:9" x14ac:dyDescent="0.2">
      <c r="B17" s="43"/>
      <c r="C17" s="1" t="s">
        <v>79</v>
      </c>
      <c r="D17" s="49">
        <v>71969.52836775608</v>
      </c>
      <c r="E17" s="50">
        <v>863634.34041307308</v>
      </c>
      <c r="F17" s="50">
        <v>1511807.0633452958</v>
      </c>
      <c r="G17" s="50">
        <v>2375441.4037583689</v>
      </c>
      <c r="H17" s="50">
        <f t="shared" si="0"/>
        <v>1.1311625732182711</v>
      </c>
      <c r="I17" s="51"/>
    </row>
    <row r="18" spans="2:9" x14ac:dyDescent="0.2">
      <c r="B18" s="43"/>
      <c r="C18" s="1" t="s">
        <v>80</v>
      </c>
      <c r="D18" s="49">
        <v>75568.004786143894</v>
      </c>
      <c r="E18" s="50">
        <v>906816.0574337265</v>
      </c>
      <c r="F18" s="50">
        <v>1574667.6342344685</v>
      </c>
      <c r="G18" s="50">
        <v>2481483.6916681947</v>
      </c>
      <c r="H18" s="50">
        <f t="shared" si="0"/>
        <v>1.1816589007943783</v>
      </c>
      <c r="I18" s="51"/>
    </row>
    <row r="19" spans="2:9" x14ac:dyDescent="0.2">
      <c r="B19" s="43"/>
      <c r="C19" s="1" t="s">
        <v>81</v>
      </c>
      <c r="D19" s="49">
        <v>79346.40502545108</v>
      </c>
      <c r="E19" s="50">
        <v>952156.86030541302</v>
      </c>
      <c r="F19" s="50">
        <v>1640136.5804924197</v>
      </c>
      <c r="G19" s="50">
        <v>2592293.4407978328</v>
      </c>
      <c r="H19" s="50">
        <f t="shared" si="0"/>
        <v>1.234425447998968</v>
      </c>
      <c r="I19" s="51"/>
    </row>
    <row r="20" spans="2:9" x14ac:dyDescent="0.2">
      <c r="B20" s="43"/>
      <c r="C20" s="1" t="s">
        <v>82</v>
      </c>
      <c r="D20" s="49">
        <v>83313.725276723635</v>
      </c>
      <c r="E20" s="50">
        <v>999764.7033206838</v>
      </c>
      <c r="F20" s="50">
        <v>1672040.3234180287</v>
      </c>
      <c r="G20" s="50">
        <v>2671805.0267387126</v>
      </c>
      <c r="H20" s="50">
        <f t="shared" si="0"/>
        <v>1.2722881079708155</v>
      </c>
      <c r="I20" s="51"/>
    </row>
    <row r="21" spans="2:9" x14ac:dyDescent="0.2">
      <c r="B21" s="43"/>
      <c r="C21" s="1" t="s">
        <v>83</v>
      </c>
      <c r="D21" s="49">
        <v>87479.411540559828</v>
      </c>
      <c r="E21" s="50">
        <v>1049752.9384867179</v>
      </c>
      <c r="F21" s="50">
        <v>1704487.0907118388</v>
      </c>
      <c r="G21" s="50">
        <v>2754240.0291985567</v>
      </c>
      <c r="H21" s="50">
        <f t="shared" si="0"/>
        <v>1.3115428710469317</v>
      </c>
      <c r="I21" s="51"/>
    </row>
    <row r="22" spans="2:9" x14ac:dyDescent="0.2">
      <c r="B22" s="43"/>
      <c r="C22" s="1" t="s">
        <v>84</v>
      </c>
      <c r="D22" s="49">
        <v>91853.382117587811</v>
      </c>
      <c r="E22" s="50">
        <v>1102240.5854110536</v>
      </c>
      <c r="F22" s="50">
        <v>1737481.9280239204</v>
      </c>
      <c r="G22" s="50">
        <v>2839722.513434974</v>
      </c>
      <c r="H22" s="50">
        <f t="shared" si="0"/>
        <v>1.3522488159214161</v>
      </c>
      <c r="I22" s="51"/>
    </row>
    <row r="23" spans="2:9" x14ac:dyDescent="0.2">
      <c r="B23" s="43"/>
      <c r="C23" s="1" t="s">
        <v>85</v>
      </c>
      <c r="D23" s="49">
        <v>96446.051223467206</v>
      </c>
      <c r="E23" s="50">
        <v>1157352.6146816064</v>
      </c>
      <c r="F23" s="50">
        <v>1771029.6925599128</v>
      </c>
      <c r="G23" s="50">
        <v>2928382.307241519</v>
      </c>
      <c r="H23" s="50">
        <f t="shared" si="0"/>
        <v>1.3944677653531043</v>
      </c>
      <c r="I23" s="51"/>
    </row>
    <row r="24" spans="2:9" x14ac:dyDescent="0.2">
      <c r="B24" s="43"/>
      <c r="C24" s="1" t="s">
        <v>86</v>
      </c>
      <c r="D24" s="49">
        <v>101268.35378464057</v>
      </c>
      <c r="E24" s="50">
        <v>1215220.2454156869</v>
      </c>
      <c r="F24" s="50">
        <v>1805134.996413535</v>
      </c>
      <c r="G24" s="50">
        <v>3020355.2418292216</v>
      </c>
      <c r="H24" s="50">
        <f t="shared" si="0"/>
        <v>1.4382644008710579</v>
      </c>
      <c r="I24" s="51"/>
    </row>
    <row r="25" spans="2:9" x14ac:dyDescent="0.2">
      <c r="B25" s="43"/>
      <c r="C25" s="1" t="s">
        <v>87</v>
      </c>
      <c r="D25" s="49">
        <v>106331.77147387259</v>
      </c>
      <c r="E25" s="50">
        <v>1275981.2576864711</v>
      </c>
      <c r="F25" s="50">
        <v>1839802.1895735767</v>
      </c>
      <c r="G25" s="50">
        <v>3115783.4472600478</v>
      </c>
      <c r="H25" s="50">
        <f t="shared" si="0"/>
        <v>1.4837064034571656</v>
      </c>
      <c r="I25" s="51"/>
    </row>
    <row r="26" spans="2:9" x14ac:dyDescent="0.2">
      <c r="B26" s="43"/>
      <c r="C26" s="1" t="s">
        <v>88</v>
      </c>
      <c r="D26" s="49">
        <v>111648.36004756624</v>
      </c>
      <c r="E26" s="50">
        <v>1339780.3205707949</v>
      </c>
      <c r="F26" s="50">
        <v>1875035.3660517472</v>
      </c>
      <c r="G26" s="50">
        <v>3214815.6866225423</v>
      </c>
      <c r="H26" s="50">
        <f t="shared" si="0"/>
        <v>1.530864612677401</v>
      </c>
      <c r="I26" s="51"/>
    </row>
    <row r="27" spans="2:9" x14ac:dyDescent="0.2">
      <c r="B27" s="43"/>
      <c r="C27" s="1" t="s">
        <v>89</v>
      </c>
      <c r="D27" s="49">
        <v>117230.77804994457</v>
      </c>
      <c r="E27" s="50">
        <v>1406769.3365993348</v>
      </c>
      <c r="F27" s="50">
        <v>1910838.3008308159</v>
      </c>
      <c r="G27" s="50">
        <v>3317607.637430151</v>
      </c>
      <c r="H27" s="50">
        <f t="shared" si="0"/>
        <v>1.5798131606810244</v>
      </c>
      <c r="I27" s="51"/>
    </row>
    <row r="28" spans="2:9" x14ac:dyDescent="0.2">
      <c r="B28" s="43"/>
      <c r="C28" s="1" t="s">
        <v>90</v>
      </c>
      <c r="D28" s="49">
        <v>123092.31695244179</v>
      </c>
      <c r="E28" s="50">
        <v>1477107.8034293016</v>
      </c>
      <c r="F28" s="50">
        <v>1947214.461194844</v>
      </c>
      <c r="G28" s="50">
        <v>3424322.2646241458</v>
      </c>
      <c r="H28" s="50">
        <f t="shared" si="0"/>
        <v>1.630629649821022</v>
      </c>
      <c r="I28" s="51"/>
    </row>
    <row r="29" spans="2:9" x14ac:dyDescent="0.2">
      <c r="B29" s="43"/>
      <c r="C29" s="1" t="s">
        <v>91</v>
      </c>
      <c r="D29" s="49">
        <v>129246.93280006389</v>
      </c>
      <c r="E29" s="50">
        <v>1550963.1936007668</v>
      </c>
      <c r="F29" s="50">
        <v>1984166.9490188456</v>
      </c>
      <c r="G29" s="50">
        <v>3535130.1426196122</v>
      </c>
      <c r="H29" s="50">
        <f t="shared" si="0"/>
        <v>1.6833953060093392</v>
      </c>
      <c r="I29" s="51"/>
    </row>
    <row r="30" spans="2:9" x14ac:dyDescent="0.2">
      <c r="B30" s="43"/>
      <c r="C30" s="1" t="s">
        <v>92</v>
      </c>
      <c r="D30" s="49">
        <v>110012.30698220842</v>
      </c>
      <c r="E30" s="50">
        <v>1085674.1778576677</v>
      </c>
      <c r="F30" s="50">
        <v>1347798.9829999998</v>
      </c>
      <c r="G30" s="50">
        <v>2433473.1608576672</v>
      </c>
      <c r="H30" s="50">
        <f>(G30/8)/$H$3</f>
        <v>1.7381951148983337</v>
      </c>
      <c r="I30" s="51"/>
    </row>
    <row r="31" spans="2:9" ht="8" customHeight="1" thickBot="1" x14ac:dyDescent="0.25">
      <c r="B31" s="43"/>
      <c r="E31" s="52"/>
      <c r="F31" s="52"/>
      <c r="G31" s="52"/>
      <c r="I31" s="46"/>
    </row>
    <row r="32" spans="2:9" ht="17" thickTop="1" x14ac:dyDescent="0.2">
      <c r="B32" s="43"/>
      <c r="E32" s="50">
        <f>SUM(E5:E30)</f>
        <v>24114395.529430445</v>
      </c>
      <c r="F32" s="50">
        <f>SUM(F5:F30)</f>
        <v>35738779.75652609</v>
      </c>
      <c r="G32" s="50">
        <f>SUM(G5:G30)</f>
        <v>59853175.285956547</v>
      </c>
      <c r="H32" s="50"/>
      <c r="I32" s="51"/>
    </row>
    <row r="33" spans="2:10" ht="17" thickBot="1" x14ac:dyDescent="0.25">
      <c r="B33" s="53"/>
      <c r="C33" s="54"/>
      <c r="D33" s="54"/>
      <c r="E33" s="54"/>
      <c r="F33" s="54"/>
      <c r="G33" s="54"/>
      <c r="H33" s="54"/>
      <c r="I33" s="55"/>
    </row>
    <row r="36" spans="2:10" x14ac:dyDescent="0.2">
      <c r="D36" s="50"/>
      <c r="E36" s="50"/>
      <c r="F36" s="50"/>
      <c r="G36" s="50"/>
      <c r="J36" s="7"/>
    </row>
    <row r="37" spans="2:10" x14ac:dyDescent="0.2">
      <c r="D37" s="50"/>
      <c r="E37" s="50"/>
      <c r="F37" s="50"/>
      <c r="G37" s="50"/>
      <c r="J37" s="7"/>
    </row>
    <row r="38" spans="2:10" x14ac:dyDescent="0.2">
      <c r="D38" s="50"/>
      <c r="E38" s="50"/>
      <c r="F38" s="50"/>
      <c r="G38" s="50"/>
      <c r="J38" s="7"/>
    </row>
    <row r="39" spans="2:10" x14ac:dyDescent="0.2">
      <c r="D39" s="50"/>
      <c r="E39" s="50"/>
      <c r="F39" s="50"/>
      <c r="G39" s="50"/>
      <c r="J39" s="7"/>
    </row>
    <row r="40" spans="2:10" x14ac:dyDescent="0.2">
      <c r="D40" s="50"/>
      <c r="E40" s="50"/>
      <c r="F40" s="50"/>
      <c r="G40" s="50"/>
      <c r="J40" s="7"/>
    </row>
    <row r="41" spans="2:10" x14ac:dyDescent="0.2">
      <c r="D41" s="50"/>
      <c r="E41" s="50"/>
      <c r="F41" s="50"/>
      <c r="G41" s="50"/>
      <c r="J41" s="7"/>
    </row>
    <row r="42" spans="2:10" x14ac:dyDescent="0.2">
      <c r="D42" s="50"/>
      <c r="E42" s="50"/>
      <c r="F42" s="50"/>
      <c r="G42" s="50"/>
      <c r="J42" s="7"/>
    </row>
    <row r="43" spans="2:10" x14ac:dyDescent="0.2">
      <c r="D43" s="50"/>
      <c r="E43" s="50"/>
      <c r="F43" s="50"/>
      <c r="G43" s="50"/>
      <c r="J43" s="7"/>
    </row>
    <row r="44" spans="2:10" x14ac:dyDescent="0.2">
      <c r="D44" s="50"/>
      <c r="E44" s="50"/>
      <c r="F44" s="50"/>
      <c r="G44" s="50"/>
      <c r="J44" s="7"/>
    </row>
    <row r="45" spans="2:10" x14ac:dyDescent="0.2">
      <c r="D45" s="50"/>
      <c r="E45" s="50"/>
      <c r="F45" s="50"/>
      <c r="G45" s="50"/>
      <c r="J45" s="7"/>
    </row>
    <row r="46" spans="2:10" x14ac:dyDescent="0.2">
      <c r="D46" s="50"/>
      <c r="E46" s="50"/>
      <c r="F46" s="50"/>
      <c r="G46" s="50"/>
      <c r="J46" s="7"/>
    </row>
    <row r="47" spans="2:10" x14ac:dyDescent="0.2">
      <c r="D47" s="50"/>
      <c r="E47" s="50"/>
      <c r="F47" s="50"/>
      <c r="G47" s="50"/>
      <c r="J47" s="7"/>
    </row>
    <row r="48" spans="2:10" x14ac:dyDescent="0.2">
      <c r="D48" s="50"/>
      <c r="E48" s="50"/>
      <c r="F48" s="50"/>
      <c r="G48" s="50"/>
      <c r="J48" s="7"/>
    </row>
    <row r="49" spans="4:10" x14ac:dyDescent="0.2">
      <c r="D49" s="50"/>
      <c r="E49" s="50"/>
      <c r="F49" s="50"/>
      <c r="G49" s="50"/>
      <c r="J49" s="7"/>
    </row>
    <row r="50" spans="4:10" x14ac:dyDescent="0.2">
      <c r="D50" s="50"/>
      <c r="E50" s="50"/>
      <c r="F50" s="50"/>
      <c r="G50" s="50"/>
      <c r="J50" s="7"/>
    </row>
    <row r="51" spans="4:10" x14ac:dyDescent="0.2">
      <c r="D51" s="50"/>
      <c r="E51" s="50"/>
      <c r="F51" s="50"/>
      <c r="G51" s="50"/>
      <c r="J51" s="7"/>
    </row>
    <row r="52" spans="4:10" x14ac:dyDescent="0.2">
      <c r="D52" s="50"/>
      <c r="E52" s="50"/>
      <c r="F52" s="50"/>
      <c r="G52" s="50"/>
      <c r="J52" s="7"/>
    </row>
    <row r="53" spans="4:10" x14ac:dyDescent="0.2">
      <c r="D53" s="50"/>
      <c r="E53" s="50"/>
      <c r="F53" s="50"/>
      <c r="G53" s="50"/>
      <c r="J53" s="7"/>
    </row>
    <row r="54" spans="4:10" x14ac:dyDescent="0.2">
      <c r="D54" s="50"/>
      <c r="E54" s="50"/>
      <c r="F54" s="50"/>
      <c r="G54" s="50"/>
      <c r="J54" s="7"/>
    </row>
    <row r="55" spans="4:10" x14ac:dyDescent="0.2">
      <c r="D55" s="50"/>
      <c r="E55" s="50"/>
      <c r="F55" s="50"/>
      <c r="G55" s="50"/>
      <c r="J55" s="7"/>
    </row>
    <row r="56" spans="4:10" x14ac:dyDescent="0.2">
      <c r="D56" s="50"/>
      <c r="E56" s="50"/>
      <c r="F56" s="50"/>
      <c r="G56" s="50"/>
      <c r="J56" s="7"/>
    </row>
    <row r="57" spans="4:10" x14ac:dyDescent="0.2">
      <c r="D57" s="50"/>
      <c r="E57" s="50"/>
      <c r="F57" s="50"/>
      <c r="G57" s="50"/>
      <c r="J57" s="7"/>
    </row>
    <row r="58" spans="4:10" x14ac:dyDescent="0.2">
      <c r="D58" s="50"/>
      <c r="E58" s="50"/>
      <c r="F58" s="50"/>
      <c r="G58" s="50"/>
      <c r="J58" s="7"/>
    </row>
    <row r="59" spans="4:10" x14ac:dyDescent="0.2">
      <c r="D59" s="50"/>
      <c r="E59" s="50"/>
      <c r="F59" s="50"/>
      <c r="G59" s="50"/>
      <c r="J59" s="7"/>
    </row>
    <row r="60" spans="4:10" x14ac:dyDescent="0.2">
      <c r="D60" s="50"/>
      <c r="E60" s="50"/>
      <c r="F60" s="50"/>
      <c r="G60" s="50"/>
      <c r="J60" s="7"/>
    </row>
    <row r="61" spans="4:10" x14ac:dyDescent="0.2">
      <c r="D61" s="50"/>
      <c r="E61" s="50"/>
      <c r="F61" s="50"/>
      <c r="G61" s="50"/>
      <c r="J61" s="7"/>
    </row>
    <row r="62" spans="4:10" x14ac:dyDescent="0.2">
      <c r="D62" s="50"/>
      <c r="E62" s="50"/>
      <c r="F62" s="50"/>
      <c r="G62" s="50"/>
    </row>
    <row r="63" spans="4:10" x14ac:dyDescent="0.2">
      <c r="D63" s="50"/>
      <c r="E63" s="50"/>
      <c r="F63" s="50"/>
      <c r="G63" s="50"/>
    </row>
    <row r="64" spans="4:10" x14ac:dyDescent="0.2">
      <c r="D64" s="50"/>
      <c r="E64" s="50"/>
      <c r="F64" s="50"/>
      <c r="G64" s="50"/>
    </row>
    <row r="65" spans="4:7" x14ac:dyDescent="0.2">
      <c r="D65" s="50"/>
      <c r="E65" s="50"/>
      <c r="F65" s="50"/>
      <c r="G65" s="50"/>
    </row>
    <row r="66" spans="4:7" x14ac:dyDescent="0.2">
      <c r="D66" s="50"/>
      <c r="E66" s="50"/>
      <c r="F66" s="50"/>
      <c r="G66" s="50"/>
    </row>
    <row r="67" spans="4:7" x14ac:dyDescent="0.2">
      <c r="D67" s="50"/>
      <c r="E67" s="50"/>
      <c r="F67" s="50"/>
      <c r="G67" s="50"/>
    </row>
    <row r="68" spans="4:7" x14ac:dyDescent="0.2">
      <c r="D68" s="50"/>
      <c r="E68" s="50"/>
      <c r="F68" s="50"/>
      <c r="G68" s="50"/>
    </row>
    <row r="69" spans="4:7" x14ac:dyDescent="0.2">
      <c r="D69" s="50"/>
      <c r="E69" s="50"/>
      <c r="F69" s="50"/>
      <c r="G69" s="50"/>
    </row>
    <row r="70" spans="4:7" x14ac:dyDescent="0.2">
      <c r="D70" s="50"/>
      <c r="E70" s="50"/>
      <c r="F70" s="50"/>
      <c r="G70" s="50"/>
    </row>
    <row r="71" spans="4:7" x14ac:dyDescent="0.2">
      <c r="D71" s="50"/>
      <c r="E71" s="50"/>
      <c r="F71" s="50"/>
      <c r="G71" s="50"/>
    </row>
    <row r="72" spans="4:7" x14ac:dyDescent="0.2">
      <c r="D72" s="50"/>
      <c r="E72" s="50"/>
      <c r="F72" s="50"/>
      <c r="G72" s="50"/>
    </row>
    <row r="73" spans="4:7" x14ac:dyDescent="0.2">
      <c r="D73" s="50"/>
      <c r="E73" s="50"/>
      <c r="F73" s="50"/>
      <c r="G73" s="50"/>
    </row>
    <row r="74" spans="4:7" x14ac:dyDescent="0.2">
      <c r="D74" s="50"/>
      <c r="E74" s="50"/>
      <c r="F74" s="50"/>
      <c r="G74" s="50"/>
    </row>
    <row r="75" spans="4:7" x14ac:dyDescent="0.2">
      <c r="D75" s="50"/>
      <c r="E75" s="50"/>
      <c r="F75" s="50"/>
      <c r="G75" s="50"/>
    </row>
    <row r="76" spans="4:7" x14ac:dyDescent="0.2">
      <c r="D76" s="50"/>
      <c r="E76" s="50"/>
      <c r="F76" s="50"/>
      <c r="G76" s="50"/>
    </row>
    <row r="77" spans="4:7" x14ac:dyDescent="0.2">
      <c r="D77" s="50"/>
      <c r="E77" s="50"/>
      <c r="F77" s="50"/>
      <c r="G77" s="50"/>
    </row>
    <row r="78" spans="4:7" x14ac:dyDescent="0.2">
      <c r="D78" s="50"/>
      <c r="E78" s="50"/>
      <c r="F78" s="50"/>
      <c r="G78" s="50"/>
    </row>
    <row r="79" spans="4:7" x14ac:dyDescent="0.2">
      <c r="D79" s="50"/>
      <c r="E79" s="50"/>
      <c r="F79" s="50"/>
      <c r="G79" s="50"/>
    </row>
    <row r="80" spans="4:7" x14ac:dyDescent="0.2">
      <c r="D80" s="50"/>
      <c r="E80" s="50"/>
      <c r="F80" s="50"/>
      <c r="G80" s="50"/>
    </row>
    <row r="81" spans="4:7" x14ac:dyDescent="0.2">
      <c r="D81" s="50"/>
      <c r="E81" s="50"/>
      <c r="F81" s="50"/>
      <c r="G81" s="50"/>
    </row>
    <row r="82" spans="4:7" x14ac:dyDescent="0.2">
      <c r="D82" s="50"/>
      <c r="E82" s="50"/>
      <c r="F82" s="50"/>
      <c r="G82" s="50"/>
    </row>
    <row r="83" spans="4:7" x14ac:dyDescent="0.2">
      <c r="D83" s="50"/>
      <c r="E83" s="50"/>
      <c r="F83" s="50"/>
      <c r="G83" s="50"/>
    </row>
    <row r="84" spans="4:7" x14ac:dyDescent="0.2">
      <c r="D84" s="50"/>
      <c r="E84" s="50"/>
      <c r="F84" s="50"/>
      <c r="G84" s="50"/>
    </row>
    <row r="85" spans="4:7" x14ac:dyDescent="0.2">
      <c r="D85" s="50"/>
      <c r="E85" s="50"/>
      <c r="F85" s="50"/>
      <c r="G85" s="50"/>
    </row>
    <row r="86" spans="4:7" x14ac:dyDescent="0.2">
      <c r="D86" s="50"/>
      <c r="E86" s="50"/>
      <c r="F86" s="50"/>
      <c r="G86" s="50"/>
    </row>
    <row r="87" spans="4:7" x14ac:dyDescent="0.2">
      <c r="D87" s="50"/>
      <c r="E87" s="50"/>
      <c r="F87" s="50"/>
      <c r="G87" s="50"/>
    </row>
    <row r="88" spans="4:7" x14ac:dyDescent="0.2">
      <c r="D88" s="50"/>
      <c r="E88" s="50"/>
      <c r="F88" s="50"/>
      <c r="G88" s="50"/>
    </row>
    <row r="89" spans="4:7" x14ac:dyDescent="0.2">
      <c r="D89" s="50"/>
      <c r="E89" s="50"/>
      <c r="F89" s="50"/>
      <c r="G89" s="50"/>
    </row>
    <row r="90" spans="4:7" x14ac:dyDescent="0.2">
      <c r="D90" s="50"/>
      <c r="E90" s="50"/>
      <c r="F90" s="50"/>
      <c r="G90" s="50"/>
    </row>
    <row r="91" spans="4:7" x14ac:dyDescent="0.2">
      <c r="D91" s="50"/>
      <c r="E91" s="50"/>
      <c r="F91" s="50"/>
      <c r="G91" s="50"/>
    </row>
    <row r="92" spans="4:7" x14ac:dyDescent="0.2">
      <c r="D92" s="50"/>
      <c r="E92" s="50"/>
      <c r="F92" s="50"/>
      <c r="G92" s="50"/>
    </row>
    <row r="93" spans="4:7" x14ac:dyDescent="0.2">
      <c r="D93" s="50"/>
      <c r="E93" s="50"/>
      <c r="F93" s="50"/>
      <c r="G93" s="50"/>
    </row>
    <row r="94" spans="4:7" x14ac:dyDescent="0.2">
      <c r="D94" s="50"/>
      <c r="E94" s="50"/>
      <c r="F94" s="50"/>
      <c r="G94" s="50"/>
    </row>
    <row r="95" spans="4:7" x14ac:dyDescent="0.2">
      <c r="D95" s="50"/>
      <c r="E95" s="50"/>
      <c r="F95" s="50"/>
      <c r="G95" s="50"/>
    </row>
    <row r="96" spans="4:7" x14ac:dyDescent="0.2">
      <c r="D96" s="50"/>
      <c r="E96" s="50"/>
      <c r="F96" s="50"/>
      <c r="G96" s="50"/>
    </row>
    <row r="97" spans="4:7" x14ac:dyDescent="0.2">
      <c r="D97" s="50"/>
      <c r="E97" s="50"/>
      <c r="F97" s="50"/>
      <c r="G97" s="50"/>
    </row>
    <row r="98" spans="4:7" x14ac:dyDescent="0.2">
      <c r="D98" s="50"/>
      <c r="E98" s="50"/>
      <c r="F98" s="50"/>
      <c r="G98" s="50"/>
    </row>
    <row r="99" spans="4:7" x14ac:dyDescent="0.2">
      <c r="D99" s="50"/>
      <c r="E99" s="50"/>
      <c r="F99" s="50"/>
      <c r="G99" s="50"/>
    </row>
    <row r="100" spans="4:7" x14ac:dyDescent="0.2">
      <c r="D100" s="50"/>
      <c r="E100" s="50"/>
      <c r="F100" s="50"/>
      <c r="G100" s="50"/>
    </row>
    <row r="101" spans="4:7" x14ac:dyDescent="0.2">
      <c r="D101" s="50"/>
      <c r="E101" s="50"/>
      <c r="F101" s="50"/>
      <c r="G101" s="50"/>
    </row>
    <row r="102" spans="4:7" x14ac:dyDescent="0.2">
      <c r="D102" s="50"/>
      <c r="E102" s="50"/>
      <c r="F102" s="50"/>
      <c r="G102" s="50"/>
    </row>
    <row r="103" spans="4:7" x14ac:dyDescent="0.2">
      <c r="D103" s="50"/>
      <c r="E103" s="50"/>
      <c r="F103" s="50"/>
      <c r="G103" s="50"/>
    </row>
    <row r="104" spans="4:7" x14ac:dyDescent="0.2">
      <c r="D104" s="50"/>
      <c r="E104" s="50"/>
      <c r="F104" s="50"/>
      <c r="G104" s="50"/>
    </row>
    <row r="105" spans="4:7" x14ac:dyDescent="0.2">
      <c r="D105" s="50"/>
      <c r="E105" s="50"/>
      <c r="F105" s="50"/>
      <c r="G105" s="50"/>
    </row>
    <row r="106" spans="4:7" x14ac:dyDescent="0.2">
      <c r="D106" s="50"/>
      <c r="E106" s="50"/>
      <c r="F106" s="50"/>
      <c r="G106" s="50"/>
    </row>
    <row r="107" spans="4:7" x14ac:dyDescent="0.2">
      <c r="D107" s="50"/>
      <c r="E107" s="50"/>
      <c r="F107" s="50"/>
      <c r="G107" s="50"/>
    </row>
    <row r="108" spans="4:7" x14ac:dyDescent="0.2">
      <c r="D108" s="50"/>
      <c r="E108" s="50"/>
      <c r="F108" s="50"/>
      <c r="G108" s="50"/>
    </row>
    <row r="109" spans="4:7" x14ac:dyDescent="0.2">
      <c r="D109" s="50"/>
      <c r="E109" s="50"/>
      <c r="F109" s="50"/>
      <c r="G109" s="50"/>
    </row>
    <row r="110" spans="4:7" x14ac:dyDescent="0.2">
      <c r="D110" s="50"/>
      <c r="E110" s="50"/>
      <c r="F110" s="50"/>
      <c r="G110" s="50"/>
    </row>
    <row r="111" spans="4:7" x14ac:dyDescent="0.2">
      <c r="D111" s="50"/>
      <c r="E111" s="50"/>
      <c r="F111" s="50"/>
      <c r="G111" s="50"/>
    </row>
    <row r="112" spans="4:7" x14ac:dyDescent="0.2">
      <c r="D112" s="50"/>
      <c r="E112" s="50"/>
      <c r="F112" s="50"/>
      <c r="G112" s="50"/>
    </row>
    <row r="113" spans="4:7" x14ac:dyDescent="0.2">
      <c r="D113" s="50"/>
      <c r="E113" s="50"/>
      <c r="F113" s="50"/>
      <c r="G113" s="50"/>
    </row>
    <row r="114" spans="4:7" x14ac:dyDescent="0.2">
      <c r="D114" s="50"/>
      <c r="E114" s="50"/>
      <c r="F114" s="50"/>
      <c r="G114" s="50"/>
    </row>
    <row r="115" spans="4:7" x14ac:dyDescent="0.2">
      <c r="D115" s="50"/>
      <c r="E115" s="50"/>
      <c r="F115" s="50"/>
      <c r="G115" s="50"/>
    </row>
    <row r="116" spans="4:7" x14ac:dyDescent="0.2">
      <c r="D116" s="50"/>
      <c r="E116" s="50"/>
      <c r="F116" s="50"/>
      <c r="G116" s="50"/>
    </row>
    <row r="117" spans="4:7" x14ac:dyDescent="0.2">
      <c r="D117" s="50"/>
      <c r="E117" s="50"/>
      <c r="F117" s="50"/>
      <c r="G117" s="50"/>
    </row>
    <row r="118" spans="4:7" x14ac:dyDescent="0.2">
      <c r="D118" s="50"/>
      <c r="E118" s="50"/>
      <c r="F118" s="50"/>
      <c r="G118" s="50"/>
    </row>
    <row r="119" spans="4:7" x14ac:dyDescent="0.2">
      <c r="D119" s="50"/>
      <c r="E119" s="50"/>
      <c r="F119" s="50"/>
      <c r="G119" s="50"/>
    </row>
    <row r="120" spans="4:7" x14ac:dyDescent="0.2">
      <c r="D120" s="50"/>
      <c r="E120" s="50"/>
      <c r="F120" s="50"/>
      <c r="G120" s="50"/>
    </row>
    <row r="121" spans="4:7" x14ac:dyDescent="0.2">
      <c r="D121" s="50"/>
      <c r="E121" s="50"/>
      <c r="F121" s="50"/>
      <c r="G121" s="50"/>
    </row>
    <row r="122" spans="4:7" x14ac:dyDescent="0.2">
      <c r="D122" s="50"/>
      <c r="E122" s="50"/>
      <c r="F122" s="50"/>
      <c r="G122" s="50"/>
    </row>
    <row r="123" spans="4:7" x14ac:dyDescent="0.2">
      <c r="D123" s="50"/>
      <c r="E123" s="50"/>
      <c r="F123" s="50"/>
      <c r="G123" s="50"/>
    </row>
    <row r="124" spans="4:7" x14ac:dyDescent="0.2">
      <c r="D124" s="50"/>
      <c r="E124" s="50"/>
      <c r="F124" s="50"/>
      <c r="G124" s="50"/>
    </row>
    <row r="125" spans="4:7" x14ac:dyDescent="0.2">
      <c r="D125" s="50"/>
      <c r="E125" s="50"/>
      <c r="F125" s="50"/>
      <c r="G125" s="50"/>
    </row>
    <row r="126" spans="4:7" x14ac:dyDescent="0.2">
      <c r="D126" s="50"/>
      <c r="E126" s="50"/>
      <c r="F126" s="50"/>
      <c r="G126" s="50"/>
    </row>
    <row r="127" spans="4:7" x14ac:dyDescent="0.2">
      <c r="D127" s="50"/>
      <c r="E127" s="50"/>
      <c r="F127" s="50"/>
      <c r="G127" s="50"/>
    </row>
    <row r="128" spans="4:7" x14ac:dyDescent="0.2">
      <c r="D128" s="50"/>
      <c r="E128" s="50"/>
      <c r="F128" s="50"/>
      <c r="G128" s="50"/>
    </row>
    <row r="129" spans="4:7" x14ac:dyDescent="0.2">
      <c r="D129" s="50"/>
      <c r="E129" s="50"/>
      <c r="F129" s="50"/>
      <c r="G129" s="50"/>
    </row>
    <row r="130" spans="4:7" x14ac:dyDescent="0.2">
      <c r="D130" s="50"/>
      <c r="E130" s="50"/>
      <c r="F130" s="50"/>
      <c r="G130" s="50"/>
    </row>
    <row r="131" spans="4:7" x14ac:dyDescent="0.2">
      <c r="D131" s="50"/>
      <c r="E131" s="50"/>
      <c r="F131" s="50"/>
      <c r="G131" s="50"/>
    </row>
    <row r="132" spans="4:7" x14ac:dyDescent="0.2">
      <c r="D132" s="50"/>
      <c r="E132" s="50"/>
      <c r="F132" s="50"/>
      <c r="G132" s="50"/>
    </row>
    <row r="133" spans="4:7" x14ac:dyDescent="0.2">
      <c r="D133" s="50"/>
      <c r="E133" s="50"/>
      <c r="F133" s="50"/>
      <c r="G133" s="50"/>
    </row>
    <row r="134" spans="4:7" x14ac:dyDescent="0.2">
      <c r="D134" s="50"/>
      <c r="E134" s="50"/>
      <c r="F134" s="50"/>
      <c r="G134" s="50"/>
    </row>
    <row r="135" spans="4:7" x14ac:dyDescent="0.2">
      <c r="D135" s="50"/>
      <c r="E135" s="50"/>
      <c r="F135" s="50"/>
      <c r="G135" s="50"/>
    </row>
    <row r="136" spans="4:7" x14ac:dyDescent="0.2">
      <c r="D136" s="50"/>
      <c r="E136" s="50"/>
      <c r="F136" s="50"/>
      <c r="G136" s="50"/>
    </row>
    <row r="137" spans="4:7" x14ac:dyDescent="0.2">
      <c r="D137" s="50"/>
      <c r="E137" s="50"/>
      <c r="F137" s="50"/>
      <c r="G137" s="50"/>
    </row>
    <row r="138" spans="4:7" x14ac:dyDescent="0.2">
      <c r="D138" s="50"/>
      <c r="E138" s="50"/>
      <c r="F138" s="50"/>
      <c r="G138" s="50"/>
    </row>
    <row r="139" spans="4:7" x14ac:dyDescent="0.2">
      <c r="D139" s="50"/>
      <c r="E139" s="50"/>
      <c r="F139" s="50"/>
      <c r="G139" s="50"/>
    </row>
    <row r="140" spans="4:7" x14ac:dyDescent="0.2">
      <c r="D140" s="50"/>
      <c r="E140" s="50"/>
      <c r="F140" s="50"/>
      <c r="G140" s="50"/>
    </row>
    <row r="141" spans="4:7" x14ac:dyDescent="0.2">
      <c r="D141" s="50"/>
      <c r="E141" s="50"/>
      <c r="F141" s="50"/>
      <c r="G141" s="50"/>
    </row>
    <row r="142" spans="4:7" x14ac:dyDescent="0.2">
      <c r="D142" s="50"/>
      <c r="E142" s="50"/>
      <c r="F142" s="50"/>
      <c r="G142" s="50"/>
    </row>
    <row r="143" spans="4:7" x14ac:dyDescent="0.2">
      <c r="D143" s="50"/>
      <c r="E143" s="50"/>
      <c r="F143" s="50"/>
      <c r="G143" s="50"/>
    </row>
    <row r="144" spans="4:7" x14ac:dyDescent="0.2">
      <c r="D144" s="50"/>
      <c r="E144" s="50"/>
      <c r="F144" s="50"/>
      <c r="G144" s="50"/>
    </row>
    <row r="145" spans="4:7" x14ac:dyDescent="0.2">
      <c r="D145" s="50"/>
      <c r="E145" s="50"/>
      <c r="F145" s="50"/>
      <c r="G145" s="50"/>
    </row>
    <row r="146" spans="4:7" x14ac:dyDescent="0.2">
      <c r="D146" s="50"/>
      <c r="E146" s="50"/>
      <c r="F146" s="50"/>
      <c r="G146" s="50"/>
    </row>
    <row r="147" spans="4:7" x14ac:dyDescent="0.2">
      <c r="D147" s="50"/>
      <c r="E147" s="50"/>
      <c r="F147" s="50"/>
      <c r="G147" s="50"/>
    </row>
    <row r="148" spans="4:7" x14ac:dyDescent="0.2">
      <c r="D148" s="50"/>
      <c r="E148" s="50"/>
      <c r="F148" s="50"/>
      <c r="G148" s="50"/>
    </row>
    <row r="149" spans="4:7" x14ac:dyDescent="0.2">
      <c r="D149" s="50"/>
      <c r="E149" s="50"/>
      <c r="F149" s="50"/>
      <c r="G149" s="50"/>
    </row>
    <row r="150" spans="4:7" x14ac:dyDescent="0.2">
      <c r="D150" s="50"/>
      <c r="E150" s="50"/>
      <c r="F150" s="50"/>
      <c r="G150" s="50"/>
    </row>
    <row r="151" spans="4:7" x14ac:dyDescent="0.2">
      <c r="D151" s="50"/>
      <c r="E151" s="50"/>
      <c r="F151" s="50"/>
      <c r="G151" s="50"/>
    </row>
    <row r="152" spans="4:7" x14ac:dyDescent="0.2">
      <c r="D152" s="50"/>
      <c r="E152" s="50"/>
      <c r="F152" s="50"/>
      <c r="G152" s="50"/>
    </row>
    <row r="153" spans="4:7" x14ac:dyDescent="0.2">
      <c r="D153" s="50"/>
      <c r="E153" s="50"/>
      <c r="F153" s="50"/>
      <c r="G153" s="50"/>
    </row>
    <row r="154" spans="4:7" x14ac:dyDescent="0.2">
      <c r="D154" s="50"/>
      <c r="E154" s="50"/>
      <c r="F154" s="50"/>
      <c r="G154" s="50"/>
    </row>
    <row r="155" spans="4:7" x14ac:dyDescent="0.2">
      <c r="D155" s="50"/>
      <c r="E155" s="50"/>
      <c r="F155" s="50"/>
      <c r="G155" s="50"/>
    </row>
    <row r="156" spans="4:7" x14ac:dyDescent="0.2">
      <c r="D156" s="50"/>
      <c r="E156" s="50"/>
      <c r="F156" s="50"/>
      <c r="G156" s="50"/>
    </row>
    <row r="157" spans="4:7" x14ac:dyDescent="0.2">
      <c r="D157" s="50"/>
      <c r="E157" s="50"/>
      <c r="F157" s="50"/>
      <c r="G157" s="50"/>
    </row>
    <row r="158" spans="4:7" x14ac:dyDescent="0.2">
      <c r="D158" s="50"/>
      <c r="E158" s="50"/>
      <c r="F158" s="50"/>
      <c r="G158" s="50"/>
    </row>
    <row r="159" spans="4:7" x14ac:dyDescent="0.2">
      <c r="D159" s="50"/>
      <c r="E159" s="50"/>
      <c r="F159" s="50"/>
      <c r="G159" s="50"/>
    </row>
    <row r="160" spans="4:7" x14ac:dyDescent="0.2">
      <c r="D160" s="50"/>
      <c r="E160" s="50"/>
      <c r="F160" s="50"/>
      <c r="G160" s="50"/>
    </row>
    <row r="161" spans="4:7" x14ac:dyDescent="0.2">
      <c r="D161" s="50"/>
      <c r="E161" s="50"/>
      <c r="F161" s="50"/>
      <c r="G161" s="50"/>
    </row>
    <row r="162" spans="4:7" x14ac:dyDescent="0.2">
      <c r="D162" s="50"/>
      <c r="E162" s="50"/>
      <c r="F162" s="50"/>
      <c r="G162" s="50"/>
    </row>
    <row r="163" spans="4:7" x14ac:dyDescent="0.2">
      <c r="D163" s="50"/>
      <c r="E163" s="50"/>
      <c r="F163" s="50"/>
      <c r="G163" s="50"/>
    </row>
    <row r="164" spans="4:7" x14ac:dyDescent="0.2">
      <c r="D164" s="50"/>
      <c r="E164" s="50"/>
      <c r="F164" s="50"/>
      <c r="G164" s="50"/>
    </row>
    <row r="165" spans="4:7" x14ac:dyDescent="0.2">
      <c r="D165" s="50"/>
      <c r="E165" s="50"/>
      <c r="F165" s="50"/>
      <c r="G165" s="50"/>
    </row>
    <row r="166" spans="4:7" x14ac:dyDescent="0.2">
      <c r="D166" s="50"/>
      <c r="E166" s="50"/>
      <c r="F166" s="50"/>
      <c r="G166" s="50"/>
    </row>
    <row r="167" spans="4:7" x14ac:dyDescent="0.2">
      <c r="D167" s="50"/>
      <c r="E167" s="50"/>
      <c r="F167" s="50"/>
      <c r="G167" s="50"/>
    </row>
    <row r="168" spans="4:7" x14ac:dyDescent="0.2">
      <c r="D168" s="50"/>
      <c r="E168" s="50"/>
      <c r="F168" s="50"/>
      <c r="G168" s="50"/>
    </row>
    <row r="169" spans="4:7" x14ac:dyDescent="0.2">
      <c r="D169" s="50"/>
      <c r="E169" s="50"/>
      <c r="F169" s="50"/>
      <c r="G169" s="50"/>
    </row>
    <row r="170" spans="4:7" x14ac:dyDescent="0.2">
      <c r="D170" s="50"/>
      <c r="E170" s="50"/>
      <c r="F170" s="50"/>
      <c r="G170" s="50"/>
    </row>
    <row r="171" spans="4:7" x14ac:dyDescent="0.2">
      <c r="D171" s="50"/>
      <c r="E171" s="50"/>
      <c r="F171" s="50"/>
      <c r="G171" s="50"/>
    </row>
    <row r="172" spans="4:7" x14ac:dyDescent="0.2">
      <c r="D172" s="50"/>
      <c r="E172" s="50"/>
      <c r="F172" s="50"/>
      <c r="G172" s="50"/>
    </row>
    <row r="173" spans="4:7" x14ac:dyDescent="0.2">
      <c r="D173" s="50"/>
      <c r="E173" s="50"/>
      <c r="F173" s="50"/>
      <c r="G173" s="50"/>
    </row>
    <row r="174" spans="4:7" x14ac:dyDescent="0.2">
      <c r="D174" s="50"/>
      <c r="E174" s="50"/>
      <c r="F174" s="50"/>
      <c r="G174" s="50"/>
    </row>
    <row r="175" spans="4:7" x14ac:dyDescent="0.2">
      <c r="D175" s="50"/>
      <c r="E175" s="50"/>
      <c r="F175" s="50"/>
      <c r="G175" s="50"/>
    </row>
    <row r="176" spans="4:7" x14ac:dyDescent="0.2">
      <c r="D176" s="50"/>
      <c r="E176" s="50"/>
      <c r="F176" s="50"/>
      <c r="G176" s="50"/>
    </row>
    <row r="177" spans="4:7" x14ac:dyDescent="0.2">
      <c r="D177" s="50"/>
      <c r="E177" s="50"/>
      <c r="F177" s="50"/>
      <c r="G177" s="50"/>
    </row>
    <row r="178" spans="4:7" x14ac:dyDescent="0.2">
      <c r="D178" s="50"/>
      <c r="E178" s="50"/>
      <c r="F178" s="50"/>
      <c r="G178" s="50"/>
    </row>
    <row r="179" spans="4:7" x14ac:dyDescent="0.2">
      <c r="D179" s="50"/>
      <c r="E179" s="50"/>
      <c r="F179" s="50"/>
      <c r="G179" s="50"/>
    </row>
    <row r="180" spans="4:7" x14ac:dyDescent="0.2">
      <c r="D180" s="50"/>
      <c r="E180" s="50"/>
      <c r="F180" s="50"/>
      <c r="G180" s="50"/>
    </row>
    <row r="181" spans="4:7" x14ac:dyDescent="0.2">
      <c r="D181" s="50"/>
      <c r="E181" s="50"/>
      <c r="F181" s="50"/>
      <c r="G181" s="50"/>
    </row>
    <row r="182" spans="4:7" x14ac:dyDescent="0.2">
      <c r="D182" s="50"/>
      <c r="E182" s="50"/>
      <c r="F182" s="50"/>
      <c r="G182" s="50"/>
    </row>
    <row r="183" spans="4:7" x14ac:dyDescent="0.2">
      <c r="D183" s="50"/>
      <c r="E183" s="50"/>
      <c r="F183" s="50"/>
      <c r="G183" s="50"/>
    </row>
    <row r="184" spans="4:7" x14ac:dyDescent="0.2">
      <c r="D184" s="50"/>
      <c r="E184" s="50"/>
      <c r="F184" s="50"/>
      <c r="G184" s="50"/>
    </row>
    <row r="185" spans="4:7" x14ac:dyDescent="0.2">
      <c r="D185" s="50"/>
      <c r="E185" s="50"/>
      <c r="F185" s="50"/>
      <c r="G185" s="50"/>
    </row>
    <row r="186" spans="4:7" x14ac:dyDescent="0.2">
      <c r="D186" s="50"/>
      <c r="E186" s="50"/>
      <c r="F186" s="50"/>
      <c r="G186" s="50"/>
    </row>
    <row r="187" spans="4:7" x14ac:dyDescent="0.2">
      <c r="D187" s="50"/>
      <c r="E187" s="50"/>
      <c r="F187" s="50"/>
      <c r="G187" s="50"/>
    </row>
  </sheetData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06E6B-19A6-8E47-AC55-D375C47FDE3B}">
  <dimension ref="B2:V50"/>
  <sheetViews>
    <sheetView zoomScale="125" workbookViewId="0">
      <selection activeCell="J19" sqref="J19"/>
    </sheetView>
  </sheetViews>
  <sheetFormatPr baseColWidth="10" defaultRowHeight="16" x14ac:dyDescent="0.2"/>
  <cols>
    <col min="1" max="1" width="10.83203125" style="1"/>
    <col min="2" max="2" width="11" style="1" bestFit="1" customWidth="1"/>
    <col min="3" max="3" width="23.5" style="1" customWidth="1"/>
    <col min="4" max="4" width="23.6640625" style="1" customWidth="1"/>
    <col min="5" max="5" width="23.5" style="1" customWidth="1"/>
    <col min="6" max="7" width="10.83203125" style="1"/>
    <col min="8" max="22" width="13.33203125" style="1" bestFit="1" customWidth="1"/>
    <col min="23" max="16384" width="10.83203125" style="1"/>
  </cols>
  <sheetData>
    <row r="2" spans="2:22" x14ac:dyDescent="0.2">
      <c r="B2" s="1" t="s">
        <v>138</v>
      </c>
      <c r="C2" s="58">
        <f>D24</f>
        <v>176000000</v>
      </c>
    </row>
    <row r="3" spans="2:22" x14ac:dyDescent="0.2">
      <c r="B3" s="1" t="s">
        <v>119</v>
      </c>
      <c r="C3" s="6">
        <v>0.06</v>
      </c>
    </row>
    <row r="4" spans="2:22" x14ac:dyDescent="0.2">
      <c r="B4" s="1" t="s">
        <v>139</v>
      </c>
      <c r="C4" s="1">
        <v>15</v>
      </c>
    </row>
    <row r="5" spans="2:22" x14ac:dyDescent="0.2">
      <c r="B5" s="1" t="s">
        <v>140</v>
      </c>
      <c r="C5" s="1">
        <v>2</v>
      </c>
    </row>
    <row r="7" spans="2:22" x14ac:dyDescent="0.2">
      <c r="B7" s="59" t="s">
        <v>146</v>
      </c>
      <c r="C7" s="60" t="s">
        <v>119</v>
      </c>
      <c r="D7" s="60" t="s">
        <v>120</v>
      </c>
      <c r="E7" s="60" t="s">
        <v>121</v>
      </c>
      <c r="H7" s="56" t="s">
        <v>122</v>
      </c>
      <c r="I7" s="56" t="s">
        <v>123</v>
      </c>
      <c r="J7" s="56" t="s">
        <v>124</v>
      </c>
      <c r="K7" s="56" t="s">
        <v>125</v>
      </c>
      <c r="L7" s="56" t="s">
        <v>126</v>
      </c>
      <c r="M7" s="56" t="s">
        <v>127</v>
      </c>
      <c r="N7" s="56" t="s">
        <v>128</v>
      </c>
      <c r="O7" s="56" t="s">
        <v>129</v>
      </c>
      <c r="P7" s="56" t="s">
        <v>130</v>
      </c>
      <c r="Q7" s="56" t="s">
        <v>131</v>
      </c>
      <c r="R7" s="56" t="s">
        <v>132</v>
      </c>
      <c r="S7" s="56" t="s">
        <v>133</v>
      </c>
      <c r="T7" s="56" t="s">
        <v>134</v>
      </c>
      <c r="U7" s="56" t="s">
        <v>135</v>
      </c>
      <c r="V7" s="56" t="s">
        <v>136</v>
      </c>
    </row>
    <row r="8" spans="2:22" x14ac:dyDescent="0.2">
      <c r="B8" s="61">
        <v>1</v>
      </c>
      <c r="C8" s="62">
        <v>10356921.67</v>
      </c>
      <c r="D8" s="62">
        <v>7465334.54</v>
      </c>
      <c r="E8" s="62">
        <v>168534665.46000001</v>
      </c>
      <c r="G8" s="1" t="s">
        <v>119</v>
      </c>
      <c r="H8" s="62">
        <v>10356921.67</v>
      </c>
      <c r="I8" s="62">
        <v>9896476.1699999999</v>
      </c>
      <c r="J8" s="62">
        <v>9407631.4000000004</v>
      </c>
      <c r="K8" s="62">
        <v>8888635.7599999998</v>
      </c>
      <c r="L8" s="62">
        <v>8337629.5999999996</v>
      </c>
      <c r="M8" s="62">
        <v>7752638.5800000001</v>
      </c>
      <c r="N8" s="62">
        <v>7131566.5999999996</v>
      </c>
      <c r="O8" s="62">
        <v>6472188.2599999998</v>
      </c>
      <c r="P8" s="62">
        <v>5772140.9000000004</v>
      </c>
      <c r="Q8" s="62">
        <v>5028916.16</v>
      </c>
      <c r="R8" s="62">
        <v>4239850.9400000004</v>
      </c>
      <c r="S8" s="62">
        <v>3402117.9</v>
      </c>
      <c r="T8" s="62">
        <v>2512715.3199999998</v>
      </c>
      <c r="U8" s="62">
        <v>1568456.34</v>
      </c>
      <c r="V8" s="62">
        <v>565957.53</v>
      </c>
    </row>
    <row r="9" spans="2:22" x14ac:dyDescent="0.2">
      <c r="B9" s="61">
        <v>2</v>
      </c>
      <c r="C9" s="62">
        <v>9896476.1699999999</v>
      </c>
      <c r="D9" s="62">
        <v>7925780.0300000003</v>
      </c>
      <c r="E9" s="62">
        <v>160608885.43000001</v>
      </c>
      <c r="G9" s="1" t="s">
        <v>120</v>
      </c>
      <c r="H9" s="62">
        <v>7465334.54</v>
      </c>
      <c r="I9" s="62">
        <v>7925780.0300000003</v>
      </c>
      <c r="J9" s="62">
        <v>8414624.8000000007</v>
      </c>
      <c r="K9" s="62">
        <v>8933620.4499999993</v>
      </c>
      <c r="L9" s="62">
        <v>9484626.6099999994</v>
      </c>
      <c r="M9" s="62">
        <v>10069617.630000001</v>
      </c>
      <c r="N9" s="62">
        <v>10690689.609999999</v>
      </c>
      <c r="O9" s="62">
        <v>11350067.949999999</v>
      </c>
      <c r="P9" s="62">
        <v>12050115.310000001</v>
      </c>
      <c r="Q9" s="62">
        <v>12793340.050000001</v>
      </c>
      <c r="R9" s="62">
        <v>13582405.27</v>
      </c>
      <c r="S9" s="62">
        <v>14420138.310000001</v>
      </c>
      <c r="T9" s="62">
        <v>15309540.890000001</v>
      </c>
      <c r="U9" s="62">
        <v>16253799.869999999</v>
      </c>
      <c r="V9" s="62">
        <v>17256298.68</v>
      </c>
    </row>
    <row r="10" spans="2:22" x14ac:dyDescent="0.2">
      <c r="B10" s="61">
        <v>3</v>
      </c>
      <c r="C10" s="62">
        <v>9407631.4000000004</v>
      </c>
      <c r="D10" s="62">
        <v>8414624.8000000007</v>
      </c>
      <c r="E10" s="62">
        <v>152194260.63</v>
      </c>
      <c r="G10" s="1" t="s">
        <v>137</v>
      </c>
      <c r="H10" s="62">
        <f>SUM(H8:H9)</f>
        <v>17822256.210000001</v>
      </c>
      <c r="I10" s="62">
        <f t="shared" ref="I10:V10" si="0">SUM(I8:I9)</f>
        <v>17822256.199999999</v>
      </c>
      <c r="J10" s="62">
        <f t="shared" si="0"/>
        <v>17822256.200000003</v>
      </c>
      <c r="K10" s="62">
        <f t="shared" si="0"/>
        <v>17822256.210000001</v>
      </c>
      <c r="L10" s="62">
        <f t="shared" si="0"/>
        <v>17822256.210000001</v>
      </c>
      <c r="M10" s="62">
        <f t="shared" si="0"/>
        <v>17822256.210000001</v>
      </c>
      <c r="N10" s="62">
        <f t="shared" si="0"/>
        <v>17822256.210000001</v>
      </c>
      <c r="O10" s="62">
        <f t="shared" si="0"/>
        <v>17822256.210000001</v>
      </c>
      <c r="P10" s="62">
        <f t="shared" si="0"/>
        <v>17822256.210000001</v>
      </c>
      <c r="Q10" s="62">
        <f t="shared" si="0"/>
        <v>17822256.210000001</v>
      </c>
      <c r="R10" s="62">
        <f t="shared" si="0"/>
        <v>17822256.210000001</v>
      </c>
      <c r="S10" s="62">
        <f t="shared" si="0"/>
        <v>17822256.210000001</v>
      </c>
      <c r="T10" s="62">
        <f t="shared" si="0"/>
        <v>17822256.210000001</v>
      </c>
      <c r="U10" s="62">
        <f t="shared" si="0"/>
        <v>17822256.210000001</v>
      </c>
      <c r="V10" s="62">
        <f t="shared" si="0"/>
        <v>17822256.210000001</v>
      </c>
    </row>
    <row r="11" spans="2:22" x14ac:dyDescent="0.2">
      <c r="B11" s="61">
        <v>4</v>
      </c>
      <c r="C11" s="62">
        <v>8888635.7599999998</v>
      </c>
      <c r="D11" s="62">
        <v>8933620.4499999993</v>
      </c>
      <c r="E11" s="62">
        <v>143260640.18000001</v>
      </c>
    </row>
    <row r="12" spans="2:22" x14ac:dyDescent="0.2">
      <c r="B12" s="61">
        <v>5</v>
      </c>
      <c r="C12" s="62">
        <v>8337629.5999999996</v>
      </c>
      <c r="D12" s="62">
        <v>9484626.6099999994</v>
      </c>
      <c r="E12" s="62">
        <v>133776013.56</v>
      </c>
    </row>
    <row r="13" spans="2:22" x14ac:dyDescent="0.2">
      <c r="B13" s="61">
        <v>6</v>
      </c>
      <c r="C13" s="62">
        <v>7752638.5800000001</v>
      </c>
      <c r="D13" s="62">
        <v>10069617.630000001</v>
      </c>
      <c r="E13" s="62">
        <v>123706395.94</v>
      </c>
    </row>
    <row r="14" spans="2:22" x14ac:dyDescent="0.2">
      <c r="B14" s="61">
        <v>7</v>
      </c>
      <c r="C14" s="62">
        <v>7131566.5999999996</v>
      </c>
      <c r="D14" s="62">
        <v>10690689.609999999</v>
      </c>
      <c r="E14" s="62">
        <v>113015706.33</v>
      </c>
    </row>
    <row r="15" spans="2:22" x14ac:dyDescent="0.2">
      <c r="B15" s="61">
        <v>8</v>
      </c>
      <c r="C15" s="62">
        <v>6472188.2599999998</v>
      </c>
      <c r="D15" s="62">
        <v>11350067.949999999</v>
      </c>
      <c r="E15" s="62">
        <v>101665638.38</v>
      </c>
    </row>
    <row r="16" spans="2:22" x14ac:dyDescent="0.2">
      <c r="B16" s="61">
        <v>9</v>
      </c>
      <c r="C16" s="62">
        <v>5772140.9000000004</v>
      </c>
      <c r="D16" s="62">
        <v>12050115.310000001</v>
      </c>
      <c r="E16" s="62">
        <v>89615523.069999993</v>
      </c>
    </row>
    <row r="17" spans="2:5" x14ac:dyDescent="0.2">
      <c r="B17" s="61">
        <v>10</v>
      </c>
      <c r="C17" s="62">
        <v>5028916.16</v>
      </c>
      <c r="D17" s="62">
        <v>12793340.050000001</v>
      </c>
      <c r="E17" s="62">
        <v>76822183.019999996</v>
      </c>
    </row>
    <row r="18" spans="2:5" x14ac:dyDescent="0.2">
      <c r="B18" s="61">
        <v>11</v>
      </c>
      <c r="C18" s="62">
        <v>4239850.9400000004</v>
      </c>
      <c r="D18" s="62">
        <v>13582405.27</v>
      </c>
      <c r="E18" s="62">
        <v>63239777.75</v>
      </c>
    </row>
    <row r="19" spans="2:5" x14ac:dyDescent="0.2">
      <c r="B19" s="61">
        <v>12</v>
      </c>
      <c r="C19" s="62">
        <v>3402117.9</v>
      </c>
      <c r="D19" s="62">
        <v>14420138.310000001</v>
      </c>
      <c r="E19" s="62">
        <v>48819639.439999998</v>
      </c>
    </row>
    <row r="20" spans="2:5" x14ac:dyDescent="0.2">
      <c r="B20" s="61">
        <v>13</v>
      </c>
      <c r="C20" s="62">
        <v>2512715.3199999998</v>
      </c>
      <c r="D20" s="62">
        <v>15309540.890000001</v>
      </c>
      <c r="E20" s="62">
        <v>33510098.550000001</v>
      </c>
    </row>
    <row r="21" spans="2:5" x14ac:dyDescent="0.2">
      <c r="B21" s="61">
        <v>14</v>
      </c>
      <c r="C21" s="62">
        <v>1568456.34</v>
      </c>
      <c r="D21" s="62">
        <v>16253799.869999999</v>
      </c>
      <c r="E21" s="62">
        <v>17256298.68</v>
      </c>
    </row>
    <row r="22" spans="2:5" x14ac:dyDescent="0.2">
      <c r="B22" s="61">
        <v>15</v>
      </c>
      <c r="C22" s="62">
        <v>565957.53</v>
      </c>
      <c r="D22" s="62">
        <v>17256298.68</v>
      </c>
      <c r="E22" s="62">
        <v>0</v>
      </c>
    </row>
    <row r="23" spans="2:5" x14ac:dyDescent="0.2">
      <c r="C23" s="58"/>
      <c r="D23" s="58"/>
      <c r="E23" s="58"/>
    </row>
    <row r="24" spans="2:5" x14ac:dyDescent="0.2">
      <c r="B24" s="61"/>
      <c r="C24" s="62">
        <f>SUM(C8:C22)</f>
        <v>91333843.13000001</v>
      </c>
      <c r="D24" s="62">
        <f>SUM(D8:D22)</f>
        <v>176000000</v>
      </c>
      <c r="E24" s="62"/>
    </row>
    <row r="28" spans="2:5" x14ac:dyDescent="0.2">
      <c r="B28" s="1" t="s">
        <v>138</v>
      </c>
      <c r="C28" s="58">
        <f>D50</f>
        <v>216000000</v>
      </c>
    </row>
    <row r="29" spans="2:5" x14ac:dyDescent="0.2">
      <c r="B29" s="1" t="s">
        <v>119</v>
      </c>
      <c r="C29" s="6">
        <v>0.06</v>
      </c>
    </row>
    <row r="30" spans="2:5" x14ac:dyDescent="0.2">
      <c r="B30" s="1" t="s">
        <v>139</v>
      </c>
      <c r="C30" s="1">
        <v>15</v>
      </c>
    </row>
    <row r="31" spans="2:5" x14ac:dyDescent="0.2">
      <c r="B31" s="1" t="s">
        <v>140</v>
      </c>
      <c r="C31" s="1">
        <v>2</v>
      </c>
    </row>
    <row r="33" spans="2:22" x14ac:dyDescent="0.2">
      <c r="B33" s="59" t="s">
        <v>146</v>
      </c>
      <c r="C33" s="60" t="s">
        <v>119</v>
      </c>
      <c r="D33" s="60" t="s">
        <v>120</v>
      </c>
      <c r="E33" s="60" t="s">
        <v>121</v>
      </c>
      <c r="H33" s="56" t="s">
        <v>122</v>
      </c>
      <c r="I33" s="56" t="s">
        <v>123</v>
      </c>
      <c r="J33" s="56" t="s">
        <v>124</v>
      </c>
      <c r="K33" s="56" t="s">
        <v>125</v>
      </c>
      <c r="L33" s="56" t="s">
        <v>126</v>
      </c>
      <c r="M33" s="56" t="s">
        <v>127</v>
      </c>
      <c r="N33" s="56" t="s">
        <v>128</v>
      </c>
      <c r="O33" s="56" t="s">
        <v>129</v>
      </c>
      <c r="P33" s="56" t="s">
        <v>130</v>
      </c>
      <c r="Q33" s="56" t="s">
        <v>131</v>
      </c>
      <c r="R33" s="56" t="s">
        <v>132</v>
      </c>
      <c r="S33" s="56" t="s">
        <v>133</v>
      </c>
      <c r="T33" s="56" t="s">
        <v>134</v>
      </c>
      <c r="U33" s="56" t="s">
        <v>135</v>
      </c>
      <c r="V33" s="56" t="s">
        <v>136</v>
      </c>
    </row>
    <row r="34" spans="2:22" x14ac:dyDescent="0.2">
      <c r="B34" s="61">
        <v>1</v>
      </c>
      <c r="C34" s="62">
        <v>12710767.51</v>
      </c>
      <c r="D34" s="62">
        <v>9162001.4800000004</v>
      </c>
      <c r="E34" s="62">
        <v>206837998.52000001</v>
      </c>
      <c r="G34" s="1" t="s">
        <v>119</v>
      </c>
      <c r="H34" s="62">
        <v>12710767.51</v>
      </c>
      <c r="I34" s="62">
        <v>12145675.300000001</v>
      </c>
      <c r="J34" s="62">
        <v>11545729.449999999</v>
      </c>
      <c r="K34" s="62">
        <v>10908780.25</v>
      </c>
      <c r="L34" s="62">
        <v>10232545.41</v>
      </c>
      <c r="M34" s="62">
        <v>9514601.9000000004</v>
      </c>
      <c r="N34" s="62">
        <v>8752377.1899999995</v>
      </c>
      <c r="O34" s="62">
        <v>7943140.1299999999</v>
      </c>
      <c r="P34" s="62">
        <v>7083991.1100000003</v>
      </c>
      <c r="Q34" s="62">
        <v>6171851.6500000004</v>
      </c>
      <c r="R34" s="62">
        <v>5203453.42</v>
      </c>
      <c r="S34" s="62">
        <v>4175326.51</v>
      </c>
      <c r="T34" s="62">
        <v>3083786.99</v>
      </c>
      <c r="U34" s="62">
        <v>1924923.69</v>
      </c>
      <c r="V34" s="62">
        <v>694584.24</v>
      </c>
    </row>
    <row r="35" spans="2:22" x14ac:dyDescent="0.2">
      <c r="B35" s="61">
        <v>2</v>
      </c>
      <c r="C35" s="62">
        <v>12145675.300000001</v>
      </c>
      <c r="D35" s="62">
        <v>9727093.6799999997</v>
      </c>
      <c r="E35" s="62">
        <v>197110904.84999999</v>
      </c>
      <c r="G35" s="1" t="s">
        <v>120</v>
      </c>
      <c r="H35" s="62">
        <v>9162001.4800000004</v>
      </c>
      <c r="I35" s="62">
        <v>9727093.6799999997</v>
      </c>
      <c r="J35" s="62">
        <v>10327039.529999999</v>
      </c>
      <c r="K35" s="62">
        <v>10963988.73</v>
      </c>
      <c r="L35" s="62">
        <v>11640223.57</v>
      </c>
      <c r="M35" s="62">
        <v>12358167.09</v>
      </c>
      <c r="N35" s="62">
        <v>13120391.789999999</v>
      </c>
      <c r="O35" s="62">
        <v>13929628.85</v>
      </c>
      <c r="P35" s="62">
        <v>14788777.880000001</v>
      </c>
      <c r="Q35" s="62">
        <v>15700917.34</v>
      </c>
      <c r="R35" s="62">
        <v>16669315.560000001</v>
      </c>
      <c r="S35" s="62">
        <v>17697442.469999999</v>
      </c>
      <c r="T35" s="62">
        <v>18788982</v>
      </c>
      <c r="U35" s="62">
        <v>19947845.289999999</v>
      </c>
      <c r="V35" s="62">
        <v>21178184.739999998</v>
      </c>
    </row>
    <row r="36" spans="2:22" x14ac:dyDescent="0.2">
      <c r="B36" s="61">
        <v>3</v>
      </c>
      <c r="C36" s="62">
        <v>11545729.449999999</v>
      </c>
      <c r="D36" s="62">
        <v>10327039.529999999</v>
      </c>
      <c r="E36" s="62">
        <v>186783865.31</v>
      </c>
      <c r="G36" s="1" t="s">
        <v>137</v>
      </c>
      <c r="H36" s="62">
        <f>SUM(H34:H35)</f>
        <v>21872768.990000002</v>
      </c>
      <c r="I36" s="62">
        <f t="shared" ref="I36" si="1">SUM(I34:I35)</f>
        <v>21872768.98</v>
      </c>
      <c r="J36" s="62">
        <f t="shared" ref="J36" si="2">SUM(J34:J35)</f>
        <v>21872768.979999997</v>
      </c>
      <c r="K36" s="62">
        <f t="shared" ref="K36" si="3">SUM(K34:K35)</f>
        <v>21872768.98</v>
      </c>
      <c r="L36" s="62">
        <f t="shared" ref="L36" si="4">SUM(L34:L35)</f>
        <v>21872768.98</v>
      </c>
      <c r="M36" s="62">
        <f t="shared" ref="M36" si="5">SUM(M34:M35)</f>
        <v>21872768.990000002</v>
      </c>
      <c r="N36" s="62">
        <f t="shared" ref="N36" si="6">SUM(N34:N35)</f>
        <v>21872768.979999997</v>
      </c>
      <c r="O36" s="62">
        <f t="shared" ref="O36" si="7">SUM(O34:O35)</f>
        <v>21872768.98</v>
      </c>
      <c r="P36" s="62">
        <f t="shared" ref="P36" si="8">SUM(P34:P35)</f>
        <v>21872768.990000002</v>
      </c>
      <c r="Q36" s="62">
        <f t="shared" ref="Q36" si="9">SUM(Q34:Q35)</f>
        <v>21872768.990000002</v>
      </c>
      <c r="R36" s="62">
        <f t="shared" ref="R36" si="10">SUM(R34:R35)</f>
        <v>21872768.98</v>
      </c>
      <c r="S36" s="62">
        <f t="shared" ref="S36" si="11">SUM(S34:S35)</f>
        <v>21872768.979999997</v>
      </c>
      <c r="T36" s="62">
        <f t="shared" ref="T36" si="12">SUM(T34:T35)</f>
        <v>21872768.990000002</v>
      </c>
      <c r="U36" s="62">
        <f t="shared" ref="U36" si="13">SUM(U34:U35)</f>
        <v>21872768.98</v>
      </c>
      <c r="V36" s="62">
        <f t="shared" ref="V36" si="14">SUM(V34:V35)</f>
        <v>21872768.979999997</v>
      </c>
    </row>
    <row r="37" spans="2:22" x14ac:dyDescent="0.2">
      <c r="B37" s="61">
        <v>4</v>
      </c>
      <c r="C37" s="62">
        <v>10908780.25</v>
      </c>
      <c r="D37" s="62">
        <v>10963988.73</v>
      </c>
      <c r="E37" s="62">
        <v>175819876.58000001</v>
      </c>
    </row>
    <row r="38" spans="2:22" x14ac:dyDescent="0.2">
      <c r="B38" s="61">
        <v>5</v>
      </c>
      <c r="C38" s="62">
        <v>10232545.41</v>
      </c>
      <c r="D38" s="62">
        <v>11640223.57</v>
      </c>
      <c r="E38" s="62">
        <v>164179653.00999999</v>
      </c>
    </row>
    <row r="39" spans="2:22" x14ac:dyDescent="0.2">
      <c r="B39" s="61">
        <v>6</v>
      </c>
      <c r="C39" s="62">
        <v>9514601.9000000004</v>
      </c>
      <c r="D39" s="62">
        <v>12358167.09</v>
      </c>
      <c r="E39" s="62">
        <v>151821485.91999999</v>
      </c>
    </row>
    <row r="40" spans="2:22" x14ac:dyDescent="0.2">
      <c r="B40" s="61">
        <v>7</v>
      </c>
      <c r="C40" s="62">
        <v>8752377.1899999995</v>
      </c>
      <c r="D40" s="62">
        <v>13120391.789999999</v>
      </c>
      <c r="E40" s="62">
        <v>138701094.13</v>
      </c>
    </row>
    <row r="41" spans="2:22" x14ac:dyDescent="0.2">
      <c r="B41" s="61">
        <v>8</v>
      </c>
      <c r="C41" s="62">
        <v>7943140.1299999999</v>
      </c>
      <c r="D41" s="62">
        <v>13929628.85</v>
      </c>
      <c r="E41" s="62">
        <v>124771465.28</v>
      </c>
    </row>
    <row r="42" spans="2:22" x14ac:dyDescent="0.2">
      <c r="B42" s="61">
        <v>9</v>
      </c>
      <c r="C42" s="62">
        <v>7083991.1100000003</v>
      </c>
      <c r="D42" s="62">
        <v>14788777.880000001</v>
      </c>
      <c r="E42" s="62">
        <v>109982687.40000001</v>
      </c>
    </row>
    <row r="43" spans="2:22" x14ac:dyDescent="0.2">
      <c r="B43" s="61">
        <v>10</v>
      </c>
      <c r="C43" s="62">
        <v>6171851.6500000004</v>
      </c>
      <c r="D43" s="62">
        <v>15700917.34</v>
      </c>
      <c r="E43" s="62">
        <v>94281770.069999993</v>
      </c>
    </row>
    <row r="44" spans="2:22" x14ac:dyDescent="0.2">
      <c r="B44" s="61">
        <v>11</v>
      </c>
      <c r="C44" s="62">
        <v>5203453.42</v>
      </c>
      <c r="D44" s="62">
        <v>16669315.560000001</v>
      </c>
      <c r="E44" s="62">
        <v>77612454.510000005</v>
      </c>
    </row>
    <row r="45" spans="2:22" x14ac:dyDescent="0.2">
      <c r="B45" s="61">
        <v>12</v>
      </c>
      <c r="C45" s="62">
        <v>4175326.51</v>
      </c>
      <c r="D45" s="62">
        <v>17697442.469999999</v>
      </c>
      <c r="E45" s="62">
        <v>59915012.039999999</v>
      </c>
    </row>
    <row r="46" spans="2:22" x14ac:dyDescent="0.2">
      <c r="B46" s="61">
        <v>13</v>
      </c>
      <c r="C46" s="62">
        <v>3083786.99</v>
      </c>
      <c r="D46" s="62">
        <v>18788982</v>
      </c>
      <c r="E46" s="62">
        <v>41126030.039999999</v>
      </c>
    </row>
    <row r="47" spans="2:22" x14ac:dyDescent="0.2">
      <c r="B47" s="61">
        <v>14</v>
      </c>
      <c r="C47" s="62">
        <v>1924923.69</v>
      </c>
      <c r="D47" s="62">
        <v>19947845.289999999</v>
      </c>
      <c r="E47" s="62">
        <v>21178184.739999998</v>
      </c>
    </row>
    <row r="48" spans="2:22" x14ac:dyDescent="0.2">
      <c r="B48" s="61">
        <v>15</v>
      </c>
      <c r="C48" s="62">
        <v>694584.24</v>
      </c>
      <c r="D48" s="62">
        <v>21178184.739999998</v>
      </c>
      <c r="E48" s="62">
        <v>0</v>
      </c>
    </row>
    <row r="50" spans="3:4" x14ac:dyDescent="0.2">
      <c r="C50" s="62">
        <f>SUM(C34:C48)</f>
        <v>112091534.75</v>
      </c>
      <c r="D50" s="62">
        <f>SUM(D34:D48)</f>
        <v>216000000</v>
      </c>
    </row>
  </sheetData>
  <phoneticPr fontId="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F2DE2-8939-C34B-B3FE-8FBCB4F5F60F}">
  <dimension ref="B2"/>
  <sheetViews>
    <sheetView zoomScale="158" workbookViewId="0">
      <selection activeCell="M13" sqref="M13"/>
    </sheetView>
  </sheetViews>
  <sheetFormatPr baseColWidth="10" defaultRowHeight="16" x14ac:dyDescent="0.2"/>
  <cols>
    <col min="1" max="16384" width="10.83203125" style="1"/>
  </cols>
  <sheetData>
    <row r="2" spans="2:2" x14ac:dyDescent="0.2">
      <c r="B2" s="1" t="s">
        <v>38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PRICE SENSITIVITY</vt:lpstr>
      <vt:lpstr>Facility 400K Debt &amp; Cash Out</vt:lpstr>
      <vt:lpstr>Facility 800K Debt &amp; Cash Out</vt:lpstr>
      <vt:lpstr>Rents to TWC-IPM</vt:lpstr>
      <vt:lpstr>Financial Cost</vt:lpstr>
      <vt:lpstr>Example - Midstream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2023-02-27T19:51:26Z</dcterms:created>
  <dcterms:modified xsi:type="dcterms:W3CDTF">2024-03-12T20:09:03Z</dcterms:modified>
</cp:coreProperties>
</file>